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rredondoivan\Downloads\Desarrollo Obligaciones Nuevas\"/>
    </mc:Choice>
  </mc:AlternateContent>
  <xr:revisionPtr revIDLastSave="0" documentId="13_ncr:1_{16470591-0BD8-4095-9D32-B931D44E0DA9}" xr6:coauthVersionLast="47" xr6:coauthVersionMax="47" xr10:uidLastSave="{00000000-0000-0000-0000-000000000000}"/>
  <bookViews>
    <workbookView xWindow="-120" yWindow="-120" windowWidth="24240" windowHeight="13140" xr2:uid="{B821C6EB-31BE-4DE8-88DA-6E2FD1392EFC}"/>
  </bookViews>
  <sheets>
    <sheet name="Hoja1" sheetId="1" r:id="rId1"/>
    <sheet name="Hoja2" sheetId="7" r:id="rId2"/>
    <sheet name="Hoja3" sheetId="6" r:id="rId3"/>
  </sheets>
  <definedNames>
    <definedName name="_xlnm._FilterDatabase" localSheetId="0" hidden="1">Hoja1!$A$1:$BM$2076</definedName>
    <definedName name="_xlnm._FilterDatabase" localSheetId="2" hidden="1">Hoja3!$A$1:$M$1</definedName>
    <definedName name="AF">Hoja1!$A$1</definedName>
    <definedName name="ar">Hoja1!#REF!</definedName>
    <definedName name="au">Hoja1!#REF!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90" i="6" l="1"/>
  <c r="J1189" i="6"/>
  <c r="J1188" i="6"/>
  <c r="J1187" i="6"/>
  <c r="J1186" i="6"/>
  <c r="J1185" i="6"/>
  <c r="J1184" i="6"/>
  <c r="J1183" i="6"/>
  <c r="J1182" i="6"/>
  <c r="J1181" i="6"/>
  <c r="J1180" i="6"/>
  <c r="J1179" i="6"/>
  <c r="J1178" i="6"/>
  <c r="J1177" i="6"/>
  <c r="J1176" i="6"/>
  <c r="J1175" i="6"/>
  <c r="J1174" i="6"/>
  <c r="J1173" i="6"/>
  <c r="J1172" i="6"/>
  <c r="J1171" i="6"/>
  <c r="J1170" i="6"/>
  <c r="J1169" i="6"/>
  <c r="J1168" i="6"/>
  <c r="J1167" i="6"/>
  <c r="J1166" i="6"/>
  <c r="J1165" i="6"/>
  <c r="J1164" i="6"/>
  <c r="J1163" i="6"/>
  <c r="J1162" i="6"/>
  <c r="J1161" i="6"/>
  <c r="J1160" i="6"/>
  <c r="J1159" i="6"/>
  <c r="J1158" i="6"/>
  <c r="J1157" i="6"/>
  <c r="J1156" i="6"/>
  <c r="J1155" i="6"/>
  <c r="J1154" i="6"/>
  <c r="J1153" i="6"/>
  <c r="J1152" i="6"/>
  <c r="J1151" i="6"/>
  <c r="J1150" i="6"/>
  <c r="J1149" i="6"/>
  <c r="J1148" i="6"/>
  <c r="J1147" i="6"/>
  <c r="J1146" i="6"/>
  <c r="J1145" i="6"/>
  <c r="J1144" i="6"/>
  <c r="J1143" i="6"/>
  <c r="J1142" i="6"/>
  <c r="J1141" i="6"/>
  <c r="J1140" i="6"/>
  <c r="J1139" i="6"/>
  <c r="J1138" i="6"/>
  <c r="J1137" i="6"/>
  <c r="J1136" i="6"/>
  <c r="J1135" i="6"/>
  <c r="J1134" i="6"/>
  <c r="J1133" i="6"/>
  <c r="J1132" i="6"/>
  <c r="J1131" i="6"/>
  <c r="J1130" i="6"/>
  <c r="J1129" i="6"/>
  <c r="J1128" i="6"/>
  <c r="J1127" i="6"/>
  <c r="J1126" i="6"/>
  <c r="J1125" i="6"/>
  <c r="J1124" i="6"/>
  <c r="J1123" i="6"/>
  <c r="J1122" i="6"/>
  <c r="J1121" i="6"/>
  <c r="J1120" i="6"/>
  <c r="J1119" i="6"/>
  <c r="J1118" i="6"/>
  <c r="J1117" i="6"/>
  <c r="J1116" i="6"/>
  <c r="J1115" i="6"/>
  <c r="J1114" i="6"/>
  <c r="J1113" i="6"/>
  <c r="J1112" i="6"/>
  <c r="J1111" i="6"/>
  <c r="J1110" i="6"/>
  <c r="J1109" i="6"/>
  <c r="J1108" i="6"/>
  <c r="J1107" i="6"/>
  <c r="J1106" i="6"/>
  <c r="J1105" i="6"/>
  <c r="J1104" i="6"/>
  <c r="J1103" i="6"/>
  <c r="J1102" i="6"/>
  <c r="J1101" i="6"/>
  <c r="J1100" i="6"/>
  <c r="J1099" i="6"/>
  <c r="J1098" i="6"/>
  <c r="J1097" i="6"/>
  <c r="J1096" i="6"/>
  <c r="J1095" i="6"/>
  <c r="J1094" i="6"/>
  <c r="J1093" i="6"/>
  <c r="J1092" i="6"/>
  <c r="J1091" i="6"/>
  <c r="J1090" i="6"/>
  <c r="J1089" i="6"/>
  <c r="J1088" i="6"/>
  <c r="J1087" i="6"/>
  <c r="J1086" i="6"/>
  <c r="J1085" i="6"/>
  <c r="J1084" i="6"/>
  <c r="J1083" i="6"/>
  <c r="J1082" i="6"/>
  <c r="J1081" i="6"/>
  <c r="J1080" i="6"/>
  <c r="J1079" i="6"/>
  <c r="J1078" i="6"/>
  <c r="J1077" i="6"/>
  <c r="J1076" i="6"/>
  <c r="J1075" i="6"/>
  <c r="J1074" i="6"/>
  <c r="J1073" i="6"/>
  <c r="J1072" i="6"/>
  <c r="J1071" i="6"/>
  <c r="J1070" i="6"/>
  <c r="J1069" i="6"/>
  <c r="J1068" i="6"/>
  <c r="J1067" i="6"/>
  <c r="J1066" i="6"/>
  <c r="J1065" i="6"/>
  <c r="J1064" i="6"/>
  <c r="J1063" i="6"/>
  <c r="J1062" i="6"/>
  <c r="J1061" i="6"/>
  <c r="J1060" i="6"/>
  <c r="J1059" i="6"/>
  <c r="J1058" i="6"/>
  <c r="J1057" i="6"/>
  <c r="J1056" i="6"/>
  <c r="J1055" i="6"/>
  <c r="J1054" i="6"/>
  <c r="J1053" i="6"/>
  <c r="J1052" i="6"/>
  <c r="J1051" i="6"/>
  <c r="J1050" i="6"/>
  <c r="J1049" i="6"/>
  <c r="J1048" i="6"/>
  <c r="J1047" i="6"/>
  <c r="J1046" i="6"/>
  <c r="J1045" i="6"/>
  <c r="J1044" i="6"/>
  <c r="J1043" i="6"/>
  <c r="J1042" i="6"/>
  <c r="J1041" i="6"/>
  <c r="J1040" i="6"/>
  <c r="J1039" i="6"/>
  <c r="J1038" i="6"/>
  <c r="J1037" i="6"/>
  <c r="J1036" i="6"/>
  <c r="J1035" i="6"/>
  <c r="J1034" i="6"/>
  <c r="J1033" i="6"/>
  <c r="J1032" i="6"/>
  <c r="J1031" i="6"/>
  <c r="J1030" i="6"/>
  <c r="J1029" i="6"/>
  <c r="J1028" i="6"/>
  <c r="J1027" i="6"/>
  <c r="J1026" i="6"/>
  <c r="J1025" i="6"/>
  <c r="J1024" i="6"/>
  <c r="J1023" i="6"/>
  <c r="J1022" i="6"/>
  <c r="J1021" i="6"/>
  <c r="J1020" i="6"/>
  <c r="J1019" i="6"/>
  <c r="J1018" i="6"/>
  <c r="J1017" i="6"/>
  <c r="J1016" i="6"/>
  <c r="J1015" i="6"/>
  <c r="J1014" i="6"/>
  <c r="J1013" i="6"/>
  <c r="J1012" i="6"/>
  <c r="J1011" i="6"/>
  <c r="J1010" i="6"/>
  <c r="J1009" i="6"/>
  <c r="J1008" i="6"/>
  <c r="J1007" i="6"/>
  <c r="J1006" i="6"/>
  <c r="J1005" i="6"/>
  <c r="J1004" i="6"/>
  <c r="J1003" i="6"/>
  <c r="J1002" i="6"/>
  <c r="J1001" i="6"/>
  <c r="J1000" i="6"/>
  <c r="J999" i="6"/>
  <c r="J998" i="6"/>
  <c r="J997" i="6"/>
  <c r="J996" i="6"/>
  <c r="J995" i="6"/>
  <c r="J994" i="6"/>
  <c r="J993" i="6"/>
  <c r="J992" i="6"/>
  <c r="J991" i="6"/>
  <c r="J990" i="6"/>
  <c r="J989" i="6"/>
  <c r="J988" i="6"/>
  <c r="J987" i="6"/>
  <c r="J986" i="6"/>
  <c r="J985" i="6"/>
  <c r="J984" i="6"/>
  <c r="J983" i="6"/>
  <c r="J982" i="6"/>
  <c r="J981" i="6"/>
  <c r="J980" i="6"/>
  <c r="J979" i="6"/>
  <c r="J978" i="6"/>
  <c r="J977" i="6"/>
  <c r="J976" i="6"/>
  <c r="J975" i="6"/>
  <c r="J974" i="6"/>
  <c r="J973" i="6"/>
  <c r="J972" i="6"/>
  <c r="J971" i="6"/>
  <c r="J970" i="6"/>
  <c r="J969" i="6"/>
  <c r="J968" i="6"/>
  <c r="J967" i="6"/>
  <c r="J966" i="6"/>
  <c r="J965" i="6"/>
  <c r="J964" i="6"/>
  <c r="J963" i="6"/>
  <c r="J962" i="6"/>
  <c r="J961" i="6"/>
  <c r="J960" i="6"/>
  <c r="J959" i="6"/>
  <c r="J958" i="6"/>
  <c r="J957" i="6"/>
  <c r="J956" i="6"/>
  <c r="J955" i="6"/>
  <c r="J954" i="6"/>
  <c r="J953" i="6"/>
  <c r="J952" i="6"/>
  <c r="J951" i="6"/>
  <c r="J950" i="6"/>
  <c r="J949" i="6"/>
  <c r="J948" i="6"/>
  <c r="J947" i="6"/>
  <c r="J946" i="6"/>
  <c r="J945" i="6"/>
  <c r="J944" i="6"/>
  <c r="J943" i="6"/>
  <c r="J942" i="6"/>
  <c r="J941" i="6"/>
  <c r="J940" i="6"/>
  <c r="J939" i="6"/>
  <c r="J938" i="6"/>
  <c r="J937" i="6"/>
  <c r="J936" i="6"/>
  <c r="J935" i="6"/>
  <c r="J934" i="6"/>
  <c r="J933" i="6"/>
  <c r="J932" i="6"/>
  <c r="J931" i="6"/>
  <c r="J930" i="6"/>
  <c r="J929" i="6"/>
  <c r="J928" i="6"/>
  <c r="J927" i="6"/>
  <c r="J926" i="6"/>
  <c r="J925" i="6"/>
  <c r="J924" i="6"/>
  <c r="J923" i="6"/>
  <c r="J922" i="6"/>
  <c r="J921" i="6"/>
  <c r="J920" i="6"/>
  <c r="J919" i="6"/>
  <c r="J918" i="6"/>
  <c r="J917" i="6"/>
  <c r="J916" i="6"/>
  <c r="J915" i="6"/>
  <c r="J914" i="6"/>
  <c r="J913" i="6"/>
  <c r="J912" i="6"/>
  <c r="J911" i="6"/>
  <c r="J910" i="6"/>
  <c r="J909" i="6"/>
  <c r="J908" i="6"/>
  <c r="J907" i="6"/>
  <c r="J906" i="6"/>
  <c r="J905" i="6"/>
  <c r="J904" i="6"/>
  <c r="J903" i="6"/>
  <c r="J902" i="6"/>
  <c r="J901" i="6"/>
  <c r="J900" i="6"/>
  <c r="J899" i="6"/>
  <c r="J898" i="6"/>
  <c r="J897" i="6"/>
  <c r="J896" i="6"/>
  <c r="J895" i="6"/>
  <c r="J894" i="6"/>
  <c r="J893" i="6"/>
  <c r="J892" i="6"/>
  <c r="J891" i="6"/>
  <c r="J890" i="6"/>
  <c r="J889" i="6"/>
  <c r="J888" i="6"/>
  <c r="J887" i="6"/>
  <c r="J886" i="6"/>
  <c r="J885" i="6"/>
  <c r="J884" i="6"/>
  <c r="J883" i="6"/>
  <c r="J882" i="6"/>
  <c r="J881" i="6"/>
  <c r="J880" i="6"/>
  <c r="J879" i="6"/>
  <c r="J878" i="6"/>
  <c r="J877" i="6"/>
  <c r="J876" i="6"/>
  <c r="J875" i="6"/>
  <c r="J874" i="6"/>
  <c r="J873" i="6"/>
  <c r="J872" i="6"/>
  <c r="J871" i="6"/>
  <c r="J870" i="6"/>
  <c r="J869" i="6"/>
  <c r="J868" i="6"/>
  <c r="J867" i="6"/>
  <c r="J866" i="6"/>
  <c r="J865" i="6"/>
  <c r="J864" i="6"/>
  <c r="J863" i="6"/>
  <c r="J862" i="6"/>
  <c r="J861" i="6"/>
  <c r="J860" i="6"/>
  <c r="J859" i="6"/>
  <c r="J858" i="6"/>
  <c r="J857" i="6"/>
  <c r="J856" i="6"/>
  <c r="J855" i="6"/>
  <c r="J854" i="6"/>
  <c r="J853" i="6"/>
  <c r="J852" i="6"/>
  <c r="J851" i="6"/>
  <c r="J850" i="6"/>
  <c r="J849" i="6"/>
  <c r="J848" i="6"/>
  <c r="J847" i="6"/>
  <c r="J846" i="6"/>
  <c r="J845" i="6"/>
  <c r="J844" i="6"/>
  <c r="J843" i="6"/>
  <c r="J842" i="6"/>
  <c r="J841" i="6"/>
  <c r="J840" i="6"/>
  <c r="J839" i="6"/>
  <c r="J838" i="6"/>
  <c r="J837" i="6"/>
  <c r="J836" i="6"/>
  <c r="J835" i="6"/>
  <c r="J834" i="6"/>
  <c r="J833" i="6"/>
  <c r="J832" i="6"/>
  <c r="J831" i="6"/>
  <c r="J830" i="6"/>
  <c r="J829" i="6"/>
  <c r="J828" i="6"/>
  <c r="J827" i="6"/>
  <c r="J826" i="6"/>
  <c r="J825" i="6"/>
  <c r="J824" i="6"/>
  <c r="J823" i="6"/>
  <c r="J822" i="6"/>
  <c r="J821" i="6"/>
  <c r="J820" i="6"/>
  <c r="J819" i="6"/>
  <c r="J818" i="6"/>
  <c r="J817" i="6"/>
  <c r="J816" i="6"/>
  <c r="J815" i="6"/>
  <c r="J814" i="6"/>
  <c r="J813" i="6"/>
  <c r="J812" i="6"/>
  <c r="J811" i="6"/>
  <c r="J810" i="6"/>
  <c r="J809" i="6"/>
  <c r="J808" i="6"/>
  <c r="J807" i="6"/>
  <c r="J806" i="6"/>
  <c r="J805" i="6"/>
  <c r="J804" i="6"/>
  <c r="J803" i="6"/>
  <c r="J802" i="6"/>
  <c r="J801" i="6"/>
  <c r="J800" i="6"/>
  <c r="J799" i="6"/>
  <c r="J798" i="6"/>
  <c r="J797" i="6"/>
  <c r="J796" i="6"/>
  <c r="J795" i="6"/>
  <c r="J794" i="6"/>
  <c r="J793" i="6"/>
  <c r="J792" i="6"/>
  <c r="J791" i="6"/>
  <c r="J790" i="6"/>
  <c r="J789" i="6"/>
  <c r="J788" i="6"/>
  <c r="J787" i="6"/>
  <c r="J786" i="6"/>
  <c r="J785" i="6"/>
  <c r="J784" i="6"/>
  <c r="J783" i="6"/>
  <c r="J782" i="6"/>
  <c r="J781" i="6"/>
  <c r="J780" i="6"/>
  <c r="J779" i="6"/>
  <c r="J778" i="6"/>
  <c r="J777" i="6"/>
  <c r="J776" i="6"/>
  <c r="J775" i="6"/>
  <c r="J774" i="6"/>
  <c r="J773" i="6"/>
  <c r="J772" i="6"/>
  <c r="J771" i="6"/>
  <c r="J770" i="6"/>
  <c r="J769" i="6"/>
  <c r="J768" i="6"/>
  <c r="J767" i="6"/>
  <c r="J766" i="6"/>
  <c r="J765" i="6"/>
  <c r="J764" i="6"/>
  <c r="J763" i="6"/>
  <c r="J762" i="6"/>
  <c r="J761" i="6"/>
  <c r="J760" i="6"/>
  <c r="J759" i="6"/>
  <c r="J758" i="6"/>
  <c r="J757" i="6"/>
  <c r="J756" i="6"/>
  <c r="J755" i="6"/>
  <c r="J754" i="6"/>
  <c r="J753" i="6"/>
  <c r="J752" i="6"/>
  <c r="J751" i="6"/>
  <c r="J750" i="6"/>
  <c r="J749" i="6"/>
  <c r="J748" i="6"/>
  <c r="J747" i="6"/>
  <c r="J746" i="6"/>
  <c r="J745" i="6"/>
  <c r="J744" i="6"/>
  <c r="J743" i="6"/>
  <c r="J742" i="6"/>
  <c r="J741" i="6"/>
  <c r="J740" i="6"/>
  <c r="J739" i="6"/>
  <c r="J738" i="6"/>
  <c r="J737" i="6"/>
  <c r="J736" i="6"/>
  <c r="J735" i="6"/>
  <c r="J734" i="6"/>
  <c r="J733" i="6"/>
  <c r="J732" i="6"/>
  <c r="J731" i="6"/>
  <c r="J730" i="6"/>
  <c r="J729" i="6"/>
  <c r="J728" i="6"/>
  <c r="J727" i="6"/>
  <c r="J726" i="6"/>
  <c r="J725" i="6"/>
  <c r="J724" i="6"/>
  <c r="J723" i="6"/>
  <c r="J722" i="6"/>
  <c r="J721" i="6"/>
  <c r="J720" i="6"/>
  <c r="J719" i="6"/>
  <c r="J718" i="6"/>
  <c r="J717" i="6"/>
  <c r="J716" i="6"/>
  <c r="J715" i="6"/>
  <c r="J714" i="6"/>
  <c r="J713" i="6"/>
  <c r="J712" i="6"/>
  <c r="J711" i="6"/>
  <c r="J710" i="6"/>
  <c r="J709" i="6"/>
  <c r="J708" i="6"/>
  <c r="J707" i="6"/>
  <c r="J706" i="6"/>
  <c r="J705" i="6"/>
  <c r="J704" i="6"/>
  <c r="J703" i="6"/>
  <c r="J702" i="6"/>
  <c r="J701" i="6"/>
  <c r="J700" i="6"/>
  <c r="J699" i="6"/>
  <c r="J698" i="6"/>
  <c r="J697" i="6"/>
  <c r="J696" i="6"/>
  <c r="J695" i="6"/>
  <c r="J694" i="6"/>
  <c r="J693" i="6"/>
  <c r="J692" i="6"/>
  <c r="J691" i="6"/>
  <c r="J688" i="6"/>
  <c r="J687" i="6"/>
  <c r="J686" i="6"/>
  <c r="J685" i="6"/>
  <c r="J684" i="6"/>
  <c r="J683" i="6"/>
  <c r="J682" i="6"/>
  <c r="J681" i="6"/>
  <c r="J680" i="6"/>
  <c r="J679" i="6"/>
  <c r="J678" i="6"/>
  <c r="J677" i="6"/>
  <c r="J676" i="6"/>
  <c r="J675" i="6"/>
  <c r="J674" i="6"/>
  <c r="J673" i="6"/>
  <c r="J672" i="6"/>
  <c r="J671" i="6"/>
  <c r="J670" i="6"/>
  <c r="J669" i="6"/>
  <c r="J668" i="6"/>
  <c r="J667" i="6"/>
  <c r="J666" i="6"/>
  <c r="J665" i="6"/>
  <c r="J664" i="6"/>
  <c r="J663" i="6"/>
  <c r="J662" i="6"/>
  <c r="J661" i="6"/>
  <c r="J660" i="6"/>
  <c r="J659" i="6"/>
  <c r="J658" i="6"/>
  <c r="J657" i="6"/>
  <c r="J656" i="6"/>
  <c r="J655" i="6"/>
  <c r="J654" i="6"/>
  <c r="J653" i="6"/>
  <c r="J652" i="6"/>
  <c r="J651" i="6"/>
  <c r="J650" i="6"/>
  <c r="J649" i="6"/>
  <c r="J648" i="6"/>
  <c r="J647" i="6"/>
  <c r="J646" i="6"/>
  <c r="J645" i="6"/>
  <c r="J644" i="6"/>
  <c r="J643" i="6"/>
  <c r="J642" i="6"/>
  <c r="J641" i="6"/>
  <c r="J640" i="6"/>
  <c r="J639" i="6"/>
  <c r="J638" i="6"/>
  <c r="J637" i="6"/>
  <c r="J636" i="6"/>
  <c r="J635" i="6"/>
  <c r="J634" i="6"/>
  <c r="J633" i="6"/>
  <c r="J632" i="6"/>
  <c r="J631" i="6"/>
  <c r="J630" i="6"/>
  <c r="J629" i="6"/>
  <c r="J628" i="6"/>
  <c r="J627" i="6"/>
  <c r="J626" i="6"/>
  <c r="J625" i="6"/>
  <c r="J624" i="6"/>
  <c r="J623" i="6"/>
  <c r="J622" i="6"/>
  <c r="J621" i="6"/>
  <c r="J620" i="6"/>
  <c r="J619" i="6"/>
  <c r="J618" i="6"/>
  <c r="J617" i="6"/>
  <c r="J616" i="6"/>
  <c r="J615" i="6"/>
  <c r="J614" i="6"/>
  <c r="J613" i="6"/>
  <c r="J612" i="6"/>
  <c r="J611" i="6"/>
  <c r="J610" i="6"/>
  <c r="J609" i="6"/>
  <c r="J608" i="6"/>
  <c r="J607" i="6"/>
  <c r="J606" i="6"/>
  <c r="J605" i="6"/>
  <c r="J604" i="6"/>
  <c r="J603" i="6"/>
  <c r="J602" i="6"/>
  <c r="J601" i="6"/>
  <c r="J600" i="6"/>
  <c r="J599" i="6"/>
  <c r="J598" i="6"/>
  <c r="J597" i="6"/>
  <c r="J596" i="6"/>
  <c r="J595" i="6"/>
  <c r="J594" i="6"/>
  <c r="J593" i="6"/>
  <c r="J592" i="6"/>
  <c r="J591" i="6"/>
  <c r="J590" i="6"/>
  <c r="J589" i="6"/>
  <c r="J588" i="6"/>
  <c r="J587" i="6"/>
  <c r="J586" i="6"/>
  <c r="J585" i="6"/>
  <c r="J584" i="6"/>
  <c r="J583" i="6"/>
  <c r="J582" i="6"/>
  <c r="J581" i="6"/>
  <c r="J580" i="6"/>
  <c r="J579" i="6"/>
  <c r="J578" i="6"/>
  <c r="J577" i="6"/>
  <c r="J576" i="6"/>
  <c r="J575" i="6"/>
  <c r="J574" i="6"/>
  <c r="J573" i="6"/>
  <c r="J572" i="6"/>
  <c r="J571" i="6"/>
  <c r="J570" i="6"/>
  <c r="J569" i="6"/>
  <c r="J568" i="6"/>
  <c r="J567" i="6"/>
  <c r="J566" i="6"/>
  <c r="J565" i="6"/>
  <c r="J564" i="6"/>
  <c r="J563" i="6"/>
  <c r="J562" i="6"/>
  <c r="J561" i="6"/>
  <c r="J560" i="6"/>
  <c r="J559" i="6"/>
  <c r="J558" i="6"/>
  <c r="J557" i="6"/>
  <c r="J556" i="6"/>
  <c r="J555" i="6"/>
  <c r="J554" i="6"/>
  <c r="J553" i="6"/>
  <c r="J552" i="6"/>
  <c r="J551" i="6"/>
  <c r="J550" i="6"/>
  <c r="J549" i="6"/>
  <c r="J548" i="6"/>
  <c r="J547" i="6"/>
  <c r="J546" i="6"/>
  <c r="J545" i="6"/>
  <c r="J544" i="6"/>
  <c r="J543" i="6"/>
  <c r="J542" i="6"/>
  <c r="J541" i="6"/>
  <c r="J540" i="6"/>
  <c r="J539" i="6"/>
  <c r="J538" i="6"/>
  <c r="J537" i="6"/>
  <c r="J536" i="6"/>
  <c r="J535" i="6"/>
  <c r="J534" i="6"/>
  <c r="J533" i="6"/>
  <c r="J532" i="6"/>
  <c r="J531" i="6"/>
  <c r="J530" i="6"/>
  <c r="J529" i="6"/>
  <c r="J528" i="6"/>
  <c r="J527" i="6"/>
  <c r="J526" i="6"/>
  <c r="J525" i="6"/>
  <c r="J524" i="6"/>
  <c r="J523" i="6"/>
  <c r="J522" i="6"/>
  <c r="J521" i="6"/>
  <c r="J520" i="6"/>
  <c r="J519" i="6"/>
  <c r="J518" i="6"/>
  <c r="J517" i="6"/>
  <c r="J516" i="6"/>
  <c r="J515" i="6"/>
  <c r="J514" i="6"/>
  <c r="J513" i="6"/>
  <c r="J512" i="6"/>
  <c r="J511" i="6"/>
  <c r="J510" i="6"/>
  <c r="J509" i="6"/>
  <c r="J508" i="6"/>
  <c r="J507" i="6"/>
  <c r="J506" i="6"/>
  <c r="J505" i="6"/>
  <c r="J504" i="6"/>
  <c r="J503" i="6"/>
  <c r="J502" i="6"/>
  <c r="J501" i="6"/>
  <c r="J500" i="6"/>
  <c r="J499" i="6"/>
  <c r="J498" i="6"/>
  <c r="J497" i="6"/>
  <c r="J496" i="6"/>
  <c r="J495" i="6"/>
  <c r="J494" i="6"/>
  <c r="J493" i="6"/>
  <c r="J492" i="6"/>
  <c r="J491" i="6"/>
  <c r="J490" i="6"/>
  <c r="J489" i="6"/>
  <c r="J488" i="6"/>
  <c r="J487" i="6"/>
  <c r="J486" i="6"/>
  <c r="J485" i="6"/>
  <c r="J484" i="6"/>
  <c r="J483" i="6"/>
  <c r="J482" i="6"/>
  <c r="J481" i="6"/>
  <c r="J480" i="6"/>
  <c r="J479" i="6"/>
  <c r="J478" i="6"/>
  <c r="J477" i="6"/>
  <c r="J476" i="6"/>
  <c r="J475" i="6"/>
  <c r="J474" i="6"/>
  <c r="J473" i="6"/>
  <c r="J472" i="6"/>
  <c r="J471" i="6"/>
  <c r="J470" i="6"/>
  <c r="J469" i="6"/>
  <c r="J468" i="6"/>
  <c r="J467" i="6"/>
  <c r="J466" i="6"/>
  <c r="J465" i="6"/>
  <c r="J464" i="6"/>
  <c r="J463" i="6"/>
  <c r="J462" i="6"/>
  <c r="J461" i="6"/>
  <c r="J460" i="6"/>
  <c r="J459" i="6"/>
  <c r="J458" i="6"/>
  <c r="J457" i="6"/>
  <c r="J456" i="6"/>
  <c r="J455" i="6"/>
  <c r="J454" i="6"/>
  <c r="J453" i="6"/>
  <c r="J452" i="6"/>
  <c r="J451" i="6"/>
  <c r="J450" i="6"/>
  <c r="J449" i="6"/>
  <c r="J448" i="6"/>
  <c r="J447" i="6"/>
  <c r="J446" i="6"/>
  <c r="J445" i="6"/>
  <c r="J444" i="6"/>
  <c r="J443" i="6"/>
  <c r="J442" i="6"/>
  <c r="J441" i="6"/>
  <c r="J440" i="6"/>
  <c r="J439" i="6"/>
  <c r="J438" i="6"/>
  <c r="J437" i="6"/>
  <c r="J436" i="6"/>
  <c r="J435" i="6"/>
  <c r="J434" i="6"/>
  <c r="J433" i="6"/>
  <c r="J432" i="6"/>
  <c r="J431" i="6"/>
  <c r="J430" i="6"/>
  <c r="J429" i="6"/>
  <c r="J428" i="6"/>
  <c r="J427" i="6"/>
  <c r="J426" i="6"/>
  <c r="J425" i="6"/>
  <c r="J424" i="6"/>
  <c r="J423" i="6"/>
  <c r="J422" i="6"/>
  <c r="J421" i="6"/>
  <c r="J420" i="6"/>
  <c r="J419" i="6"/>
  <c r="J418" i="6"/>
  <c r="J417" i="6"/>
  <c r="J416" i="6"/>
  <c r="J415" i="6"/>
  <c r="J41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363" i="6"/>
  <c r="J362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</calcChain>
</file>

<file path=xl/sharedStrings.xml><?xml version="1.0" encoding="utf-8"?>
<sst xmlns="http://schemas.openxmlformats.org/spreadsheetml/2006/main" count="12732" uniqueCount="1659">
  <si>
    <t>tipoCartera</t>
  </si>
  <si>
    <t>programaCredito</t>
  </si>
  <si>
    <t>tipoOperacion</t>
  </si>
  <si>
    <t>tipoMoneda</t>
  </si>
  <si>
    <t>tipoAgrupamiento</t>
  </si>
  <si>
    <t>numeroPagare</t>
  </si>
  <si>
    <t>numeroObligacionIntermediario</t>
  </si>
  <si>
    <t>fechaSuscripcion</t>
  </si>
  <si>
    <t>fechaDesembolso</t>
  </si>
  <si>
    <t>oficinaPagare</t>
  </si>
  <si>
    <t>oficinaObligacion</t>
  </si>
  <si>
    <t>codigo</t>
  </si>
  <si>
    <t>cantidad</t>
  </si>
  <si>
    <t>correoElectronico</t>
  </si>
  <si>
    <t>cumpleCondicionesProductorAgrupacion</t>
  </si>
  <si>
    <t>tipoAgrupacion</t>
  </si>
  <si>
    <t>tipoPersona</t>
  </si>
  <si>
    <t>tipoProductor</t>
  </si>
  <si>
    <t>actividadEconomica</t>
  </si>
  <si>
    <t>tipo</t>
  </si>
  <si>
    <t>numeroIdentificacion</t>
  </si>
  <si>
    <t>Razonsocial</t>
  </si>
  <si>
    <t>direccion</t>
  </si>
  <si>
    <t>municipio</t>
  </si>
  <si>
    <t>prefijo</t>
  </si>
  <si>
    <t>numero</t>
  </si>
  <si>
    <t>valor</t>
  </si>
  <si>
    <t>fechaCorte</t>
  </si>
  <si>
    <t>fechaInicialEjecucion</t>
  </si>
  <si>
    <t>fechaFinalEjecucion</t>
  </si>
  <si>
    <t>tipo2</t>
  </si>
  <si>
    <t>municipio3</t>
  </si>
  <si>
    <t>direccion4</t>
  </si>
  <si>
    <t>codigo5</t>
  </si>
  <si>
    <t>unidadesAFinanciar</t>
  </si>
  <si>
    <t>costoInversion</t>
  </si>
  <si>
    <t>valorAFinanciar</t>
  </si>
  <si>
    <t>fechaVencimientoFinal</t>
  </si>
  <si>
    <t>plazoCredito</t>
  </si>
  <si>
    <t>valorTotalCredito</t>
  </si>
  <si>
    <t>porcentaje</t>
  </si>
  <si>
    <t>valorObligacion</t>
  </si>
  <si>
    <t>registro</t>
  </si>
  <si>
    <t>fechaAplicacionHasta</t>
  </si>
  <si>
    <t>conceptoRegistroCuota</t>
  </si>
  <si>
    <t>periodicidadIntereses</t>
  </si>
  <si>
    <t>periodicidadCapital</t>
  </si>
  <si>
    <t>tasaBaseBeneficiario</t>
  </si>
  <si>
    <t>margenTasaBeneficiario</t>
  </si>
  <si>
    <t>valorCuotaCapital</t>
  </si>
  <si>
    <t>porcentajeCapitalizacionIntereses</t>
  </si>
  <si>
    <t>margenTasaRedescuento</t>
  </si>
  <si>
    <t>K</t>
  </si>
  <si>
    <t>digitoVerificacion</t>
  </si>
  <si>
    <t>PrimerApellido</t>
  </si>
  <si>
    <t>PrimerNombre</t>
  </si>
  <si>
    <t>SegundoApellido</t>
  </si>
  <si>
    <t>SegundoNombre</t>
  </si>
  <si>
    <t>Anticipo</t>
  </si>
  <si>
    <t>valorTotalProyecto</t>
  </si>
  <si>
    <t>valorTotalAFinanciar</t>
  </si>
  <si>
    <t>plazoFinanciacion</t>
  </si>
  <si>
    <t>numeroProyecto</t>
  </si>
  <si>
    <t>numeroDesembolso</t>
  </si>
  <si>
    <t>desembolsos</t>
  </si>
  <si>
    <t>PE</t>
  </si>
  <si>
    <t>valorIngresos</t>
  </si>
  <si>
    <t>Line</t>
  </si>
  <si>
    <t>&lt;obligacion</t>
  </si>
  <si>
    <t>tipoCartera="2"</t>
  </si>
  <si>
    <t>programaCredito="732"</t>
  </si>
  <si>
    <t>tipoOperacion="1"</t>
  </si>
  <si>
    <t>tipoMoneda="1"</t>
  </si>
  <si>
    <t>tipoAgrupamiento="1"</t>
  </si>
  <si>
    <t>numeroObligacionIntermediario="46155"</t>
  </si>
  <si>
    <t>fechaSuscripcion="2023-06-06"</t>
  </si>
  <si>
    <t>fechaDesembolso="2023-06-16"&gt;</t>
  </si>
  <si>
    <t>numeroObligacionIntermediario="46156"</t>
  </si>
  <si>
    <t>numeroObligacionIntermediario="46157"</t>
  </si>
  <si>
    <t>numeroObligacionIntermediario="46158"</t>
  </si>
  <si>
    <t>numeroObligacionIntermediario="46159"</t>
  </si>
  <si>
    <t>numeroObligacionIntermediario="46160"</t>
  </si>
  <si>
    <t>numeroObligacionIntermediario="46161"</t>
  </si>
  <si>
    <t>numeroObligacionIntermediario="46162"</t>
  </si>
  <si>
    <t>numeroObligacionIntermediario="46163"</t>
  </si>
  <si>
    <t>numeroObligacionIntermediario="46164"</t>
  </si>
  <si>
    <t>numeroObligacionIntermediario="46165"</t>
  </si>
  <si>
    <t>numeroObligacionIntermediario="46166"</t>
  </si>
  <si>
    <t>numeroObligacionIntermediario="46167"</t>
  </si>
  <si>
    <t>numeroObligacionIntermediario="46168"</t>
  </si>
  <si>
    <t>numeroObligacionIntermediario="46169"</t>
  </si>
  <si>
    <t>numeroObligacionIntermediario="46170"</t>
  </si>
  <si>
    <t>numeroObligacionIntermediario="46171"</t>
  </si>
  <si>
    <t>numeroObligacionIntermediario="46172"</t>
  </si>
  <si>
    <t>numeroObligacionIntermediario="46173"</t>
  </si>
  <si>
    <t>numeroObligacionIntermediario="46174"</t>
  </si>
  <si>
    <t>numeroObligacionIntermediario="46175"</t>
  </si>
  <si>
    <t>numeroObligacionIntermediario="46176"</t>
  </si>
  <si>
    <t>numeroObligacionIntermediario="46177"</t>
  </si>
  <si>
    <t>numeroObligacionIntermediario="46178"</t>
  </si>
  <si>
    <t>numeroObligacionIntermediario="46179"</t>
  </si>
  <si>
    <t>numeroObligacionIntermediario="46180"</t>
  </si>
  <si>
    <t>numeroObligacionIntermediario="46181"</t>
  </si>
  <si>
    <t>numeroObligacionIntermediario="46182"</t>
  </si>
  <si>
    <t>numeroObligacionIntermediario="46183"</t>
  </si>
  <si>
    <t>numeroObligacionIntermediario="46184"</t>
  </si>
  <si>
    <t>numeroObligacionIntermediario="46185"</t>
  </si>
  <si>
    <t>numeroObligacionIntermediario="46186"</t>
  </si>
  <si>
    <t>numeroObligacionIntermediario="46187"</t>
  </si>
  <si>
    <t>numeroObligacionIntermediario="46188"</t>
  </si>
  <si>
    <t>numeroObligacionIntermediario="46189"</t>
  </si>
  <si>
    <t>numeroObligacionIntermediario="46190"</t>
  </si>
  <si>
    <t>numeroObligacionIntermediario="46191"</t>
  </si>
  <si>
    <t>numeroObligacionIntermediario="46192"</t>
  </si>
  <si>
    <t>numeroObligacionIntermediario="46193"</t>
  </si>
  <si>
    <t>numeroObligacionIntermediario="46194"</t>
  </si>
  <si>
    <t>numeroObligacionIntermediario="46195"</t>
  </si>
  <si>
    <t>numeroObligacionIntermediario="46196"</t>
  </si>
  <si>
    <t>numeroObligacionIntermediario="46197"</t>
  </si>
  <si>
    <t>numeroObligacionIntermediario="46198"</t>
  </si>
  <si>
    <t>numeroObligacionIntermediario="46199"</t>
  </si>
  <si>
    <t>numeroObligacionIntermediario="46200"</t>
  </si>
  <si>
    <t>numeroObligacionIntermediario="46201"</t>
  </si>
  <si>
    <t>numeroObligacionIntermediario="46202"</t>
  </si>
  <si>
    <t>numeroObligacionIntermediario="46203"</t>
  </si>
  <si>
    <t>numeroObligacionIntermediario="46204"</t>
  </si>
  <si>
    <t>numeroObligacionIntermediario="46205"</t>
  </si>
  <si>
    <t>fechaSuscripcion="2023-06-07"</t>
  </si>
  <si>
    <t>numeroObligacionIntermediario="46206"</t>
  </si>
  <si>
    <t>numeroObligacionIntermediario="46207"</t>
  </si>
  <si>
    <t>numeroObligacionIntermediario="46208"</t>
  </si>
  <si>
    <t>numeroObligacionIntermediario="46209"</t>
  </si>
  <si>
    <t>numeroObligacionIntermediario="46210"</t>
  </si>
  <si>
    <t>numeroObligacionIntermediario="46211"</t>
  </si>
  <si>
    <t>numeroObligacionIntermediario="46212"</t>
  </si>
  <si>
    <t>numeroObligacionIntermediario="46213"</t>
  </si>
  <si>
    <t>numeroObligacionIntermediario="46214"</t>
  </si>
  <si>
    <t>numeroObligacionIntermediario="46215"</t>
  </si>
  <si>
    <t>numeroObligacionIntermediario="46216"</t>
  </si>
  <si>
    <t>numeroObligacionIntermediario="46217"</t>
  </si>
  <si>
    <t>numeroObligacionIntermediario="46218"</t>
  </si>
  <si>
    <t>numeroObligacionIntermediario="46219"</t>
  </si>
  <si>
    <t>numeroObligacionIntermediario="46220"</t>
  </si>
  <si>
    <t>numeroObligacionIntermediario="46221"</t>
  </si>
  <si>
    <t>numeroObligacionIntermediario="46222"</t>
  </si>
  <si>
    <t>numeroObligacionIntermediario="46223"</t>
  </si>
  <si>
    <t>numeroObligacionIntermediario="46224"</t>
  </si>
  <si>
    <t>numeroObligacionIntermediario="46225"</t>
  </si>
  <si>
    <t>numeroObligacionIntermediario="46226"</t>
  </si>
  <si>
    <t>numeroObligacionIntermediario="46227"</t>
  </si>
  <si>
    <t>numeroObligacionIntermediario="46228"</t>
  </si>
  <si>
    <t>numeroObligacionIntermediario="46229"</t>
  </si>
  <si>
    <t>numeroObligacionIntermediario="46230"</t>
  </si>
  <si>
    <t>numeroObligacionIntermediario="46231"</t>
  </si>
  <si>
    <t>numeroObligacionIntermediario="46232"</t>
  </si>
  <si>
    <t>numeroObligacionIntermediario="46233"</t>
  </si>
  <si>
    <t>numeroObligacionIntermediario="46234"</t>
  </si>
  <si>
    <t>numeroObligacionIntermediario="46235"</t>
  </si>
  <si>
    <t>numeroObligacionIntermediario="46236"</t>
  </si>
  <si>
    <t>numeroObligacionIntermediario="46237"</t>
  </si>
  <si>
    <t>numeroObligacionIntermediario="46238"</t>
  </si>
  <si>
    <t>numeroObligacionIntermediario="46239"</t>
  </si>
  <si>
    <t>numeroObligacionIntermediario="46240"</t>
  </si>
  <si>
    <t>numeroObligacionIntermediario="46241"</t>
  </si>
  <si>
    <t>numeroObligacionIntermediario="46242"</t>
  </si>
  <si>
    <t>numeroObligacionIntermediario="46243"</t>
  </si>
  <si>
    <t>numeroObligacionIntermediario="46244"</t>
  </si>
  <si>
    <t>numeroObligacionIntermediario="46245"</t>
  </si>
  <si>
    <t>numeroObligacionIntermediario="46246"</t>
  </si>
  <si>
    <t>numeroObligacionIntermediario="46247"</t>
  </si>
  <si>
    <t>numeroObligacionIntermediario="46248"</t>
  </si>
  <si>
    <t>numeroObligacionIntermediario="46249"</t>
  </si>
  <si>
    <t>numeroObligacionIntermediario="46250"</t>
  </si>
  <si>
    <t>numeroObligacionIntermediario="46251"</t>
  </si>
  <si>
    <t>numeroObligacionIntermediario="46252"</t>
  </si>
  <si>
    <t>numeroObligacionIntermediario="46253"</t>
  </si>
  <si>
    <t>numeroObligacionIntermediario="46254"</t>
  </si>
  <si>
    <t>numeroObligacionIntermediario="46255"</t>
  </si>
  <si>
    <t>numeroObligacionIntermediario="46256"</t>
  </si>
  <si>
    <t>numeroObligacionIntermediario="46257"</t>
  </si>
  <si>
    <t>numeroObligacionIntermediario="46258"</t>
  </si>
  <si>
    <t>numeroObligacionIntermediario="46259"</t>
  </si>
  <si>
    <t>numeroObligacionIntermediario="46260"</t>
  </si>
  <si>
    <t>numeroObligacionIntermediario="46261"</t>
  </si>
  <si>
    <t>numeroObligacionIntermediario="46262"</t>
  </si>
  <si>
    <t>numeroObligacionIntermediario="46263"</t>
  </si>
  <si>
    <t>numeroObligacionIntermediario="46264"</t>
  </si>
  <si>
    <t>numeroObligacionIntermediario="46265"</t>
  </si>
  <si>
    <t>numeroObligacionIntermediario="46266"</t>
  </si>
  <si>
    <t>numeroObligacionIntermediario="46267"</t>
  </si>
  <si>
    <t>numeroObligacionIntermediario="46268"</t>
  </si>
  <si>
    <t>numeroObligacionIntermediario="46269"</t>
  </si>
  <si>
    <t>numeroObligacionIntermediario="46270"</t>
  </si>
  <si>
    <t>numeroObligacionIntermediario="46271"</t>
  </si>
  <si>
    <t>numeroObligacionIntermediario="46272"</t>
  </si>
  <si>
    <t>numeroObligacionIntermediario="46273"</t>
  </si>
  <si>
    <t>numeroObligacionIntermediario="46274"</t>
  </si>
  <si>
    <t>numeroObligacionIntermediario="46275"</t>
  </si>
  <si>
    <t>numeroObligacionIntermediario="46276"</t>
  </si>
  <si>
    <t>numeroObligacionIntermediario="46277"</t>
  </si>
  <si>
    <t>numeroObligacionIntermediario="46278"</t>
  </si>
  <si>
    <t>numeroObligacionIntermediario="46279"</t>
  </si>
  <si>
    <t>numeroObligacionIntermediario="46280"</t>
  </si>
  <si>
    <t>numeroObligacionIntermediario="46281"</t>
  </si>
  <si>
    <t>numeroObligacionIntermediario="46282"</t>
  </si>
  <si>
    <t>numeroObligacionIntermediario="46283"</t>
  </si>
  <si>
    <t>numeroObligacionIntermediario="46284"</t>
  </si>
  <si>
    <t>numeroObligacionIntermediario="46285"</t>
  </si>
  <si>
    <t>numeroObligacionIntermediario="46286"</t>
  </si>
  <si>
    <t>numeroObligacionIntermediario="46287"</t>
  </si>
  <si>
    <t>numeroObligacionIntermediario="46288"</t>
  </si>
  <si>
    <t>numeroObligacionIntermediario="46289"</t>
  </si>
  <si>
    <t>numeroObligacionIntermediario="46290"</t>
  </si>
  <si>
    <t>numeroObligacionIntermediario="46291"</t>
  </si>
  <si>
    <t>numeroObligacionIntermediario="46292"</t>
  </si>
  <si>
    <t>numeroObligacionIntermediario="46293"</t>
  </si>
  <si>
    <t>numeroObligacionIntermediario="46294"</t>
  </si>
  <si>
    <t>numeroObligacionIntermediario="46295"</t>
  </si>
  <si>
    <t>numeroObligacionIntermediario="46296"</t>
  </si>
  <si>
    <t>numeroObligacionIntermediario="46297"</t>
  </si>
  <si>
    <t>numeroObligacionIntermediario="46298"</t>
  </si>
  <si>
    <t>numeroObligacionIntermediario="46299"</t>
  </si>
  <si>
    <t>numeroObligacionIntermediario="46300"</t>
  </si>
  <si>
    <t>numeroObligacionIntermediario="46301"</t>
  </si>
  <si>
    <t>numeroObligacionIntermediario="46302"</t>
  </si>
  <si>
    <t>numeroObligacionIntermediario="46303"</t>
  </si>
  <si>
    <t>numeroObligacionIntermediario="46304"</t>
  </si>
  <si>
    <t>numeroObligacionIntermediario="46305"</t>
  </si>
  <si>
    <t>numeroObligacionIntermediario="46306"</t>
  </si>
  <si>
    <t>numeroObligacionIntermediario="46307"</t>
  </si>
  <si>
    <t>numeroObligacionIntermediario="46308"</t>
  </si>
  <si>
    <t>numeroObligacionIntermediario="46309"</t>
  </si>
  <si>
    <t>numeroObligacionIntermediario="46310"</t>
  </si>
  <si>
    <t>numeroObligacionIntermediario="46311"</t>
  </si>
  <si>
    <t>numeroObligacionIntermediario="46312"</t>
  </si>
  <si>
    <t>numeroObligacionIntermediario="46313"</t>
  </si>
  <si>
    <t>numeroObligacionIntermediario="46314"</t>
  </si>
  <si>
    <t>numeroObligacionIntermediario="46315"</t>
  </si>
  <si>
    <t>numeroObligacionIntermediario="46316"</t>
  </si>
  <si>
    <t>numeroObligacionIntermediario="46317"</t>
  </si>
  <si>
    <t>numeroObligacionIntermediario="46318"</t>
  </si>
  <si>
    <t>numeroObligacionIntermediario="46319"</t>
  </si>
  <si>
    <t>numeroObligacionIntermediario="46320"</t>
  </si>
  <si>
    <t>numeroObligacionIntermediario="46321"</t>
  </si>
  <si>
    <t>numeroObligacionIntermediario="46322"</t>
  </si>
  <si>
    <t>numeroObligacionIntermediario="46323"</t>
  </si>
  <si>
    <t>numeroObligacionIntermediario="46324"</t>
  </si>
  <si>
    <t>numeroObligacionIntermediario="46325"</t>
  </si>
  <si>
    <t>numeroObligacionIntermediario="46326"</t>
  </si>
  <si>
    <t>numeroObligacionIntermediario="46327"</t>
  </si>
  <si>
    <t>numeroObligacionIntermediario="46328"</t>
  </si>
  <si>
    <t>numeroObligacionIntermediario="46329"</t>
  </si>
  <si>
    <t>numeroObligacionIntermediario="46330"</t>
  </si>
  <si>
    <t>numeroObligacionIntermediario="46331"</t>
  </si>
  <si>
    <t>numeroObligacionIntermediario="46332"</t>
  </si>
  <si>
    <t>numeroObligacionIntermediario="46333"</t>
  </si>
  <si>
    <t>numeroObligacionIntermediario="46334"</t>
  </si>
  <si>
    <t>numeroObligacionIntermediario="46335"</t>
  </si>
  <si>
    <t>numeroObligacionIntermediario="46336"</t>
  </si>
  <si>
    <t>numeroObligacionIntermediario="46337"</t>
  </si>
  <si>
    <t>numeroObligacionIntermediario="46338"</t>
  </si>
  <si>
    <t>numeroObligacionIntermediario="46339"</t>
  </si>
  <si>
    <t>numeroObligacionIntermediario="46340"</t>
  </si>
  <si>
    <t>numeroObligacionIntermediario="46341"</t>
  </si>
  <si>
    <t>numeroObligacionIntermediario="46342"</t>
  </si>
  <si>
    <t>numeroObligacionIntermediario="46343"</t>
  </si>
  <si>
    <t>numeroObligacionIntermediario="46344"</t>
  </si>
  <si>
    <t>numeroObligacionIntermediario="46345"</t>
  </si>
  <si>
    <t>numeroObligacionIntermediario="46346"</t>
  </si>
  <si>
    <t>numeroObligacionIntermediario="46347"</t>
  </si>
  <si>
    <t>numeroObligacionIntermediario="46348"</t>
  </si>
  <si>
    <t>numeroObligacionIntermediario="46349"</t>
  </si>
  <si>
    <t>numeroObligacionIntermediario="46350"</t>
  </si>
  <si>
    <t>numeroObligacionIntermediario="46351"</t>
  </si>
  <si>
    <t>numeroObligacionIntermediario="46352"</t>
  </si>
  <si>
    <t>numeroObligacionIntermediario="46353"</t>
  </si>
  <si>
    <t>numeroObligacionIntermediario="46354"</t>
  </si>
  <si>
    <t>numeroObligacionIntermediario="46355"</t>
  </si>
  <si>
    <t>numeroObligacionIntermediario="46356"</t>
  </si>
  <si>
    <t>numeroObligacionIntermediario="46357"</t>
  </si>
  <si>
    <t>numeroObligacionIntermediario="46358"</t>
  </si>
  <si>
    <t>numeroObligacionIntermediario="46359"</t>
  </si>
  <si>
    <t>numeroObligacionIntermediario="46360"</t>
  </si>
  <si>
    <t>numeroObligacionIntermediario="46361"</t>
  </si>
  <si>
    <t>numeroObligacionIntermediario="46362"</t>
  </si>
  <si>
    <t>numeroObligacionIntermediario="46363"</t>
  </si>
  <si>
    <t>numeroObligacionIntermediario="46364"</t>
  </si>
  <si>
    <t>numeroObligacionIntermediario="46365"</t>
  </si>
  <si>
    <t>numeroObligacionIntermediario="46366"</t>
  </si>
  <si>
    <t>numeroObligacionIntermediario="46367"</t>
  </si>
  <si>
    <t>numeroObligacionIntermediario="46368"</t>
  </si>
  <si>
    <t>numeroObligacionIntermediario="46369"</t>
  </si>
  <si>
    <t>numeroObligacionIntermediario="46370"</t>
  </si>
  <si>
    <t>numeroObligacionIntermediario="46371"</t>
  </si>
  <si>
    <t>numeroObligacionIntermediario="46372"</t>
  </si>
  <si>
    <t>numeroObligacionIntermediario="46373"</t>
  </si>
  <si>
    <t>numeroObligacionIntermediario="46374"</t>
  </si>
  <si>
    <t>numeroObligacionIntermediario="46375"</t>
  </si>
  <si>
    <t>numeroObligacionIntermediario="46376"</t>
  </si>
  <si>
    <t>numeroObligacionIntermediario="46377"</t>
  </si>
  <si>
    <t>numeroObligacionIntermediario="46378"</t>
  </si>
  <si>
    <t>numeroObligacionIntermediario="46379"</t>
  </si>
  <si>
    <t>numeroObligacionIntermediario="46380"</t>
  </si>
  <si>
    <t>numeroObligacionIntermediario="46381"</t>
  </si>
  <si>
    <t>numeroObligacionIntermediario="46382"</t>
  </si>
  <si>
    <t>numeroObligacionIntermediario="46383"</t>
  </si>
  <si>
    <t>numeroObligacionIntermediario="46384"</t>
  </si>
  <si>
    <t>numeroObligacionIntermediario="46385"</t>
  </si>
  <si>
    <t>numeroObligacionIntermediario="46386"</t>
  </si>
  <si>
    <t>numeroObligacionIntermediario="46387"</t>
  </si>
  <si>
    <t>numeroObligacionIntermediario="46388"</t>
  </si>
  <si>
    <t>numeroObligacionIntermediario="46389"</t>
  </si>
  <si>
    <t>numeroObligacionIntermediario="46390"</t>
  </si>
  <si>
    <t>numeroObligacionIntermediario="46391"</t>
  </si>
  <si>
    <t>numeroObligacionIntermediario="46392"</t>
  </si>
  <si>
    <t>numeroObligacionIntermediario="46393"</t>
  </si>
  <si>
    <t>numeroObligacionIntermediario="46394"</t>
  </si>
  <si>
    <t>numeroObligacionIntermediario="46395"</t>
  </si>
  <si>
    <t>numeroObligacionIntermediario="46396"</t>
  </si>
  <si>
    <t>numeroObligacionIntermediario="46397"</t>
  </si>
  <si>
    <t>numeroObligacionIntermediario="46398"</t>
  </si>
  <si>
    <t>numeroObligacionIntermediario="46399"</t>
  </si>
  <si>
    <t>numeroObligacionIntermediario="46400"</t>
  </si>
  <si>
    <t>numeroObligacionIntermediario="46401"</t>
  </si>
  <si>
    <t>numeroObligacionIntermediario="46402"</t>
  </si>
  <si>
    <t>numeroObligacionIntermediario="46403"</t>
  </si>
  <si>
    <t>numeroObligacionIntermediario="46404"</t>
  </si>
  <si>
    <t>numeroObligacionIntermediario="46405"</t>
  </si>
  <si>
    <t>fechaSuscripcion="2023-06-08"</t>
  </si>
  <si>
    <t>numeroObligacionIntermediario="46406"</t>
  </si>
  <si>
    <t>numeroObligacionIntermediario="46407"</t>
  </si>
  <si>
    <t>numeroObligacionIntermediario="46408"</t>
  </si>
  <si>
    <t>numeroObligacionIntermediario="46409"</t>
  </si>
  <si>
    <t>numeroObligacionIntermediario="46410"</t>
  </si>
  <si>
    <t>numeroObligacionIntermediario="46411"</t>
  </si>
  <si>
    <t>numeroObligacionIntermediario="46412"</t>
  </si>
  <si>
    <t>numeroObligacionIntermediario="46413"</t>
  </si>
  <si>
    <t>numeroObligacionIntermediario="46414"</t>
  </si>
  <si>
    <t>numeroObligacionIntermediario="46415"</t>
  </si>
  <si>
    <t>numeroObligacionIntermediario="46416"</t>
  </si>
  <si>
    <t>numeroObligacionIntermediario="46417"</t>
  </si>
  <si>
    <t>numeroObligacionIntermediario="46418"</t>
  </si>
  <si>
    <t>numeroObligacionIntermediario="46419"</t>
  </si>
  <si>
    <t>numeroObligacionIntermediario="46420"</t>
  </si>
  <si>
    <t>numeroObligacionIntermediario="46421"</t>
  </si>
  <si>
    <t>numeroObligacionIntermediario="46422"</t>
  </si>
  <si>
    <t>numeroObligacionIntermediario="46423"</t>
  </si>
  <si>
    <t>numeroObligacionIntermediario="46424"</t>
  </si>
  <si>
    <t>numeroObligacionIntermediario="46425"</t>
  </si>
  <si>
    <t>numeroObligacionIntermediario="46426"</t>
  </si>
  <si>
    <t>numeroObligacionIntermediario="46427"</t>
  </si>
  <si>
    <t>numeroObligacionIntermediario="46428"</t>
  </si>
  <si>
    <t>numeroObligacionIntermediario="46429"</t>
  </si>
  <si>
    <t>numeroObligacionIntermediario="46430"</t>
  </si>
  <si>
    <t>numeroObligacionIntermediario="46431"</t>
  </si>
  <si>
    <t>numeroObligacionIntermediario="46432"</t>
  </si>
  <si>
    <t>numeroObligacionIntermediario="46433"</t>
  </si>
  <si>
    <t>numeroObligacionIntermediario="46434"</t>
  </si>
  <si>
    <t>numeroObligacionIntermediario="46435"</t>
  </si>
  <si>
    <t>numeroObligacionIntermediario="46436"</t>
  </si>
  <si>
    <t>numeroObligacionIntermediario="46437"</t>
  </si>
  <si>
    <t>numeroObligacionIntermediario="46438"</t>
  </si>
  <si>
    <t>numeroObligacionIntermediario="46439"</t>
  </si>
  <si>
    <t>numeroObligacionIntermediario="46440"</t>
  </si>
  <si>
    <t>numeroObligacionIntermediario="46441"</t>
  </si>
  <si>
    <t>numeroObligacionIntermediario="46442"</t>
  </si>
  <si>
    <t>numeroObligacionIntermediario="46443"</t>
  </si>
  <si>
    <t>numeroObligacionIntermediario="46444"</t>
  </si>
  <si>
    <t>numeroObligacionIntermediario="46445"</t>
  </si>
  <si>
    <t>numeroObligacionIntermediario="46446"</t>
  </si>
  <si>
    <t>numeroObligacionIntermediario="46447"</t>
  </si>
  <si>
    <t>numeroObligacionIntermediario="46448"</t>
  </si>
  <si>
    <t>numeroObligacionIntermediario="46449"</t>
  </si>
  <si>
    <t>numeroObligacionIntermediario="46450"</t>
  </si>
  <si>
    <t>numeroObligacionIntermediario="46451"</t>
  </si>
  <si>
    <t>numeroObligacionIntermediario="46452"</t>
  </si>
  <si>
    <t>numeroObligacionIntermediario="46453"</t>
  </si>
  <si>
    <t>numeroObligacionIntermediario="46454"</t>
  </si>
  <si>
    <t>numeroObligacionIntermediario="46455"</t>
  </si>
  <si>
    <t>numeroObligacionIntermediario="46456"</t>
  </si>
  <si>
    <t>numeroObligacionIntermediario="46457"</t>
  </si>
  <si>
    <t>numeroObligacionIntermediario="46458"</t>
  </si>
  <si>
    <t>numeroObligacionIntermediario="46459"</t>
  </si>
  <si>
    <t>numeroObligacionIntermediario="46460"</t>
  </si>
  <si>
    <t>numeroObligacionIntermediario="46461"</t>
  </si>
  <si>
    <t>numeroObligacionIntermediario="46462"</t>
  </si>
  <si>
    <t>numeroObligacionIntermediario="46463"</t>
  </si>
  <si>
    <t>numeroObligacionIntermediario="46464"</t>
  </si>
  <si>
    <t>numeroObligacionIntermediario="46465"</t>
  </si>
  <si>
    <t>numeroObligacionIntermediario="46466"</t>
  </si>
  <si>
    <t>numeroObligacionIntermediario="46467"</t>
  </si>
  <si>
    <t>numeroObligacionIntermediario="46468"</t>
  </si>
  <si>
    <t>numeroObligacionIntermediario="46469"</t>
  </si>
  <si>
    <t>numeroObligacionIntermediario="46470"</t>
  </si>
  <si>
    <t>numeroObligacionIntermediario="46471"</t>
  </si>
  <si>
    <t>numeroObligacionIntermediario="46472"</t>
  </si>
  <si>
    <t>numeroObligacionIntermediario="46473"</t>
  </si>
  <si>
    <t>numeroObligacionIntermediario="46474"</t>
  </si>
  <si>
    <t>numeroObligacionIntermediario="46475"</t>
  </si>
  <si>
    <t>numeroObligacionIntermediario="46476"</t>
  </si>
  <si>
    <t>numeroObligacionIntermediario="46477"</t>
  </si>
  <si>
    <t>numeroObligacionIntermediario="46478"</t>
  </si>
  <si>
    <t>numeroObligacionIntermediario="46479"</t>
  </si>
  <si>
    <t>numeroObligacionIntermediario="46480"</t>
  </si>
  <si>
    <t>numeroObligacionIntermediario="46481"</t>
  </si>
  <si>
    <t>numeroObligacionIntermediario="46482"</t>
  </si>
  <si>
    <t>numeroObligacionIntermediario="46483"</t>
  </si>
  <si>
    <t>numeroObligacionIntermediario="46484"</t>
  </si>
  <si>
    <t>numeroObligacionIntermediario="46485"</t>
  </si>
  <si>
    <t>numeroObligacionIntermediario="46486"</t>
  </si>
  <si>
    <t>numeroObligacionIntermediario="46487"</t>
  </si>
  <si>
    <t>numeroObligacionIntermediario="46488"</t>
  </si>
  <si>
    <t>numeroObligacionIntermediario="46489"</t>
  </si>
  <si>
    <t>numeroObligacionIntermediario="46490"</t>
  </si>
  <si>
    <t>numeroObligacionIntermediario="46491"</t>
  </si>
  <si>
    <t>numeroObligacionIntermediario="46492"</t>
  </si>
  <si>
    <t>numeroObligacionIntermediario="46493"</t>
  </si>
  <si>
    <t>numeroObligacionIntermediario="46494"</t>
  </si>
  <si>
    <t>numeroObligacionIntermediario="46495"</t>
  </si>
  <si>
    <t>numeroObligacionIntermediario="46496"</t>
  </si>
  <si>
    <t>numeroObligacionIntermediario="46497"</t>
  </si>
  <si>
    <t>numeroObligacionIntermediario="46498"</t>
  </si>
  <si>
    <t>numeroObligacionIntermediario="46499"</t>
  </si>
  <si>
    <t>10008:</t>
  </si>
  <si>
    <t>numeroObligacionIntermediario="46500"</t>
  </si>
  <si>
    <t>10037:</t>
  </si>
  <si>
    <t>numeroObligacionIntermediario="46501"</t>
  </si>
  <si>
    <t>10066:</t>
  </si>
  <si>
    <t>numeroObligacionIntermediario="46502"</t>
  </si>
  <si>
    <t>10095:</t>
  </si>
  <si>
    <t>numeroObligacionIntermediario="46503"</t>
  </si>
  <si>
    <t>10124:</t>
  </si>
  <si>
    <t>numeroObligacionIntermediario="46504"</t>
  </si>
  <si>
    <t>10153:</t>
  </si>
  <si>
    <t>numeroObligacionIntermediario="46505"</t>
  </si>
  <si>
    <t>10182:</t>
  </si>
  <si>
    <t>numeroObligacionIntermediario="46506"</t>
  </si>
  <si>
    <t>10211:</t>
  </si>
  <si>
    <t>numeroObligacionIntermediario="46507"</t>
  </si>
  <si>
    <t>10240:</t>
  </si>
  <si>
    <t>numeroObligacionIntermediario="46508"</t>
  </si>
  <si>
    <t>10269:</t>
  </si>
  <si>
    <t>numeroObligacionIntermediario="46509"</t>
  </si>
  <si>
    <t>10298:</t>
  </si>
  <si>
    <t>numeroObligacionIntermediario="46510"</t>
  </si>
  <si>
    <t>10327:</t>
  </si>
  <si>
    <t>numeroObligacionIntermediario="46511"</t>
  </si>
  <si>
    <t>10356:</t>
  </si>
  <si>
    <t>numeroObligacionIntermediario="46512"</t>
  </si>
  <si>
    <t>10385:</t>
  </si>
  <si>
    <t>numeroObligacionIntermediario="46513"</t>
  </si>
  <si>
    <t>10414:</t>
  </si>
  <si>
    <t>numeroObligacionIntermediario="46514"</t>
  </si>
  <si>
    <t>10443:</t>
  </si>
  <si>
    <t>numeroObligacionIntermediario="46515"</t>
  </si>
  <si>
    <t>10472:</t>
  </si>
  <si>
    <t>numeroObligacionIntermediario="46516"</t>
  </si>
  <si>
    <t>10501:</t>
  </si>
  <si>
    <t>numeroObligacionIntermediario="46517"</t>
  </si>
  <si>
    <t>10530:</t>
  </si>
  <si>
    <t>numeroObligacionIntermediario="46518"</t>
  </si>
  <si>
    <t>10559:</t>
  </si>
  <si>
    <t>numeroObligacionIntermediario="46519"</t>
  </si>
  <si>
    <t>10588:</t>
  </si>
  <si>
    <t>numeroObligacionIntermediario="46520"</t>
  </si>
  <si>
    <t>10617:</t>
  </si>
  <si>
    <t>numeroObligacionIntermediario="46521"</t>
  </si>
  <si>
    <t>10646:</t>
  </si>
  <si>
    <t>numeroObligacionIntermediario="46522"</t>
  </si>
  <si>
    <t>10675:</t>
  </si>
  <si>
    <t>numeroObligacionIntermediario="46523"</t>
  </si>
  <si>
    <t>10704:</t>
  </si>
  <si>
    <t>numeroObligacionIntermediario="46524"</t>
  </si>
  <si>
    <t>10733:</t>
  </si>
  <si>
    <t>numeroObligacionIntermediario="46525"</t>
  </si>
  <si>
    <t>10762:</t>
  </si>
  <si>
    <t>numeroObligacionIntermediario="46526"</t>
  </si>
  <si>
    <t>10791:</t>
  </si>
  <si>
    <t>numeroObligacionIntermediario="46527"</t>
  </si>
  <si>
    <t>10820:</t>
  </si>
  <si>
    <t>numeroObligacionIntermediario="46528"</t>
  </si>
  <si>
    <t>10849:</t>
  </si>
  <si>
    <t>numeroObligacionIntermediario="46529"</t>
  </si>
  <si>
    <t>10878:</t>
  </si>
  <si>
    <t>numeroObligacionIntermediario="46530"</t>
  </si>
  <si>
    <t>10907:</t>
  </si>
  <si>
    <t>numeroObligacionIntermediario="46531"</t>
  </si>
  <si>
    <t>10936:</t>
  </si>
  <si>
    <t>numeroObligacionIntermediario="46532"</t>
  </si>
  <si>
    <t>10965:</t>
  </si>
  <si>
    <t>numeroObligacionIntermediario="46533"</t>
  </si>
  <si>
    <t>10994:</t>
  </si>
  <si>
    <t>numeroObligacionIntermediario="46534"</t>
  </si>
  <si>
    <t>11023:</t>
  </si>
  <si>
    <t>numeroObligacionIntermediario="46535"</t>
  </si>
  <si>
    <t>11052:</t>
  </si>
  <si>
    <t>numeroObligacionIntermediario="46536"</t>
  </si>
  <si>
    <t>11081:</t>
  </si>
  <si>
    <t>numeroObligacionIntermediario="46537"</t>
  </si>
  <si>
    <t>11110:</t>
  </si>
  <si>
    <t>numeroObligacionIntermediario="46538"</t>
  </si>
  <si>
    <t>11139:</t>
  </si>
  <si>
    <t>numeroObligacionIntermediario="46539"</t>
  </si>
  <si>
    <t>11168:</t>
  </si>
  <si>
    <t>numeroObligacionIntermediario="46540"</t>
  </si>
  <si>
    <t>11197:</t>
  </si>
  <si>
    <t>numeroObligacionIntermediario="46541"</t>
  </si>
  <si>
    <t>11226:</t>
  </si>
  <si>
    <t>numeroObligacionIntermediario="46542"</t>
  </si>
  <si>
    <t>11255:</t>
  </si>
  <si>
    <t>numeroObligacionIntermediario="46543"</t>
  </si>
  <si>
    <t>11284:</t>
  </si>
  <si>
    <t>numeroObligacionIntermediario="46544"</t>
  </si>
  <si>
    <t>11313:</t>
  </si>
  <si>
    <t>numeroObligacionIntermediario="46545"</t>
  </si>
  <si>
    <t>11342:</t>
  </si>
  <si>
    <t>numeroObligacionIntermediario="46546"</t>
  </si>
  <si>
    <t>11371:</t>
  </si>
  <si>
    <t>numeroObligacionIntermediario="46547"</t>
  </si>
  <si>
    <t>11400:</t>
  </si>
  <si>
    <t>numeroObligacionIntermediario="46548"</t>
  </si>
  <si>
    <t>11429:</t>
  </si>
  <si>
    <t>numeroObligacionIntermediario="46549"</t>
  </si>
  <si>
    <t>11458:</t>
  </si>
  <si>
    <t>numeroObligacionIntermediario="46550"</t>
  </si>
  <si>
    <t>11487:</t>
  </si>
  <si>
    <t>numeroObligacionIntermediario="46551"</t>
  </si>
  <si>
    <t>11516:</t>
  </si>
  <si>
    <t>numeroObligacionIntermediario="46552"</t>
  </si>
  <si>
    <t>11545:</t>
  </si>
  <si>
    <t>numeroObligacionIntermediario="46553"</t>
  </si>
  <si>
    <t>11574:</t>
  </si>
  <si>
    <t>numeroObligacionIntermediario="46554"</t>
  </si>
  <si>
    <t>11603:</t>
  </si>
  <si>
    <t>numeroObligacionIntermediario="46555"</t>
  </si>
  <si>
    <t>11632:</t>
  </si>
  <si>
    <t>numeroObligacionIntermediario="46556"</t>
  </si>
  <si>
    <t>11661:</t>
  </si>
  <si>
    <t>numeroObligacionIntermediario="46557"</t>
  </si>
  <si>
    <t>11690:</t>
  </si>
  <si>
    <t>numeroObligacionIntermediario="46558"</t>
  </si>
  <si>
    <t>11719:</t>
  </si>
  <si>
    <t>numeroObligacionIntermediario="46559"</t>
  </si>
  <si>
    <t>11748:</t>
  </si>
  <si>
    <t>numeroObligacionIntermediario="46560"</t>
  </si>
  <si>
    <t>11777:</t>
  </si>
  <si>
    <t>numeroObligacionIntermediario="46561"</t>
  </si>
  <si>
    <t>11806:</t>
  </si>
  <si>
    <t>numeroObligacionIntermediario="46562"</t>
  </si>
  <si>
    <t>11835:</t>
  </si>
  <si>
    <t>numeroObligacionIntermediario="46563"</t>
  </si>
  <si>
    <t>11864:</t>
  </si>
  <si>
    <t>numeroObligacionIntermediario="46564"</t>
  </si>
  <si>
    <t>11893:</t>
  </si>
  <si>
    <t>numeroObligacionIntermediario="46565"</t>
  </si>
  <si>
    <t>11922:</t>
  </si>
  <si>
    <t>numeroObligacionIntermediario="46566"</t>
  </si>
  <si>
    <t>11951:</t>
  </si>
  <si>
    <t>numeroObligacionIntermediario="46567"</t>
  </si>
  <si>
    <t>11980:</t>
  </si>
  <si>
    <t>numeroObligacionIntermediario="46568"</t>
  </si>
  <si>
    <t>12009:</t>
  </si>
  <si>
    <t>numeroObligacionIntermediario="46569"</t>
  </si>
  <si>
    <t>12038:</t>
  </si>
  <si>
    <t>numeroObligacionIntermediario="46570"</t>
  </si>
  <si>
    <t>12067:</t>
  </si>
  <si>
    <t>numeroObligacionIntermediario="46571"</t>
  </si>
  <si>
    <t>12096:</t>
  </si>
  <si>
    <t>numeroObligacionIntermediario="46572"</t>
  </si>
  <si>
    <t>12125:</t>
  </si>
  <si>
    <t>numeroObligacionIntermediario="46573"</t>
  </si>
  <si>
    <t>12154:</t>
  </si>
  <si>
    <t>numeroObligacionIntermediario="46574"</t>
  </si>
  <si>
    <t>12183:</t>
  </si>
  <si>
    <t>numeroObligacionIntermediario="46575"</t>
  </si>
  <si>
    <t>12212:</t>
  </si>
  <si>
    <t>numeroObligacionIntermediario="46576"</t>
  </si>
  <si>
    <t>12241:</t>
  </si>
  <si>
    <t>numeroObligacionIntermediario="46577"</t>
  </si>
  <si>
    <t>12270:</t>
  </si>
  <si>
    <t>numeroObligacionIntermediario="46578"</t>
  </si>
  <si>
    <t>12299:</t>
  </si>
  <si>
    <t>numeroObligacionIntermediario="46579"</t>
  </si>
  <si>
    <t>12328:</t>
  </si>
  <si>
    <t>numeroObligacionIntermediario="46580"</t>
  </si>
  <si>
    <t>12357:</t>
  </si>
  <si>
    <t>numeroObligacionIntermediario="46581"</t>
  </si>
  <si>
    <t>12386:</t>
  </si>
  <si>
    <t>numeroObligacionIntermediario="46582"</t>
  </si>
  <si>
    <t>12415:</t>
  </si>
  <si>
    <t>numeroObligacionIntermediario="46583"</t>
  </si>
  <si>
    <t>12444:</t>
  </si>
  <si>
    <t>numeroObligacionIntermediario="46584"</t>
  </si>
  <si>
    <t>12473:</t>
  </si>
  <si>
    <t>numeroObligacionIntermediario="46585"</t>
  </si>
  <si>
    <t>12502:</t>
  </si>
  <si>
    <t>numeroObligacionIntermediario="46586"</t>
  </si>
  <si>
    <t>12531:</t>
  </si>
  <si>
    <t>numeroObligacionIntermediario="46587"</t>
  </si>
  <si>
    <t>12560:</t>
  </si>
  <si>
    <t>numeroObligacionIntermediario="46588"</t>
  </si>
  <si>
    <t>12589:</t>
  </si>
  <si>
    <t>numeroObligacionIntermediario="46589"</t>
  </si>
  <si>
    <t>12618:</t>
  </si>
  <si>
    <t>numeroObligacionIntermediario="46590"</t>
  </si>
  <si>
    <t>12647:</t>
  </si>
  <si>
    <t>numeroObligacionIntermediario="46591"</t>
  </si>
  <si>
    <t>12676:</t>
  </si>
  <si>
    <t>numeroObligacionIntermediario="46592"</t>
  </si>
  <si>
    <t>12705:</t>
  </si>
  <si>
    <t>numeroObligacionIntermediario="46593"</t>
  </si>
  <si>
    <t>12734:</t>
  </si>
  <si>
    <t>numeroObligacionIntermediario="46594"</t>
  </si>
  <si>
    <t>12763:</t>
  </si>
  <si>
    <t>numeroObligacionIntermediario="46595"</t>
  </si>
  <si>
    <t>12792:</t>
  </si>
  <si>
    <t>numeroObligacionIntermediario="46596"</t>
  </si>
  <si>
    <t>12821:</t>
  </si>
  <si>
    <t>numeroObligacionIntermediario="46597"</t>
  </si>
  <si>
    <t>12850:</t>
  </si>
  <si>
    <t>numeroObligacionIntermediario="46598"</t>
  </si>
  <si>
    <t>12879:</t>
  </si>
  <si>
    <t>numeroObligacionIntermediario="46599"</t>
  </si>
  <si>
    <t>12908:</t>
  </si>
  <si>
    <t>numeroObligacionIntermediario="46600"</t>
  </si>
  <si>
    <t>12937:</t>
  </si>
  <si>
    <t>numeroObligacionIntermediario="46601"</t>
  </si>
  <si>
    <t>12966:</t>
  </si>
  <si>
    <t>numeroObligacionIntermediario="46602"</t>
  </si>
  <si>
    <t>12995:</t>
  </si>
  <si>
    <t>numeroObligacionIntermediario="46603"</t>
  </si>
  <si>
    <t>13024:</t>
  </si>
  <si>
    <t>numeroObligacionIntermediario="46604"</t>
  </si>
  <si>
    <t>13053:</t>
  </si>
  <si>
    <t>numeroObligacionIntermediario="46605"</t>
  </si>
  <si>
    <t>13082:</t>
  </si>
  <si>
    <t>numeroObligacionIntermediario="46606"</t>
  </si>
  <si>
    <t>13111:</t>
  </si>
  <si>
    <t>numeroObligacionIntermediario="46607"</t>
  </si>
  <si>
    <t>13140:</t>
  </si>
  <si>
    <t>numeroObligacionIntermediario="46608"</t>
  </si>
  <si>
    <t>13169:</t>
  </si>
  <si>
    <t>numeroObligacionIntermediario="46609"</t>
  </si>
  <si>
    <t>13198:</t>
  </si>
  <si>
    <t>numeroObligacionIntermediario="46610"</t>
  </si>
  <si>
    <t>13227:</t>
  </si>
  <si>
    <t>numeroObligacionIntermediario="46611"</t>
  </si>
  <si>
    <t>13256:</t>
  </si>
  <si>
    <t>numeroObligacionIntermediario="46612"</t>
  </si>
  <si>
    <t>13285:</t>
  </si>
  <si>
    <t>numeroObligacionIntermediario="46613"</t>
  </si>
  <si>
    <t>13314:</t>
  </si>
  <si>
    <t>numeroObligacionIntermediario="46614"</t>
  </si>
  <si>
    <t>13343:</t>
  </si>
  <si>
    <t>numeroObligacionIntermediario="46615"</t>
  </si>
  <si>
    <t>13372:</t>
  </si>
  <si>
    <t>numeroObligacionIntermediario="46616"</t>
  </si>
  <si>
    <t>13401:</t>
  </si>
  <si>
    <t>numeroObligacionIntermediario="46617"</t>
  </si>
  <si>
    <t>13430:</t>
  </si>
  <si>
    <t>numeroObligacionIntermediario="46618"</t>
  </si>
  <si>
    <t>13459:</t>
  </si>
  <si>
    <t>numeroObligacionIntermediario="46619"</t>
  </si>
  <si>
    <t>13488:</t>
  </si>
  <si>
    <t>numeroObligacionIntermediario="46620"</t>
  </si>
  <si>
    <t>13517:</t>
  </si>
  <si>
    <t>numeroObligacionIntermediario="46621"</t>
  </si>
  <si>
    <t>13546:</t>
  </si>
  <si>
    <t>numeroObligacionIntermediario="46622"</t>
  </si>
  <si>
    <t>13575:</t>
  </si>
  <si>
    <t>numeroObligacionIntermediario="46623"</t>
  </si>
  <si>
    <t>13604:</t>
  </si>
  <si>
    <t>numeroObligacionIntermediario="46624"</t>
  </si>
  <si>
    <t>13633:</t>
  </si>
  <si>
    <t>numeroObligacionIntermediario="46625"</t>
  </si>
  <si>
    <t>13662:</t>
  </si>
  <si>
    <t>numeroObligacionIntermediario="46626"</t>
  </si>
  <si>
    <t>13691:</t>
  </si>
  <si>
    <t>numeroObligacionIntermediario="46627"</t>
  </si>
  <si>
    <t>13720:</t>
  </si>
  <si>
    <t>numeroObligacionIntermediario="46628"</t>
  </si>
  <si>
    <t>13749:</t>
  </si>
  <si>
    <t>numeroObligacionIntermediario="46629"</t>
  </si>
  <si>
    <t>13778:</t>
  </si>
  <si>
    <t>numeroObligacionIntermediario="46630"</t>
  </si>
  <si>
    <t>13807:</t>
  </si>
  <si>
    <t>numeroObligacionIntermediario="46631"</t>
  </si>
  <si>
    <t>13836:</t>
  </si>
  <si>
    <t>numeroObligacionIntermediario="46632"</t>
  </si>
  <si>
    <t>13865:</t>
  </si>
  <si>
    <t>numeroObligacionIntermediario="46633"</t>
  </si>
  <si>
    <t>13894:</t>
  </si>
  <si>
    <t>numeroObligacionIntermediario="46634"</t>
  </si>
  <si>
    <t>13923:</t>
  </si>
  <si>
    <t>numeroObligacionIntermediario="46635"</t>
  </si>
  <si>
    <t>13952:</t>
  </si>
  <si>
    <t>numeroObligacionIntermediario="46636"</t>
  </si>
  <si>
    <t>13981:</t>
  </si>
  <si>
    <t>numeroObligacionIntermediario="46637"</t>
  </si>
  <si>
    <t>14010:</t>
  </si>
  <si>
    <t>numeroObligacionIntermediario="46638"</t>
  </si>
  <si>
    <t>14039:</t>
  </si>
  <si>
    <t>numeroObligacionIntermediario="46639"</t>
  </si>
  <si>
    <t>14068:</t>
  </si>
  <si>
    <t>numeroObligacionIntermediario="46640"</t>
  </si>
  <si>
    <t>14097:</t>
  </si>
  <si>
    <t>numeroObligacionIntermediario="46641"</t>
  </si>
  <si>
    <t>14126:</t>
  </si>
  <si>
    <t>numeroObligacionIntermediario="46642"</t>
  </si>
  <si>
    <t>14155:</t>
  </si>
  <si>
    <t>numeroObligacionIntermediario="46643"</t>
  </si>
  <si>
    <t>14184:</t>
  </si>
  <si>
    <t>numeroObligacionIntermediario="46644"</t>
  </si>
  <si>
    <t>14213:</t>
  </si>
  <si>
    <t>numeroObligacionIntermediario="46645"</t>
  </si>
  <si>
    <t>14242:</t>
  </si>
  <si>
    <t>numeroObligacionIntermediario="46646"</t>
  </si>
  <si>
    <t>14271:</t>
  </si>
  <si>
    <t>numeroObligacionIntermediario="46647"</t>
  </si>
  <si>
    <t>14300:</t>
  </si>
  <si>
    <t>numeroObligacionIntermediario="46648"</t>
  </si>
  <si>
    <t>14329:</t>
  </si>
  <si>
    <t>numeroObligacionIntermediario="46649"</t>
  </si>
  <si>
    <t>14358:</t>
  </si>
  <si>
    <t>numeroObligacionIntermediario="46650"</t>
  </si>
  <si>
    <t>14387:</t>
  </si>
  <si>
    <t>numeroObligacionIntermediario="46651"</t>
  </si>
  <si>
    <t>14416:</t>
  </si>
  <si>
    <t>numeroObligacionIntermediario="46652"</t>
  </si>
  <si>
    <t>14445:</t>
  </si>
  <si>
    <t>numeroObligacionIntermediario="46653"</t>
  </si>
  <si>
    <t>14474:</t>
  </si>
  <si>
    <t>numeroObligacionIntermediario="46654"</t>
  </si>
  <si>
    <t>14503:</t>
  </si>
  <si>
    <t>numeroObligacionIntermediario="46655"</t>
  </si>
  <si>
    <t>14532:</t>
  </si>
  <si>
    <t>numeroObligacionIntermediario="46656"</t>
  </si>
  <si>
    <t>14561:</t>
  </si>
  <si>
    <t>numeroObligacionIntermediario="46657"</t>
  </si>
  <si>
    <t>14590:</t>
  </si>
  <si>
    <t>numeroObligacionIntermediario="46658"</t>
  </si>
  <si>
    <t>14619:</t>
  </si>
  <si>
    <t>numeroObligacionIntermediario="46659"</t>
  </si>
  <si>
    <t>14648:</t>
  </si>
  <si>
    <t>numeroObligacionIntermediario="46660"</t>
  </si>
  <si>
    <t>14677:</t>
  </si>
  <si>
    <t>numeroObligacionIntermediario="46661"</t>
  </si>
  <si>
    <t>14706:</t>
  </si>
  <si>
    <t>numeroObligacionIntermediario="46662"</t>
  </si>
  <si>
    <t>14735:</t>
  </si>
  <si>
    <t>numeroObligacionIntermediario="46663"</t>
  </si>
  <si>
    <t>14764:</t>
  </si>
  <si>
    <t>numeroObligacionIntermediario="46664"</t>
  </si>
  <si>
    <t>14793:</t>
  </si>
  <si>
    <t>numeroObligacionIntermediario="46665"</t>
  </si>
  <si>
    <t>14822:</t>
  </si>
  <si>
    <t>numeroObligacionIntermediario="46666"</t>
  </si>
  <si>
    <t>14851:</t>
  </si>
  <si>
    <t>numeroObligacionIntermediario="46667"</t>
  </si>
  <si>
    <t>14880:</t>
  </si>
  <si>
    <t>numeroObligacionIntermediario="46668"</t>
  </si>
  <si>
    <t>14909:</t>
  </si>
  <si>
    <t>numeroObligacionIntermediario="46669"</t>
  </si>
  <si>
    <t>14938:</t>
  </si>
  <si>
    <t>numeroObligacionIntermediario="46670"</t>
  </si>
  <si>
    <t>14967:</t>
  </si>
  <si>
    <t>numeroObligacionIntermediario="46671"</t>
  </si>
  <si>
    <t>14996:</t>
  </si>
  <si>
    <t>numeroObligacionIntermediario="46672"</t>
  </si>
  <si>
    <t>15025:</t>
  </si>
  <si>
    <t>numeroObligacionIntermediario="46673"</t>
  </si>
  <si>
    <t>15054:</t>
  </si>
  <si>
    <t>numeroObligacionIntermediario="46674"</t>
  </si>
  <si>
    <t>15083:</t>
  </si>
  <si>
    <t>numeroObligacionIntermediario="46675"</t>
  </si>
  <si>
    <t>15112:</t>
  </si>
  <si>
    <t>numeroObligacionIntermediario="46676"</t>
  </si>
  <si>
    <t>15141:</t>
  </si>
  <si>
    <t>numeroObligacionIntermediario="46677"</t>
  </si>
  <si>
    <t>fechaSuscripcion="2023-06-09"</t>
  </si>
  <si>
    <t>15170:</t>
  </si>
  <si>
    <t>numeroObligacionIntermediario="46678"</t>
  </si>
  <si>
    <t>15199:</t>
  </si>
  <si>
    <t>numeroObligacionIntermediario="46679"</t>
  </si>
  <si>
    <t>15228:</t>
  </si>
  <si>
    <t>numeroObligacionIntermediario="46680"</t>
  </si>
  <si>
    <t>15257:</t>
  </si>
  <si>
    <t>numeroObligacionIntermediario="46681"</t>
  </si>
  <si>
    <t>15286:</t>
  </si>
  <si>
    <t>numeroObligacionIntermediario="46682"</t>
  </si>
  <si>
    <t>15315:</t>
  </si>
  <si>
    <t>numeroObligacionIntermediario="46683"</t>
  </si>
  <si>
    <t>15344:</t>
  </si>
  <si>
    <t>numeroObligacionIntermediario="46684"</t>
  </si>
  <si>
    <t>15373:</t>
  </si>
  <si>
    <t>numeroObligacionIntermediario="46685"</t>
  </si>
  <si>
    <t>15402:</t>
  </si>
  <si>
    <t>numeroObligacionIntermediario="46686"</t>
  </si>
  <si>
    <t>15431:</t>
  </si>
  <si>
    <t>numeroObligacionIntermediario="46687"</t>
  </si>
  <si>
    <t>15460:</t>
  </si>
  <si>
    <t>numeroObligacionIntermediario="46688"</t>
  </si>
  <si>
    <t>15489:</t>
  </si>
  <si>
    <t>numeroObligacionIntermediario="46689"</t>
  </si>
  <si>
    <t>15518:</t>
  </si>
  <si>
    <t>numeroObligacionIntermediario="46690"</t>
  </si>
  <si>
    <t>15547:</t>
  </si>
  <si>
    <t>numeroObligacionIntermediario="46691"</t>
  </si>
  <si>
    <t>15576:</t>
  </si>
  <si>
    <t>numeroObligacionIntermediario="46692"</t>
  </si>
  <si>
    <t>15605:</t>
  </si>
  <si>
    <t>numeroObligacionIntermediario="46693"</t>
  </si>
  <si>
    <t>15634:</t>
  </si>
  <si>
    <t>numeroObligacionIntermediario="46694"</t>
  </si>
  <si>
    <t>15663:</t>
  </si>
  <si>
    <t>numeroObligacionIntermediario="46695"</t>
  </si>
  <si>
    <t>15692:</t>
  </si>
  <si>
    <t>numeroObligacionIntermediario="46696"</t>
  </si>
  <si>
    <t>15721:</t>
  </si>
  <si>
    <t>numeroObligacionIntermediario="46697"</t>
  </si>
  <si>
    <t>15750:</t>
  </si>
  <si>
    <t>numeroObligacionIntermediario="46698"</t>
  </si>
  <si>
    <t>15779:</t>
  </si>
  <si>
    <t>numeroObligacionIntermediario="46699"</t>
  </si>
  <si>
    <t>15808:</t>
  </si>
  <si>
    <t>numeroObligacionIntermediario="46700"</t>
  </si>
  <si>
    <t>15837:</t>
  </si>
  <si>
    <t>numeroObligacionIntermediario="46701"</t>
  </si>
  <si>
    <t>15866:</t>
  </si>
  <si>
    <t>numeroObligacionIntermediario="46702"</t>
  </si>
  <si>
    <t>15895:</t>
  </si>
  <si>
    <t>numeroObligacionIntermediario="46703"</t>
  </si>
  <si>
    <t>15924:</t>
  </si>
  <si>
    <t>numeroObligacionIntermediario="46704"</t>
  </si>
  <si>
    <t>15953:</t>
  </si>
  <si>
    <t>numeroObligacionIntermediario="46705"</t>
  </si>
  <si>
    <t>15982:</t>
  </si>
  <si>
    <t>numeroObligacionIntermediario="46706"</t>
  </si>
  <si>
    <t>16011:</t>
  </si>
  <si>
    <t>numeroObligacionIntermediario="46707"</t>
  </si>
  <si>
    <t>16040:</t>
  </si>
  <si>
    <t>numeroObligacionIntermediario="46708"</t>
  </si>
  <si>
    <t>16069:</t>
  </si>
  <si>
    <t>numeroObligacionIntermediario="46709"</t>
  </si>
  <si>
    <t>16098:</t>
  </si>
  <si>
    <t>numeroObligacionIntermediario="46710"</t>
  </si>
  <si>
    <t>16127:</t>
  </si>
  <si>
    <t>numeroObligacionIntermediario="46711"</t>
  </si>
  <si>
    <t>16156:</t>
  </si>
  <si>
    <t>numeroObligacionIntermediario="46712"</t>
  </si>
  <si>
    <t>16185:</t>
  </si>
  <si>
    <t>numeroObligacionIntermediario="46713"</t>
  </si>
  <si>
    <t>16214:</t>
  </si>
  <si>
    <t>numeroObligacionIntermediario="46714"</t>
  </si>
  <si>
    <t>16243:</t>
  </si>
  <si>
    <t>numeroObligacionIntermediario="46715"</t>
  </si>
  <si>
    <t>16272:</t>
  </si>
  <si>
    <t>numeroObligacionIntermediario="46716"</t>
  </si>
  <si>
    <t>16301:</t>
  </si>
  <si>
    <t>numeroObligacionIntermediario="46717"</t>
  </si>
  <si>
    <t>16330:</t>
  </si>
  <si>
    <t>numeroObligacionIntermediario="46718"</t>
  </si>
  <si>
    <t>16359:</t>
  </si>
  <si>
    <t>numeroObligacionIntermediario="46719"</t>
  </si>
  <si>
    <t>16388:</t>
  </si>
  <si>
    <t>numeroObligacionIntermediario="46720"</t>
  </si>
  <si>
    <t>16417:</t>
  </si>
  <si>
    <t>numeroObligacionIntermediario="46721"</t>
  </si>
  <si>
    <t>16446:</t>
  </si>
  <si>
    <t>numeroObligacionIntermediario="46722"</t>
  </si>
  <si>
    <t>16475:</t>
  </si>
  <si>
    <t>numeroObligacionIntermediario="46723"</t>
  </si>
  <si>
    <t>16504:</t>
  </si>
  <si>
    <t>numeroObligacionIntermediario="46724"</t>
  </si>
  <si>
    <t>16533:</t>
  </si>
  <si>
    <t>numeroObligacionIntermediario="46725"</t>
  </si>
  <si>
    <t>16562:</t>
  </si>
  <si>
    <t>numeroObligacionIntermediario="46726"</t>
  </si>
  <si>
    <t>16591:</t>
  </si>
  <si>
    <t>numeroObligacionIntermediario="46727"</t>
  </si>
  <si>
    <t>16620:</t>
  </si>
  <si>
    <t>numeroObligacionIntermediario="46728"</t>
  </si>
  <si>
    <t>16649:</t>
  </si>
  <si>
    <t>numeroObligacionIntermediario="46729"</t>
  </si>
  <si>
    <t>16678:</t>
  </si>
  <si>
    <t>numeroObligacionIntermediario="46730"</t>
  </si>
  <si>
    <t>16707:</t>
  </si>
  <si>
    <t>numeroObligacionIntermediario="46731"</t>
  </si>
  <si>
    <t>16736:</t>
  </si>
  <si>
    <t>numeroObligacionIntermediario="46732"</t>
  </si>
  <si>
    <t>16765:</t>
  </si>
  <si>
    <t>numeroObligacionIntermediario="46733"</t>
  </si>
  <si>
    <t>16794:</t>
  </si>
  <si>
    <t>numeroObligacionIntermediario="46734"</t>
  </si>
  <si>
    <t>16823:</t>
  </si>
  <si>
    <t>numeroObligacionIntermediario="46735"</t>
  </si>
  <si>
    <t>16852:</t>
  </si>
  <si>
    <t>numeroObligacionIntermediario="46736"</t>
  </si>
  <si>
    <t>16881:</t>
  </si>
  <si>
    <t>numeroObligacionIntermediario="46737"</t>
  </si>
  <si>
    <t>16910:</t>
  </si>
  <si>
    <t>numeroObligacionIntermediario="46738"</t>
  </si>
  <si>
    <t>16939:</t>
  </si>
  <si>
    <t>numeroObligacionIntermediario="46739"</t>
  </si>
  <si>
    <t>16968:</t>
  </si>
  <si>
    <t>numeroObligacionIntermediario="46740"</t>
  </si>
  <si>
    <t>16997:</t>
  </si>
  <si>
    <t>numeroObligacionIntermediario="46741"</t>
  </si>
  <si>
    <t>17026:</t>
  </si>
  <si>
    <t>numeroObligacionIntermediario="46742"</t>
  </si>
  <si>
    <t>17055:</t>
  </si>
  <si>
    <t>numeroObligacionIntermediario="46743"</t>
  </si>
  <si>
    <t>17084:</t>
  </si>
  <si>
    <t>numeroObligacionIntermediario="46744"</t>
  </si>
  <si>
    <t>17113:</t>
  </si>
  <si>
    <t>numeroObligacionIntermediario="46745"</t>
  </si>
  <si>
    <t>17142:</t>
  </si>
  <si>
    <t>numeroObligacionIntermediario="46746"</t>
  </si>
  <si>
    <t>17171:</t>
  </si>
  <si>
    <t>numeroObligacionIntermediario="46747"</t>
  </si>
  <si>
    <t>17200:</t>
  </si>
  <si>
    <t>numeroObligacionIntermediario="46748"</t>
  </si>
  <si>
    <t>17229:</t>
  </si>
  <si>
    <t>numeroObligacionIntermediario="46749"</t>
  </si>
  <si>
    <t>17258:</t>
  </si>
  <si>
    <t>numeroObligacionIntermediario="46750"</t>
  </si>
  <si>
    <t>17287:</t>
  </si>
  <si>
    <t>numeroObligacionIntermediario="46751"</t>
  </si>
  <si>
    <t>17316:</t>
  </si>
  <si>
    <t>numeroObligacionIntermediario="46752"</t>
  </si>
  <si>
    <t>17345:</t>
  </si>
  <si>
    <t>numeroObligacionIntermediario="46753"</t>
  </si>
  <si>
    <t>17374:</t>
  </si>
  <si>
    <t>numeroObligacionIntermediario="46754"</t>
  </si>
  <si>
    <t>17403:</t>
  </si>
  <si>
    <t>numeroObligacionIntermediario="46755"</t>
  </si>
  <si>
    <t>17432:</t>
  </si>
  <si>
    <t>numeroObligacionIntermediario="46756"</t>
  </si>
  <si>
    <t>17461:</t>
  </si>
  <si>
    <t>numeroObligacionIntermediario="46757"</t>
  </si>
  <si>
    <t>17490:</t>
  </si>
  <si>
    <t>numeroObligacionIntermediario="46758"</t>
  </si>
  <si>
    <t>17519:</t>
  </si>
  <si>
    <t>numeroObligacionIntermediario="46759"</t>
  </si>
  <si>
    <t>17548:</t>
  </si>
  <si>
    <t>numeroObligacionIntermediario="46760"</t>
  </si>
  <si>
    <t>17577:</t>
  </si>
  <si>
    <t>numeroObligacionIntermediario="46761"</t>
  </si>
  <si>
    <t>17606:</t>
  </si>
  <si>
    <t>numeroObligacionIntermediario="46762"</t>
  </si>
  <si>
    <t>17635:</t>
  </si>
  <si>
    <t>numeroObligacionIntermediario="46763"</t>
  </si>
  <si>
    <t>17664:</t>
  </si>
  <si>
    <t>numeroObligacionIntermediario="46764"</t>
  </si>
  <si>
    <t>17693:</t>
  </si>
  <si>
    <t>numeroObligacionIntermediario="46765"</t>
  </si>
  <si>
    <t>17722:</t>
  </si>
  <si>
    <t>numeroObligacionIntermediario="46766"</t>
  </si>
  <si>
    <t>17751:</t>
  </si>
  <si>
    <t>numeroObligacionIntermediario="46767"</t>
  </si>
  <si>
    <t>17780:</t>
  </si>
  <si>
    <t>numeroObligacionIntermediario="46768"</t>
  </si>
  <si>
    <t>17809:</t>
  </si>
  <si>
    <t>numeroObligacionIntermediario="46769"</t>
  </si>
  <si>
    <t>17838:</t>
  </si>
  <si>
    <t>numeroObligacionIntermediario="46770"</t>
  </si>
  <si>
    <t>17867:</t>
  </si>
  <si>
    <t>numeroObligacionIntermediario="46771"</t>
  </si>
  <si>
    <t>17896:</t>
  </si>
  <si>
    <t>numeroObligacionIntermediario="46772"</t>
  </si>
  <si>
    <t>17925:</t>
  </si>
  <si>
    <t>numeroObligacionIntermediario="46773"</t>
  </si>
  <si>
    <t>17954:</t>
  </si>
  <si>
    <t>numeroObligacionIntermediario="46774"</t>
  </si>
  <si>
    <t>17983:</t>
  </si>
  <si>
    <t>numeroObligacionIntermediario="46775"</t>
  </si>
  <si>
    <t>18012:</t>
  </si>
  <si>
    <t>numeroObligacionIntermediario="46776"</t>
  </si>
  <si>
    <t>18041:</t>
  </si>
  <si>
    <t>numeroObligacionIntermediario="46777"</t>
  </si>
  <si>
    <t>18070:</t>
  </si>
  <si>
    <t>numeroObligacionIntermediario="46778"</t>
  </si>
  <si>
    <t>18099:</t>
  </si>
  <si>
    <t>numeroObligacionIntermediario="46779"</t>
  </si>
  <si>
    <t>18128:</t>
  </si>
  <si>
    <t>numeroObligacionIntermediario="46780"</t>
  </si>
  <si>
    <t>18157:</t>
  </si>
  <si>
    <t>numeroObligacionIntermediario="46781"</t>
  </si>
  <si>
    <t>18186:</t>
  </si>
  <si>
    <t>numeroObligacionIntermediario="46782"</t>
  </si>
  <si>
    <t>18215:</t>
  </si>
  <si>
    <t>numeroObligacionIntermediario="46783"</t>
  </si>
  <si>
    <t>18244:</t>
  </si>
  <si>
    <t>numeroObligacionIntermediario="46784"</t>
  </si>
  <si>
    <t>18273:</t>
  </si>
  <si>
    <t>numeroObligacionIntermediario="46785"</t>
  </si>
  <si>
    <t>18302:</t>
  </si>
  <si>
    <t>numeroObligacionIntermediario="46786"</t>
  </si>
  <si>
    <t>18331:</t>
  </si>
  <si>
    <t>numeroObligacionIntermediario="46787"</t>
  </si>
  <si>
    <t>18360:</t>
  </si>
  <si>
    <t>numeroObligacionIntermediario="46788"</t>
  </si>
  <si>
    <t>18389:</t>
  </si>
  <si>
    <t>numeroObligacionIntermediario="46789"</t>
  </si>
  <si>
    <t>18418:</t>
  </si>
  <si>
    <t>numeroObligacionIntermediario="46790"</t>
  </si>
  <si>
    <t>18447:</t>
  </si>
  <si>
    <t>numeroObligacionIntermediario="46791"</t>
  </si>
  <si>
    <t>18476:</t>
  </si>
  <si>
    <t>numeroObligacionIntermediario="46792"</t>
  </si>
  <si>
    <t>18505:</t>
  </si>
  <si>
    <t>numeroObligacionIntermediario="46793"</t>
  </si>
  <si>
    <t>18534:</t>
  </si>
  <si>
    <t>numeroObligacionIntermediario="46794"</t>
  </si>
  <si>
    <t>18563:</t>
  </si>
  <si>
    <t>numeroObligacionIntermediario="46795"</t>
  </si>
  <si>
    <t>18592:</t>
  </si>
  <si>
    <t>numeroObligacionIntermediario="46796"</t>
  </si>
  <si>
    <t>18621:</t>
  </si>
  <si>
    <t>numeroObligacionIntermediario="46797"</t>
  </si>
  <si>
    <t>18650:</t>
  </si>
  <si>
    <t>numeroObligacionIntermediario="46798"</t>
  </si>
  <si>
    <t>18679:</t>
  </si>
  <si>
    <t>numeroObligacionIntermediario="46799"</t>
  </si>
  <si>
    <t>18708:</t>
  </si>
  <si>
    <t>numeroObligacionIntermediario="46800"</t>
  </si>
  <si>
    <t>18737:</t>
  </si>
  <si>
    <t>numeroObligacionIntermediario="46801"</t>
  </si>
  <si>
    <t>18766:</t>
  </si>
  <si>
    <t>numeroObligacionIntermediario="46802"</t>
  </si>
  <si>
    <t>18795:</t>
  </si>
  <si>
    <t>numeroObligacionIntermediario="46803"</t>
  </si>
  <si>
    <t>18824:</t>
  </si>
  <si>
    <t>numeroObligacionIntermediario="46804"</t>
  </si>
  <si>
    <t>18853:</t>
  </si>
  <si>
    <t>numeroObligacionIntermediario="46805"</t>
  </si>
  <si>
    <t>18882:</t>
  </si>
  <si>
    <t>numeroObligacionIntermediario="46806"</t>
  </si>
  <si>
    <t>18911:</t>
  </si>
  <si>
    <t>numeroObligacionIntermediario="46807"</t>
  </si>
  <si>
    <t>18940:</t>
  </si>
  <si>
    <t>numeroObligacionIntermediario="46808"</t>
  </si>
  <si>
    <t>18969:</t>
  </si>
  <si>
    <t>numeroObligacionIntermediario="46809"</t>
  </si>
  <si>
    <t>18998:</t>
  </si>
  <si>
    <t>numeroObligacionIntermediario="46810"</t>
  </si>
  <si>
    <t>19027:</t>
  </si>
  <si>
    <t>numeroObligacionIntermediario="46811"</t>
  </si>
  <si>
    <t>19056:</t>
  </si>
  <si>
    <t>numeroObligacionIntermediario="46812"</t>
  </si>
  <si>
    <t>19085:</t>
  </si>
  <si>
    <t>numeroObligacionIntermediario="46813"</t>
  </si>
  <si>
    <t>19114:</t>
  </si>
  <si>
    <t>numeroObligacionIntermediario="46814"</t>
  </si>
  <si>
    <t>19143:</t>
  </si>
  <si>
    <t>numeroObligacionIntermediario="46815"</t>
  </si>
  <si>
    <t>19172:</t>
  </si>
  <si>
    <t>numeroObligacionIntermediario="46816"</t>
  </si>
  <si>
    <t>19201:</t>
  </si>
  <si>
    <t>numeroObligacionIntermediario="46817"</t>
  </si>
  <si>
    <t>19230:</t>
  </si>
  <si>
    <t>numeroObligacionIntermediario="46818"</t>
  </si>
  <si>
    <t>19259:</t>
  </si>
  <si>
    <t>numeroObligacionIntermediario="46819"</t>
  </si>
  <si>
    <t>19288:</t>
  </si>
  <si>
    <t>numeroObligacionIntermediario="46820"</t>
  </si>
  <si>
    <t>19317:</t>
  </si>
  <si>
    <t>numeroObligacionIntermediario="46821"</t>
  </si>
  <si>
    <t>19346:</t>
  </si>
  <si>
    <t>numeroObligacionIntermediario="46822"</t>
  </si>
  <si>
    <t>19375:</t>
  </si>
  <si>
    <t>numeroObligacionIntermediario="46823"</t>
  </si>
  <si>
    <t>19404:</t>
  </si>
  <si>
    <t>numeroObligacionIntermediario="46824"</t>
  </si>
  <si>
    <t>19433:</t>
  </si>
  <si>
    <t>numeroObligacionIntermediario="46825"</t>
  </si>
  <si>
    <t>19462:</t>
  </si>
  <si>
    <t>numeroObligacionIntermediario="46826"</t>
  </si>
  <si>
    <t>19491:</t>
  </si>
  <si>
    <t>numeroObligacionIntermediario="46827"</t>
  </si>
  <si>
    <t>19520:</t>
  </si>
  <si>
    <t>numeroObligacionIntermediario="46828"</t>
  </si>
  <si>
    <t>19549:</t>
  </si>
  <si>
    <t>numeroObligacionIntermediario="46829"</t>
  </si>
  <si>
    <t>19578:</t>
  </si>
  <si>
    <t>numeroObligacionIntermediario="46830"</t>
  </si>
  <si>
    <t>19607:</t>
  </si>
  <si>
    <t>numeroObligacionIntermediario="46831"</t>
  </si>
  <si>
    <t>19636:</t>
  </si>
  <si>
    <t>numeroObligacionIntermediario="46832"</t>
  </si>
  <si>
    <t>19665:</t>
  </si>
  <si>
    <t>numeroObligacionIntermediario="46833"</t>
  </si>
  <si>
    <t>19694:</t>
  </si>
  <si>
    <t>numeroObligacionIntermediario="46834"</t>
  </si>
  <si>
    <t>19723:</t>
  </si>
  <si>
    <t>numeroObligacionIntermediario="46835"</t>
  </si>
  <si>
    <t>19752:</t>
  </si>
  <si>
    <t>numeroObligacionIntermediario="46836"</t>
  </si>
  <si>
    <t>19781:</t>
  </si>
  <si>
    <t>numeroObligacionIntermediario="46837"</t>
  </si>
  <si>
    <t>19810:</t>
  </si>
  <si>
    <t>numeroObligacionIntermediario="46838"</t>
  </si>
  <si>
    <t>19839:</t>
  </si>
  <si>
    <t>numeroObligacionIntermediario="46839"</t>
  </si>
  <si>
    <t>19868:</t>
  </si>
  <si>
    <t>numeroObligacionIntermediario="46840"</t>
  </si>
  <si>
    <t>19897:</t>
  </si>
  <si>
    <t>numeroObligacionIntermediario="46841"</t>
  </si>
  <si>
    <t>Search</t>
  </si>
  <si>
    <t>(500</t>
  </si>
  <si>
    <t>hits</t>
  </si>
  <si>
    <t>in</t>
  </si>
  <si>
    <t>file</t>
  </si>
  <si>
    <t>of</t>
  </si>
  <si>
    <t>searched)</t>
  </si>
  <si>
    <t>C:\Users\arredondoivan\Downloads\Desarrollo</t>
  </si>
  <si>
    <t>Obligaciones</t>
  </si>
  <si>
    <t>Nuevas\output2.xml</t>
  </si>
  <si>
    <t>hits)</t>
  </si>
  <si>
    <t>numeroObligacionIntermediario="45654"</t>
  </si>
  <si>
    <t>numeroObligacionIntermediario="45655"</t>
  </si>
  <si>
    <t>numeroObligacionIntermediario="45656"</t>
  </si>
  <si>
    <t>numeroObligacionIntermediario="45657"</t>
  </si>
  <si>
    <t>numeroObligacionIntermediario="45658"</t>
  </si>
  <si>
    <t>numeroObligacionIntermediario="45659"</t>
  </si>
  <si>
    <t>fechaSuscripcion="2023-06-05"</t>
  </si>
  <si>
    <t>numeroObligacionIntermediario="45660"</t>
  </si>
  <si>
    <t>numeroObligacionIntermediario="45661"</t>
  </si>
  <si>
    <t>numeroObligacionIntermediario="45662"</t>
  </si>
  <si>
    <t>numeroObligacionIntermediario="45663"</t>
  </si>
  <si>
    <t>numeroObligacionIntermediario="45664"</t>
  </si>
  <si>
    <t>numeroObligacionIntermediario="45665"</t>
  </si>
  <si>
    <t>numeroObligacionIntermediario="45666"</t>
  </si>
  <si>
    <t>numeroObligacionIntermediario="45667"</t>
  </si>
  <si>
    <t>numeroObligacionIntermediario="45668"</t>
  </si>
  <si>
    <t>numeroObligacionIntermediario="45669"</t>
  </si>
  <si>
    <t>numeroObligacionIntermediario="45670"</t>
  </si>
  <si>
    <t>numeroObligacionIntermediario="45671"</t>
  </si>
  <si>
    <t>numeroObligacionIntermediario="45672"</t>
  </si>
  <si>
    <t>numeroObligacionIntermediario="45673"</t>
  </si>
  <si>
    <t>numeroObligacionIntermediario="45674"</t>
  </si>
  <si>
    <t>numeroObligacionIntermediario="45675"</t>
  </si>
  <si>
    <t>numeroObligacionIntermediario="45676"</t>
  </si>
  <si>
    <t>numeroObligacionIntermediario="45677"</t>
  </si>
  <si>
    <t>numeroObligacionIntermediario="45678"</t>
  </si>
  <si>
    <t>numeroObligacionIntermediario="45679"</t>
  </si>
  <si>
    <t>numeroObligacionIntermediario="45680"</t>
  </si>
  <si>
    <t>numeroObligacionIntermediario="45681"</t>
  </si>
  <si>
    <t>numeroObligacionIntermediario="45682"</t>
  </si>
  <si>
    <t>numeroObligacionIntermediario="45683"</t>
  </si>
  <si>
    <t>numeroObligacionIntermediario="45684"</t>
  </si>
  <si>
    <t>numeroObligacionIntermediario="45685"</t>
  </si>
  <si>
    <t>numeroObligacionIntermediario="45686"</t>
  </si>
  <si>
    <t>numeroObligacionIntermediario="45687"</t>
  </si>
  <si>
    <t>numeroObligacionIntermediario="45688"</t>
  </si>
  <si>
    <t>numeroObligacionIntermediario="45689"</t>
  </si>
  <si>
    <t>numeroObligacionIntermediario="45690"</t>
  </si>
  <si>
    <t>numeroObligacionIntermediario="45691"</t>
  </si>
  <si>
    <t>numeroObligacionIntermediario="45692"</t>
  </si>
  <si>
    <t>numeroObligacionIntermediario="45693"</t>
  </si>
  <si>
    <t>numeroObligacionIntermediario="45694"</t>
  </si>
  <si>
    <t>numeroObligacionIntermediario="45695"</t>
  </si>
  <si>
    <t>numeroObligacionIntermediario="45696"</t>
  </si>
  <si>
    <t>numeroObligacionIntermediario="45697"</t>
  </si>
  <si>
    <t>numeroObligacionIntermediario="45698"</t>
  </si>
  <si>
    <t>numeroObligacionIntermediario="45699"</t>
  </si>
  <si>
    <t>numeroObligacionIntermediario="45700"</t>
  </si>
  <si>
    <t>numeroObligacionIntermediario="45701"</t>
  </si>
  <si>
    <t>numeroObligacionIntermediario="45702"</t>
  </si>
  <si>
    <t>numeroObligacionIntermediario="45703"</t>
  </si>
  <si>
    <t>numeroObligacionIntermediario="45704"</t>
  </si>
  <si>
    <t>numeroObligacionIntermediario="45705"</t>
  </si>
  <si>
    <t>numeroObligacionIntermediario="45706"</t>
  </si>
  <si>
    <t>numeroObligacionIntermediario="45707"</t>
  </si>
  <si>
    <t>numeroObligacionIntermediario="45708"</t>
  </si>
  <si>
    <t>numeroObligacionIntermediario="45709"</t>
  </si>
  <si>
    <t>numeroObligacionIntermediario="45710"</t>
  </si>
  <si>
    <t>numeroObligacionIntermediario="45711"</t>
  </si>
  <si>
    <t>numeroObligacionIntermediario="45712"</t>
  </si>
  <si>
    <t>numeroObligacionIntermediario="45713"</t>
  </si>
  <si>
    <t>numeroObligacionIntermediario="45714"</t>
  </si>
  <si>
    <t>numeroObligacionIntermediario="45715"</t>
  </si>
  <si>
    <t>numeroObligacionIntermediario="45716"</t>
  </si>
  <si>
    <t>numeroObligacionIntermediario="45717"</t>
  </si>
  <si>
    <t>numeroObligacionIntermediario="45718"</t>
  </si>
  <si>
    <t>numeroObligacionIntermediario="45719"</t>
  </si>
  <si>
    <t>numeroObligacionIntermediario="45720"</t>
  </si>
  <si>
    <t>numeroObligacionIntermediario="45721"</t>
  </si>
  <si>
    <t>numeroObligacionIntermediario="45722"</t>
  </si>
  <si>
    <t>numeroObligacionIntermediario="45723"</t>
  </si>
  <si>
    <t>numeroObligacionIntermediario="45724"</t>
  </si>
  <si>
    <t>numeroObligacionIntermediario="45725"</t>
  </si>
  <si>
    <t>numeroObligacionIntermediario="45726"</t>
  </si>
  <si>
    <t>numeroObligacionIntermediario="45727"</t>
  </si>
  <si>
    <t>numeroObligacionIntermediario="45728"</t>
  </si>
  <si>
    <t>numeroObligacionIntermediario="45729"</t>
  </si>
  <si>
    <t>numeroObligacionIntermediario="45730"</t>
  </si>
  <si>
    <t>numeroObligacionIntermediario="45731"</t>
  </si>
  <si>
    <t>numeroObligacionIntermediario="45732"</t>
  </si>
  <si>
    <t>numeroObligacionIntermediario="45733"</t>
  </si>
  <si>
    <t>numeroObligacionIntermediario="45734"</t>
  </si>
  <si>
    <t>numeroObligacionIntermediario="45735"</t>
  </si>
  <si>
    <t>numeroObligacionIntermediario="45736"</t>
  </si>
  <si>
    <t>numeroObligacionIntermediario="45737"</t>
  </si>
  <si>
    <t>numeroObligacionIntermediario="45738"</t>
  </si>
  <si>
    <t>numeroObligacionIntermediario="45739"</t>
  </si>
  <si>
    <t>numeroObligacionIntermediario="45740"</t>
  </si>
  <si>
    <t>numeroObligacionIntermediario="45741"</t>
  </si>
  <si>
    <t>numeroObligacionIntermediario="45742"</t>
  </si>
  <si>
    <t>numeroObligacionIntermediario="45743"</t>
  </si>
  <si>
    <t>numeroObligacionIntermediario="45744"</t>
  </si>
  <si>
    <t>numeroObligacionIntermediario="45745"</t>
  </si>
  <si>
    <t>numeroObligacionIntermediario="45746"</t>
  </si>
  <si>
    <t>numeroObligacionIntermediario="45747"</t>
  </si>
  <si>
    <t>numeroObligacionIntermediario="45748"</t>
  </si>
  <si>
    <t>numeroObligacionIntermediario="45749"</t>
  </si>
  <si>
    <t>numeroObligacionIntermediario="45750"</t>
  </si>
  <si>
    <t>numeroObligacionIntermediario="45751"</t>
  </si>
  <si>
    <t>numeroObligacionIntermediario="45752"</t>
  </si>
  <si>
    <t>numeroObligacionIntermediario="45753"</t>
  </si>
  <si>
    <t>numeroObligacionIntermediario="45754"</t>
  </si>
  <si>
    <t>numeroObligacionIntermediario="45755"</t>
  </si>
  <si>
    <t>numeroObligacionIntermediario="45756"</t>
  </si>
  <si>
    <t>numeroObligacionIntermediario="45757"</t>
  </si>
  <si>
    <t>numeroObligacionIntermediario="45758"</t>
  </si>
  <si>
    <t>numeroObligacionIntermediario="45759"</t>
  </si>
  <si>
    <t>numeroObligacionIntermediario="45760"</t>
  </si>
  <si>
    <t>numeroObligacionIntermediario="45761"</t>
  </si>
  <si>
    <t>numeroObligacionIntermediario="45762"</t>
  </si>
  <si>
    <t>numeroObligacionIntermediario="45763"</t>
  </si>
  <si>
    <t>numeroObligacionIntermediario="45764"</t>
  </si>
  <si>
    <t>numeroObligacionIntermediario="45765"</t>
  </si>
  <si>
    <t>numeroObligacionIntermediario="45766"</t>
  </si>
  <si>
    <t>numeroObligacionIntermediario="45767"</t>
  </si>
  <si>
    <t>numeroObligacionIntermediario="45768"</t>
  </si>
  <si>
    <t>numeroObligacionIntermediario="45769"</t>
  </si>
  <si>
    <t>numeroObligacionIntermediario="45770"</t>
  </si>
  <si>
    <t>numeroObligacionIntermediario="45771"</t>
  </si>
  <si>
    <t>numeroObligacionIntermediario="45772"</t>
  </si>
  <si>
    <t>numeroObligacionIntermediario="45773"</t>
  </si>
  <si>
    <t>numeroObligacionIntermediario="45774"</t>
  </si>
  <si>
    <t>numeroObligacionIntermediario="45775"</t>
  </si>
  <si>
    <t>numeroObligacionIntermediario="45776"</t>
  </si>
  <si>
    <t>numeroObligacionIntermediario="45777"</t>
  </si>
  <si>
    <t>numeroObligacionIntermediario="45778"</t>
  </si>
  <si>
    <t>numeroObligacionIntermediario="45779"</t>
  </si>
  <si>
    <t>numeroObligacionIntermediario="45780"</t>
  </si>
  <si>
    <t>numeroObligacionIntermediario="45781"</t>
  </si>
  <si>
    <t>numeroObligacionIntermediario="45782"</t>
  </si>
  <si>
    <t>numeroObligacionIntermediario="45783"</t>
  </si>
  <si>
    <t>numeroObligacionIntermediario="45784"</t>
  </si>
  <si>
    <t>numeroObligacionIntermediario="45785"</t>
  </si>
  <si>
    <t>numeroObligacionIntermediario="45786"</t>
  </si>
  <si>
    <t>numeroObligacionIntermediario="45787"</t>
  </si>
  <si>
    <t>numeroObligacionIntermediario="45788"</t>
  </si>
  <si>
    <t>numeroObligacionIntermediario="45789"</t>
  </si>
  <si>
    <t>numeroObligacionIntermediario="45790"</t>
  </si>
  <si>
    <t>numeroObligacionIntermediario="45791"</t>
  </si>
  <si>
    <t>numeroObligacionIntermediario="45792"</t>
  </si>
  <si>
    <t>numeroObligacionIntermediario="45793"</t>
  </si>
  <si>
    <t>numeroObligacionIntermediario="45794"</t>
  </si>
  <si>
    <t>numeroObligacionIntermediario="45795"</t>
  </si>
  <si>
    <t>numeroObligacionIntermediario="45796"</t>
  </si>
  <si>
    <t>numeroObligacionIntermediario="45797"</t>
  </si>
  <si>
    <t>numeroObligacionIntermediario="45798"</t>
  </si>
  <si>
    <t>numeroObligacionIntermediario="45799"</t>
  </si>
  <si>
    <t>numeroObligacionIntermediario="45800"</t>
  </si>
  <si>
    <t>numeroObligacionIntermediario="45801"</t>
  </si>
  <si>
    <t>numeroObligacionIntermediario="45802"</t>
  </si>
  <si>
    <t>numeroObligacionIntermediario="45803"</t>
  </si>
  <si>
    <t>numeroObligacionIntermediario="45804"</t>
  </si>
  <si>
    <t>numeroObligacionIntermediario="45805"</t>
  </si>
  <si>
    <t>numeroObligacionIntermediario="45806"</t>
  </si>
  <si>
    <t>numeroObligacionIntermediario="45807"</t>
  </si>
  <si>
    <t>numeroObligacionIntermediario="45808"</t>
  </si>
  <si>
    <t>numeroObligacionIntermediario="45809"</t>
  </si>
  <si>
    <t>numeroObligacionIntermediario="45810"</t>
  </si>
  <si>
    <t>numeroObligacionIntermediario="45811"</t>
  </si>
  <si>
    <t>numeroObligacionIntermediario="45812"</t>
  </si>
  <si>
    <t>numeroObligacionIntermediario="45813"</t>
  </si>
  <si>
    <t>numeroObligacionIntermediario="45814"</t>
  </si>
  <si>
    <t>numeroObligacionIntermediario="45815"</t>
  </si>
  <si>
    <t>numeroObligacionIntermediario="45816"</t>
  </si>
  <si>
    <t>numeroObligacionIntermediario="45817"</t>
  </si>
  <si>
    <t>numeroObligacionIntermediario="45818"</t>
  </si>
  <si>
    <t>numeroObligacionIntermediario="45819"</t>
  </si>
  <si>
    <t>numeroObligacionIntermediario="45820"</t>
  </si>
  <si>
    <t>numeroObligacionIntermediario="45821"</t>
  </si>
  <si>
    <t>numeroObligacionIntermediario="45822"</t>
  </si>
  <si>
    <t>numeroObligacionIntermediario="45823"</t>
  </si>
  <si>
    <t>numeroObligacionIntermediario="45824"</t>
  </si>
  <si>
    <t>numeroObligacionIntermediario="45825"</t>
  </si>
  <si>
    <t>numeroObligacionIntermediario="45826"</t>
  </si>
  <si>
    <t>numeroObligacionIntermediario="45827"</t>
  </si>
  <si>
    <t>numeroObligacionIntermediario="45828"</t>
  </si>
  <si>
    <t>numeroObligacionIntermediario="45829"</t>
  </si>
  <si>
    <t>numeroObligacionIntermediario="45830"</t>
  </si>
  <si>
    <t>numeroObligacionIntermediario="45831"</t>
  </si>
  <si>
    <t>numeroObligacionIntermediario="45832"</t>
  </si>
  <si>
    <t>numeroObligacionIntermediario="45833"</t>
  </si>
  <si>
    <t>numeroObligacionIntermediario="45834"</t>
  </si>
  <si>
    <t>numeroObligacionIntermediario="45835"</t>
  </si>
  <si>
    <t>numeroObligacionIntermediario="45836"</t>
  </si>
  <si>
    <t>numeroObligacionIntermediario="45837"</t>
  </si>
  <si>
    <t>numeroObligacionIntermediario="45838"</t>
  </si>
  <si>
    <t>numeroObligacionIntermediario="45839"</t>
  </si>
  <si>
    <t>numeroObligacionIntermediario="45840"</t>
  </si>
  <si>
    <t>numeroObligacionIntermediario="45841"</t>
  </si>
  <si>
    <t>numeroObligacionIntermediario="45842"</t>
  </si>
  <si>
    <t>numeroObligacionIntermediario="45843"</t>
  </si>
  <si>
    <t>numeroObligacionIntermediario="45844"</t>
  </si>
  <si>
    <t>numeroObligacionIntermediario="45845"</t>
  </si>
  <si>
    <t>numeroObligacionIntermediario="45846"</t>
  </si>
  <si>
    <t>numeroObligacionIntermediario="45847"</t>
  </si>
  <si>
    <t>numeroObligacionIntermediario="45848"</t>
  </si>
  <si>
    <t>numeroObligacionIntermediario="45849"</t>
  </si>
  <si>
    <t>numeroObligacionIntermediario="45850"</t>
  </si>
  <si>
    <t>numeroObligacionIntermediario="45851"</t>
  </si>
  <si>
    <t>numeroObligacionIntermediario="45852"</t>
  </si>
  <si>
    <t>numeroObligacionIntermediario="45853"</t>
  </si>
  <si>
    <t>numeroObligacionIntermediario="45854"</t>
  </si>
  <si>
    <t>numeroObligacionIntermediario="45855"</t>
  </si>
  <si>
    <t>numeroObligacionIntermediario="45856"</t>
  </si>
  <si>
    <t>numeroObligacionIntermediario="45857"</t>
  </si>
  <si>
    <t>numeroObligacionIntermediario="45858"</t>
  </si>
  <si>
    <t>numeroObligacionIntermediario="45859"</t>
  </si>
  <si>
    <t>numeroObligacionIntermediario="45860"</t>
  </si>
  <si>
    <t>numeroObligacionIntermediario="45861"</t>
  </si>
  <si>
    <t>numeroObligacionIntermediario="45862"</t>
  </si>
  <si>
    <t>numeroObligacionIntermediario="45863"</t>
  </si>
  <si>
    <t>numeroObligacionIntermediario="45864"</t>
  </si>
  <si>
    <t>numeroObligacionIntermediario="45865"</t>
  </si>
  <si>
    <t>numeroObligacionIntermediario="45866"</t>
  </si>
  <si>
    <t>numeroObligacionIntermediario="45867"</t>
  </si>
  <si>
    <t>numeroObligacionIntermediario="45868"</t>
  </si>
  <si>
    <t>numeroObligacionIntermediario="45869"</t>
  </si>
  <si>
    <t>numeroObligacionIntermediario="45870"</t>
  </si>
  <si>
    <t>numeroObligacionIntermediario="45871"</t>
  </si>
  <si>
    <t>numeroObligacionIntermediario="45872"</t>
  </si>
  <si>
    <t>numeroObligacionIntermediario="45873"</t>
  </si>
  <si>
    <t>numeroObligacionIntermediario="45874"</t>
  </si>
  <si>
    <t>numeroObligacionIntermediario="45875"</t>
  </si>
  <si>
    <t>numeroObligacionIntermediario="45876"</t>
  </si>
  <si>
    <t>numeroObligacionIntermediario="45877"</t>
  </si>
  <si>
    <t>numeroObligacionIntermediario="45878"</t>
  </si>
  <si>
    <t>numeroObligacionIntermediario="45879"</t>
  </si>
  <si>
    <t>numeroObligacionIntermediario="45880"</t>
  </si>
  <si>
    <t>numeroObligacionIntermediario="45881"</t>
  </si>
  <si>
    <t>numeroObligacionIntermediario="45882"</t>
  </si>
  <si>
    <t>numeroObligacionIntermediario="45883"</t>
  </si>
  <si>
    <t>numeroObligacionIntermediario="45884"</t>
  </si>
  <si>
    <t>numeroObligacionIntermediario="45885"</t>
  </si>
  <si>
    <t>numeroObligacionIntermediario="45886"</t>
  </si>
  <si>
    <t>numeroObligacionIntermediario="45887"</t>
  </si>
  <si>
    <t>numeroObligacionIntermediario="45888"</t>
  </si>
  <si>
    <t>numeroObligacionIntermediario="45889"</t>
  </si>
  <si>
    <t>numeroObligacionIntermediario="45890"</t>
  </si>
  <si>
    <t>numeroObligacionIntermediario="45891"</t>
  </si>
  <si>
    <t>numeroObligacionIntermediario="45892"</t>
  </si>
  <si>
    <t>numeroObligacionIntermediario="45893"</t>
  </si>
  <si>
    <t>numeroObligacionIntermediario="45894"</t>
  </si>
  <si>
    <t>numeroObligacionIntermediario="45895"</t>
  </si>
  <si>
    <t>numeroObligacionIntermediario="45896"</t>
  </si>
  <si>
    <t>numeroObligacionIntermediario="45897"</t>
  </si>
  <si>
    <t>numeroObligacionIntermediario="45898"</t>
  </si>
  <si>
    <t>numeroObligacionIntermediario="45899"</t>
  </si>
  <si>
    <t>numeroObligacionIntermediario="45900"</t>
  </si>
  <si>
    <t>numeroObligacionIntermediario="45901"</t>
  </si>
  <si>
    <t>numeroObligacionIntermediario="45902"</t>
  </si>
  <si>
    <t>numeroObligacionIntermediario="45903"</t>
  </si>
  <si>
    <t>numeroObligacionIntermediario="45904"</t>
  </si>
  <si>
    <t>numeroObligacionIntermediario="45905"</t>
  </si>
  <si>
    <t>numeroObligacionIntermediario="45906"</t>
  </si>
  <si>
    <t>numeroObligacionIntermediario="45907"</t>
  </si>
  <si>
    <t>numeroObligacionIntermediario="45908"</t>
  </si>
  <si>
    <t>numeroObligacionIntermediario="45909"</t>
  </si>
  <si>
    <t>numeroObligacionIntermediario="45910"</t>
  </si>
  <si>
    <t>numeroObligacionIntermediario="45911"</t>
  </si>
  <si>
    <t>numeroObligacionIntermediario="45912"</t>
  </si>
  <si>
    <t>numeroObligacionIntermediario="45913"</t>
  </si>
  <si>
    <t>numeroObligacionIntermediario="45914"</t>
  </si>
  <si>
    <t>numeroObligacionIntermediario="45915"</t>
  </si>
  <si>
    <t>numeroObligacionIntermediario="45916"</t>
  </si>
  <si>
    <t>numeroObligacionIntermediario="45917"</t>
  </si>
  <si>
    <t>numeroObligacionIntermediario="45918"</t>
  </si>
  <si>
    <t>numeroObligacionIntermediario="45919"</t>
  </si>
  <si>
    <t>numeroObligacionIntermediario="45920"</t>
  </si>
  <si>
    <t>numeroObligacionIntermediario="45921"</t>
  </si>
  <si>
    <t>numeroObligacionIntermediario="45922"</t>
  </si>
  <si>
    <t>numeroObligacionIntermediario="45923"</t>
  </si>
  <si>
    <t>numeroObligacionIntermediario="45924"</t>
  </si>
  <si>
    <t>numeroObligacionIntermediario="45925"</t>
  </si>
  <si>
    <t>numeroObligacionIntermediario="45926"</t>
  </si>
  <si>
    <t>numeroObligacionIntermediario="45927"</t>
  </si>
  <si>
    <t>numeroObligacionIntermediario="45928"</t>
  </si>
  <si>
    <t>numeroObligacionIntermediario="45929"</t>
  </si>
  <si>
    <t>numeroObligacionIntermediario="45930"</t>
  </si>
  <si>
    <t>numeroObligacionIntermediario="45931"</t>
  </si>
  <si>
    <t>numeroObligacionIntermediario="45932"</t>
  </si>
  <si>
    <t>numeroObligacionIntermediario="45933"</t>
  </si>
  <si>
    <t>numeroObligacionIntermediario="45934"</t>
  </si>
  <si>
    <t>numeroObligacionIntermediario="45935"</t>
  </si>
  <si>
    <t>numeroObligacionIntermediario="45936"</t>
  </si>
  <si>
    <t>numeroObligacionIntermediario="45937"</t>
  </si>
  <si>
    <t>numeroObligacionIntermediario="45938"</t>
  </si>
  <si>
    <t>numeroObligacionIntermediario="45939"</t>
  </si>
  <si>
    <t>numeroObligacionIntermediario="45940"</t>
  </si>
  <si>
    <t>numeroObligacionIntermediario="45941"</t>
  </si>
  <si>
    <t>numeroObligacionIntermediario="45942"</t>
  </si>
  <si>
    <t>numeroObligacionIntermediario="45943"</t>
  </si>
  <si>
    <t>numeroObligacionIntermediario="45944"</t>
  </si>
  <si>
    <t>numeroObligacionIntermediario="45945"</t>
  </si>
  <si>
    <t>numeroObligacionIntermediario="45946"</t>
  </si>
  <si>
    <t>numeroObligacionIntermediario="45947"</t>
  </si>
  <si>
    <t>numeroObligacionIntermediario="45948"</t>
  </si>
  <si>
    <t>numeroObligacionIntermediario="45949"</t>
  </si>
  <si>
    <t>numeroObligacionIntermediario="45950"</t>
  </si>
  <si>
    <t>numeroObligacionIntermediario="45951"</t>
  </si>
  <si>
    <t>numeroObligacionIntermediario="45952"</t>
  </si>
  <si>
    <t>numeroObligacionIntermediario="45953"</t>
  </si>
  <si>
    <t>numeroObligacionIntermediario="45954"</t>
  </si>
  <si>
    <t>numeroObligacionIntermediario="45955"</t>
  </si>
  <si>
    <t>numeroObligacionIntermediario="45956"</t>
  </si>
  <si>
    <t>numeroObligacionIntermediario="45957"</t>
  </si>
  <si>
    <t>numeroObligacionIntermediario="45958"</t>
  </si>
  <si>
    <t>numeroObligacionIntermediario="45959"</t>
  </si>
  <si>
    <t>numeroObligacionIntermediario="45960"</t>
  </si>
  <si>
    <t>numeroObligacionIntermediario="45961"</t>
  </si>
  <si>
    <t>numeroObligacionIntermediario="45962"</t>
  </si>
  <si>
    <t>numeroObligacionIntermediario="45963"</t>
  </si>
  <si>
    <t>numeroObligacionIntermediario="45964"</t>
  </si>
  <si>
    <t>numeroObligacionIntermediario="45965"</t>
  </si>
  <si>
    <t>numeroObligacionIntermediario="45966"</t>
  </si>
  <si>
    <t>numeroObligacionIntermediario="45967"</t>
  </si>
  <si>
    <t>numeroObligacionIntermediario="45968"</t>
  </si>
  <si>
    <t>numeroObligacionIntermediario="45969"</t>
  </si>
  <si>
    <t>numeroObligacionIntermediario="45970"</t>
  </si>
  <si>
    <t>numeroObligacionIntermediario="45971"</t>
  </si>
  <si>
    <t>numeroObligacionIntermediario="45972"</t>
  </si>
  <si>
    <t>numeroObligacionIntermediario="45973"</t>
  </si>
  <si>
    <t>numeroObligacionIntermediario="45974"</t>
  </si>
  <si>
    <t>numeroObligacionIntermediario="45975"</t>
  </si>
  <si>
    <t>numeroObligacionIntermediario="45976"</t>
  </si>
  <si>
    <t>numeroObligacionIntermediario="45977"</t>
  </si>
  <si>
    <t>numeroObligacionIntermediario="45978"</t>
  </si>
  <si>
    <t>numeroObligacionIntermediario="45979"</t>
  </si>
  <si>
    <t>numeroObligacionIntermediario="45980"</t>
  </si>
  <si>
    <t>numeroObligacionIntermediario="45981"</t>
  </si>
  <si>
    <t>numeroObligacionIntermediario="45982"</t>
  </si>
  <si>
    <t>numeroObligacionIntermediario="45983"</t>
  </si>
  <si>
    <t>numeroObligacionIntermediario="45984"</t>
  </si>
  <si>
    <t>numeroObligacionIntermediario="45985"</t>
  </si>
  <si>
    <t>numeroObligacionIntermediario="45986"</t>
  </si>
  <si>
    <t>numeroObligacionIntermediario="45987"</t>
  </si>
  <si>
    <t>numeroObligacionIntermediario="45988"</t>
  </si>
  <si>
    <t>numeroObligacionIntermediario="45989"</t>
  </si>
  <si>
    <t>numeroObligacionIntermediario="45990"</t>
  </si>
  <si>
    <t>numeroObligacionIntermediario="45991"</t>
  </si>
  <si>
    <t>numeroObligacionIntermediario="45992"</t>
  </si>
  <si>
    <t>numeroObligacionIntermediario="45993"</t>
  </si>
  <si>
    <t>numeroObligacionIntermediario="45994"</t>
  </si>
  <si>
    <t>numeroObligacionIntermediario="45995"</t>
  </si>
  <si>
    <t>numeroObligacionIntermediario="45996"</t>
  </si>
  <si>
    <t>numeroObligacionIntermediario="45997"</t>
  </si>
  <si>
    <t>numeroObligacionIntermediario="45998"</t>
  </si>
  <si>
    <t>numeroObligacionIntermediario="45999"</t>
  </si>
  <si>
    <t>numeroObligacionIntermediario="46000"</t>
  </si>
  <si>
    <t>numeroObligacionIntermediario="46001"</t>
  </si>
  <si>
    <t>numeroObligacionIntermediario="46002"</t>
  </si>
  <si>
    <t>numeroObligacionIntermediario="46003"</t>
  </si>
  <si>
    <t>numeroObligacionIntermediario="46004"</t>
  </si>
  <si>
    <t>numeroObligacionIntermediario="46005"</t>
  </si>
  <si>
    <t>numeroObligacionIntermediario="46006"</t>
  </si>
  <si>
    <t>numeroObligacionIntermediario="46007"</t>
  </si>
  <si>
    <t>numeroObligacionIntermediario="46008"</t>
  </si>
  <si>
    <t>numeroObligacionIntermediario="46009"</t>
  </si>
  <si>
    <t>numeroObligacionIntermediario="46010"</t>
  </si>
  <si>
    <t>numeroObligacionIntermediario="46011"</t>
  </si>
  <si>
    <t>numeroObligacionIntermediario="46012"</t>
  </si>
  <si>
    <t>numeroObligacionIntermediario="46013"</t>
  </si>
  <si>
    <t>numeroObligacionIntermediario="46014"</t>
  </si>
  <si>
    <t>numeroObligacionIntermediario="46015"</t>
  </si>
  <si>
    <t>numeroObligacionIntermediario="46016"</t>
  </si>
  <si>
    <t>numeroObligacionIntermediario="46017"</t>
  </si>
  <si>
    <t>numeroObligacionIntermediario="46018"</t>
  </si>
  <si>
    <t>numeroObligacionIntermediario="46019"</t>
  </si>
  <si>
    <t>numeroObligacionIntermediario="46020"</t>
  </si>
  <si>
    <t>numeroObligacionIntermediario="46021"</t>
  </si>
  <si>
    <t>numeroObligacionIntermediario="46022"</t>
  </si>
  <si>
    <t>numeroObligacionIntermediario="46023"</t>
  </si>
  <si>
    <t>numeroObligacionIntermediario="46024"</t>
  </si>
  <si>
    <t>numeroObligacionIntermediario="46025"</t>
  </si>
  <si>
    <t>numeroObligacionIntermediario="46026"</t>
  </si>
  <si>
    <t>numeroObligacionIntermediario="46027"</t>
  </si>
  <si>
    <t>numeroObligacionIntermediario="46028"</t>
  </si>
  <si>
    <t>numeroObligacionIntermediario="46029"</t>
  </si>
  <si>
    <t>numeroObligacionIntermediario="46030"</t>
  </si>
  <si>
    <t>numeroObligacionIntermediario="46031"</t>
  </si>
  <si>
    <t>numeroObligacionIntermediario="46032"</t>
  </si>
  <si>
    <t>numeroObligacionIntermediario="46033"</t>
  </si>
  <si>
    <t>numeroObligacionIntermediario="46034"</t>
  </si>
  <si>
    <t>numeroObligacionIntermediario="46035"</t>
  </si>
  <si>
    <t>numeroObligacionIntermediario="46036"</t>
  </si>
  <si>
    <t>numeroObligacionIntermediario="46037"</t>
  </si>
  <si>
    <t>numeroObligacionIntermediario="46038"</t>
  </si>
  <si>
    <t>numeroObligacionIntermediario="46039"</t>
  </si>
  <si>
    <t>numeroObligacionIntermediario="46040"</t>
  </si>
  <si>
    <t>numeroObligacionIntermediario="46041"</t>
  </si>
  <si>
    <t>numeroObligacionIntermediario="46042"</t>
  </si>
  <si>
    <t>numeroObligacionIntermediario="46043"</t>
  </si>
  <si>
    <t>numeroObligacionIntermediario="46044"</t>
  </si>
  <si>
    <t>numeroObligacionIntermediario="46045"</t>
  </si>
  <si>
    <t>numeroObligacionIntermediario="46046"</t>
  </si>
  <si>
    <t>numeroObligacionIntermediario="46047"</t>
  </si>
  <si>
    <t>numeroObligacionIntermediario="46048"</t>
  </si>
  <si>
    <t>numeroObligacionIntermediario="46049"</t>
  </si>
  <si>
    <t>numeroObligacionIntermediario="46050"</t>
  </si>
  <si>
    <t>numeroObligacionIntermediario="46051"</t>
  </si>
  <si>
    <t>numeroObligacionIntermediario="46052"</t>
  </si>
  <si>
    <t>numeroObligacionIntermediario="46053"</t>
  </si>
  <si>
    <t>numeroObligacionIntermediario="46054"</t>
  </si>
  <si>
    <t>numeroObligacionIntermediario="46055"</t>
  </si>
  <si>
    <t>numeroObligacionIntermediario="46056"</t>
  </si>
  <si>
    <t>numeroObligacionIntermediario="46057"</t>
  </si>
  <si>
    <t>numeroObligacionIntermediario="46058"</t>
  </si>
  <si>
    <t>numeroObligacionIntermediario="46059"</t>
  </si>
  <si>
    <t>numeroObligacionIntermediario="46060"</t>
  </si>
  <si>
    <t>numeroObligacionIntermediario="46061"</t>
  </si>
  <si>
    <t>numeroObligacionIntermediario="46062"</t>
  </si>
  <si>
    <t>numeroObligacionIntermediario="46063"</t>
  </si>
  <si>
    <t>numeroObligacionIntermediario="46064"</t>
  </si>
  <si>
    <t>numeroObligacionIntermediario="46065"</t>
  </si>
  <si>
    <t>numeroObligacionIntermediario="46066"</t>
  </si>
  <si>
    <t>numeroObligacionIntermediario="46067"</t>
  </si>
  <si>
    <t>numeroObligacionIntermediario="46068"</t>
  </si>
  <si>
    <t>numeroObligacionIntermediario="46069"</t>
  </si>
  <si>
    <t>numeroObligacionIntermediario="46070"</t>
  </si>
  <si>
    <t>numeroObligacionIntermediario="46071"</t>
  </si>
  <si>
    <t>numeroObligacionIntermediario="46072"</t>
  </si>
  <si>
    <t>numeroObligacionIntermediario="46073"</t>
  </si>
  <si>
    <t>numeroObligacionIntermediario="46074"</t>
  </si>
  <si>
    <t>numeroObligacionIntermediario="46075"</t>
  </si>
  <si>
    <t>numeroObligacionIntermediario="46076"</t>
  </si>
  <si>
    <t>numeroObligacionIntermediario="46077"</t>
  </si>
  <si>
    <t>numeroObligacionIntermediario="46078"</t>
  </si>
  <si>
    <t>numeroObligacionIntermediario="46079"</t>
  </si>
  <si>
    <t>numeroObligacionIntermediario="46080"</t>
  </si>
  <si>
    <t>numeroObligacionIntermediario="46081"</t>
  </si>
  <si>
    <t>numeroObligacionIntermediario="46082"</t>
  </si>
  <si>
    <t>numeroObligacionIntermediario="46083"</t>
  </si>
  <si>
    <t>numeroObligacionIntermediario="46084"</t>
  </si>
  <si>
    <t>numeroObligacionIntermediario="46085"</t>
  </si>
  <si>
    <t>numeroObligacionIntermediario="46086"</t>
  </si>
  <si>
    <t>numeroObligacionIntermediario="46087"</t>
  </si>
  <si>
    <t>numeroObligacionIntermediario="46088"</t>
  </si>
  <si>
    <t>numeroObligacionIntermediario="46089"</t>
  </si>
  <si>
    <t>numeroObligacionIntermediario="46090"</t>
  </si>
  <si>
    <t>numeroObligacionIntermediario="46091"</t>
  </si>
  <si>
    <t>numeroObligacionIntermediario="46092"</t>
  </si>
  <si>
    <t>numeroObligacionIntermediario="46093"</t>
  </si>
  <si>
    <t>numeroObligacionIntermediario="46094"</t>
  </si>
  <si>
    <t>numeroObligacionIntermediario="46095"</t>
  </si>
  <si>
    <t>numeroObligacionIntermediario="46096"</t>
  </si>
  <si>
    <t>numeroObligacionIntermediario="46097"</t>
  </si>
  <si>
    <t>numeroObligacionIntermediario="46098"</t>
  </si>
  <si>
    <t>numeroObligacionIntermediario="46099"</t>
  </si>
  <si>
    <t>numeroObligacionIntermediario="46100"</t>
  </si>
  <si>
    <t>numeroObligacionIntermediario="46101"</t>
  </si>
  <si>
    <t>numeroObligacionIntermediario="46102"</t>
  </si>
  <si>
    <t>numeroObligacionIntermediario="46103"</t>
  </si>
  <si>
    <t>numeroObligacionIntermediario="46104"</t>
  </si>
  <si>
    <t>numeroObligacionIntermediario="46105"</t>
  </si>
  <si>
    <t>numeroObligacionIntermediario="46106"</t>
  </si>
  <si>
    <t>numeroObligacionIntermediario="46107"</t>
  </si>
  <si>
    <t>numeroObligacionIntermediario="46108"</t>
  </si>
  <si>
    <t>numeroObligacionIntermediario="46109"</t>
  </si>
  <si>
    <t>numeroObligacionIntermediario="46110"</t>
  </si>
  <si>
    <t>numeroObligacionIntermediario="46111"</t>
  </si>
  <si>
    <t>numeroObligacionIntermediario="46112"</t>
  </si>
  <si>
    <t>numeroObligacionIntermediario="46113"</t>
  </si>
  <si>
    <t>numeroObligacionIntermediario="46114"</t>
  </si>
  <si>
    <t>numeroObligacionIntermediario="46115"</t>
  </si>
  <si>
    <t>numeroObligacionIntermediario="46116"</t>
  </si>
  <si>
    <t>numeroObligacionIntermediario="46117"</t>
  </si>
  <si>
    <t>numeroObligacionIntermediario="46118"</t>
  </si>
  <si>
    <t>numeroObligacionIntermediario="46119"</t>
  </si>
  <si>
    <t>numeroObligacionIntermediario="46120"</t>
  </si>
  <si>
    <t>numeroObligacionIntermediario="46121"</t>
  </si>
  <si>
    <t>numeroObligacionIntermediario="46122"</t>
  </si>
  <si>
    <t>numeroObligacionIntermediario="46123"</t>
  </si>
  <si>
    <t>numeroObligacionIntermediario="46124"</t>
  </si>
  <si>
    <t>numeroObligacionIntermediario="46125"</t>
  </si>
  <si>
    <t>numeroObligacionIntermediario="46126"</t>
  </si>
  <si>
    <t>numeroObligacionIntermediario="46127"</t>
  </si>
  <si>
    <t>numeroObligacionIntermediario="46128"</t>
  </si>
  <si>
    <t>numeroObligacionIntermediario="46129"</t>
  </si>
  <si>
    <t>numeroObligacionIntermediario="46130"</t>
  </si>
  <si>
    <t>numeroObligacionIntermediario="46131"</t>
  </si>
  <si>
    <t>numeroObligacionIntermediario="46132"</t>
  </si>
  <si>
    <t>numeroObligacionIntermediario="46133"</t>
  </si>
  <si>
    <t>numeroObligacionIntermediario="46134"</t>
  </si>
  <si>
    <t>numeroObligacionIntermediario="46135"</t>
  </si>
  <si>
    <t>numeroObligacionIntermediario="46136"</t>
  </si>
  <si>
    <t>numeroObligacionIntermediario="46137"</t>
  </si>
  <si>
    <t>numeroObligacionIntermediario="46138"</t>
  </si>
  <si>
    <t>numeroObligacionIntermediario="46139"</t>
  </si>
  <si>
    <t>numeroObligacionIntermediario="46140"</t>
  </si>
  <si>
    <t>numeroObligacionIntermediario="46141"</t>
  </si>
  <si>
    <t>numeroObligacionIntermediario="46142"</t>
  </si>
  <si>
    <t>numeroObligacionIntermediario="46143"</t>
  </si>
  <si>
    <t>numeroObligacionIntermediario="46144"</t>
  </si>
  <si>
    <t>numeroObligacionIntermediario="46145"</t>
  </si>
  <si>
    <t>numeroObligacionIntermediario="46146"</t>
  </si>
  <si>
    <t>numeroObligacionIntermediario="46147"</t>
  </si>
  <si>
    <t>numeroObligacionIntermediario="46148"</t>
  </si>
  <si>
    <t>numeroObligacionIntermediario="46149"</t>
  </si>
  <si>
    <t>numeroObligacionIntermediario="46150"</t>
  </si>
  <si>
    <t>numeroObligacionIntermediario="46151"</t>
  </si>
  <si>
    <t>numeroObligacionIntermediario="46152"</t>
  </si>
  <si>
    <t>numeroObligacionIntermediario="46153"</t>
  </si>
  <si>
    <t>MV</t>
  </si>
  <si>
    <t/>
  </si>
  <si>
    <t>PATRICIA</t>
  </si>
  <si>
    <t>HERRERA</t>
  </si>
  <si>
    <t>MARTINEZ</t>
  </si>
  <si>
    <t>RAMIREZ</t>
  </si>
  <si>
    <t>CRISTIAN</t>
  </si>
  <si>
    <t>CAMILO</t>
  </si>
  <si>
    <t>R| CL 3 A SUR 7 36</t>
  </si>
  <si>
    <t>AYALA</t>
  </si>
  <si>
    <t>RODELO</t>
  </si>
  <si>
    <t>ERIKA</t>
  </si>
  <si>
    <t>R| CL 13 1 A 61</t>
  </si>
  <si>
    <t>MINGAN</t>
  </si>
  <si>
    <t>ZAMBRANO</t>
  </si>
  <si>
    <t>BRIYITH</t>
  </si>
  <si>
    <t>MARITZA</t>
  </si>
  <si>
    <t>R| PREDIO B MINGAN</t>
  </si>
  <si>
    <t>SERRANO</t>
  </si>
  <si>
    <t>TRUJILLO</t>
  </si>
  <si>
    <t>LUIS</t>
  </si>
  <si>
    <t>ALFONSO</t>
  </si>
  <si>
    <t>R| LT 18</t>
  </si>
  <si>
    <t>GONZALEZ</t>
  </si>
  <si>
    <t>ALVARADO</t>
  </si>
  <si>
    <t>MIGUEL</t>
  </si>
  <si>
    <t>ANGEL</t>
  </si>
  <si>
    <t>R| CL 1 9 19</t>
  </si>
  <si>
    <t>GALINDO</t>
  </si>
  <si>
    <t>LEIDY</t>
  </si>
  <si>
    <t>KATHERINE</t>
  </si>
  <si>
    <t>R| AV 8 KDX 111 4 C LLANITOS PATIOS</t>
  </si>
  <si>
    <t>BALLESTEROS</t>
  </si>
  <si>
    <t>YAMILE</t>
  </si>
  <si>
    <t>R| KR 9 16 08 C</t>
  </si>
  <si>
    <t>MONTOYA</t>
  </si>
  <si>
    <t>PESTANA</t>
  </si>
  <si>
    <t>JOHANNA</t>
  </si>
  <si>
    <t>R| TV 21 16 106 LC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</si>
</sst>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dd/mm/yyyy;@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69696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6">
    <xf numFmtId="0" fontId="0" fillId="0" borderId="0" xfId="0"/>
    <xf numFmtId="0" fontId="0" fillId="2" borderId="1" xfId="0" applyFill="1" applyBorder="1"/>
    <xf numFmtId="2" fontId="0" fillId="2" borderId="1" xfId="0" applyNumberFormat="1" applyFill="1" applyBorder="1"/>
    <xf numFmtId="0" fontId="0" fillId="2" borderId="2" xfId="0" applyFill="1" applyBorder="1"/>
    <xf numFmtId="0" fontId="0" fillId="3" borderId="1" xfId="0" applyFill="1" applyBorder="1"/>
    <xf numFmtId="165" fontId="0" fillId="2" borderId="1" xfId="0" applyNumberFormat="1" applyFill="1" applyBorder="1"/>
    <xf numFmtId="0" fontId="3" fillId="0" borderId="0" xfId="0" applyFont="1"/>
    <xf numFmtId="14" fontId="3" fillId="0" borderId="0" xfId="0" applyNumberFormat="1" applyFont="1"/>
    <xf numFmtId="14" fontId="0" fillId="2" borderId="1" xfId="0" applyNumberFormat="1" applyFill="1" applyBorder="1"/>
    <xf numFmtId="49" fontId="0" fillId="2" borderId="1" xfId="0" applyNumberFormat="1" applyFill="1" applyBorder="1"/>
    <xf numFmtId="0" fontId="3" fillId="0" borderId="0" xfId="0" quotePrefix="1" applyFont="1"/>
    <xf numFmtId="0" fontId="3" fillId="0" borderId="0" xfId="1" applyNumberFormat="1" applyFont="1" applyFill="1" applyBorder="1"/>
    <xf numFmtId="0" fontId="4" fillId="0" borderId="3" xfId="0" applyFont="1" applyBorder="1" applyAlignment="1">
      <alignment horizontal="center" vertical="center" wrapText="1"/>
    </xf>
    <xf numFmtId="1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3" fillId="0" borderId="1" xfId="0" applyFont="1" applyBorder="1"/>
    <xf numFmtId="0" fontId="3" fillId="0" borderId="1" xfId="1" applyNumberFormat="1" applyFont="1" applyFill="1" applyBorder="1"/>
    <xf numFmtId="14" fontId="3" fillId="0" borderId="1" xfId="0" applyNumberFormat="1" applyFont="1" applyBorder="1"/>
    <xf numFmtId="20" fontId="0" fillId="0" borderId="0" xfId="0" applyNumberFormat="1"/>
    <xf numFmtId="46" fontId="0" fillId="0" borderId="0" xfId="0" applyNumberFormat="1"/>
    <xf numFmtId="1" fontId="3" fillId="0" borderId="0" xfId="0" quotePrefix="1" applyNumberFormat="1" applyFont="1"/>
    <xf numFmtId="4" fontId="3" fillId="0" borderId="1" xfId="1" applyNumberFormat="1" applyFont="1" applyFill="1" applyBorder="1"/>
    <xf numFmtId="164" fontId="3" fillId="0" borderId="1" xfId="1" applyFont="1" applyFill="1" applyBorder="1"/>
    <xf numFmtId="2" fontId="3" fillId="0" borderId="0" xfId="0" applyNumberFormat="1" applyFont="1"/>
    <xf numFmtId="4" fontId="3" fillId="0" borderId="0" xfId="1" applyNumberFormat="1" applyFont="1" applyFill="1" applyBorder="1"/>
    <xf numFmtId="164" fontId="3" fillId="0" borderId="0" xfId="1" applyFont="1" applyFill="1" applyBorder="1"/>
    <xf numFmtId="0" fontId="0" fillId="0" borderId="1" xfId="0" applyBorder="1"/>
    <xf numFmtId="165" fontId="0" fillId="0" borderId="1" xfId="0" applyNumberFormat="1" applyBorder="1"/>
    <xf numFmtId="1" fontId="0" fillId="0" borderId="0" xfId="0" quotePrefix="1" applyNumberFormat="1"/>
    <xf numFmtId="0" fontId="0" fillId="0" borderId="0" xfId="0" quotePrefix="1"/>
    <xf numFmtId="4" fontId="0" fillId="0" borderId="1" xfId="1" applyNumberFormat="1" applyFont="1" applyBorder="1"/>
    <xf numFmtId="14" fontId="0" fillId="0" borderId="1" xfId="0" applyNumberFormat="1" applyBorder="1"/>
    <xf numFmtId="164" fontId="0" fillId="0" borderId="1" xfId="1" applyFont="1" applyBorder="1"/>
    <xf numFmtId="0" fontId="0" fillId="0" borderId="1" xfId="1" applyNumberFormat="1" applyFont="1" applyBorder="1"/>
    <xf numFmtId="43" fontId="3" fillId="0" borderId="1" xfId="1" applyNumberFormat="1" applyFont="1" applyFill="1" applyBorder="1"/>
  </cellXfs>
  <cellStyles count="2">
    <cellStyle name="Millares" xfId="1" builtinId="3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3A89D-09B9-4A7E-B14A-8D948453594C}">
  <sheetPr codeName="Hoja1"/>
  <dimension ref="A1:BM2076"/>
  <sheetViews>
    <sheetView tabSelected="1" zoomScaleNormal="100" workbookViewId="0"/>
  </sheetViews>
  <sheetFormatPr baseColWidth="10" defaultRowHeight="15" x14ac:dyDescent="0.25"/>
  <cols>
    <col min="6" max="7" width="12" bestFit="1" customWidth="1"/>
    <col min="8" max="9" width="12" style="13" customWidth="1"/>
    <col min="15" max="15" width="40.140625" bestFit="1" customWidth="1"/>
    <col min="22" max="22" width="12.5703125" style="14" bestFit="1" customWidth="1"/>
    <col min="32" max="32" width="15" customWidth="1"/>
    <col min="33" max="33" width="12" style="15" customWidth="1"/>
    <col min="34" max="35" width="11.42578125" style="15"/>
    <col min="38" max="38" width="11.42578125" customWidth="1"/>
    <col min="41" max="41" width="14" bestFit="1" customWidth="1"/>
    <col min="42" max="42" width="10.85546875" customWidth="1"/>
    <col min="43" max="43" width="11.42578125" style="15"/>
    <col min="47" max="47" width="14.85546875" bestFit="1" customWidth="1"/>
    <col min="49" max="49" width="11.42578125" style="13" customWidth="1"/>
    <col min="59" max="60" width="14.5703125" bestFit="1" customWidth="1"/>
    <col min="61" max="61" width="19.28515625" customWidth="1"/>
    <col min="62" max="62" width="16" customWidth="1"/>
    <col min="63" max="63" width="16.42578125" customWidth="1"/>
    <col min="64" max="64" width="18" customWidth="1"/>
  </cols>
  <sheetData>
    <row r="1" spans="1:6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s="8" t="s">
        <v>7</v>
      </c>
      <c r="I1" s="8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1" t="s">
        <v>13</v>
      </c>
      <c r="O1" s="4" t="s">
        <v>14</v>
      </c>
      <c r="P1" s="1" t="s">
        <v>15</v>
      </c>
      <c r="Q1" s="4" t="s">
        <v>16</v>
      </c>
      <c r="R1" s="4" t="s">
        <v>17</v>
      </c>
      <c r="S1" s="1" t="s">
        <v>18</v>
      </c>
      <c r="T1" s="1" t="s">
        <v>19</v>
      </c>
      <c r="U1" s="3" t="s">
        <v>20</v>
      </c>
      <c r="V1" s="2" t="s">
        <v>53</v>
      </c>
      <c r="W1" s="1" t="s">
        <v>54</v>
      </c>
      <c r="X1" s="1" t="s">
        <v>56</v>
      </c>
      <c r="Y1" s="3" t="s">
        <v>55</v>
      </c>
      <c r="Z1" s="1" t="s">
        <v>57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5" t="s">
        <v>27</v>
      </c>
      <c r="AH1" s="5" t="s">
        <v>28</v>
      </c>
      <c r="AI1" s="5" t="s">
        <v>29</v>
      </c>
      <c r="AJ1" s="2" t="s">
        <v>30</v>
      </c>
      <c r="AK1" s="1" t="s">
        <v>31</v>
      </c>
      <c r="AL1" s="1" t="s">
        <v>32</v>
      </c>
      <c r="AM1" s="1" t="s">
        <v>33</v>
      </c>
      <c r="AN1" s="4" t="s">
        <v>34</v>
      </c>
      <c r="AO1" s="1" t="s">
        <v>35</v>
      </c>
      <c r="AP1" s="1" t="s">
        <v>36</v>
      </c>
      <c r="AQ1" s="5" t="s">
        <v>37</v>
      </c>
      <c r="AR1" s="1" t="s">
        <v>38</v>
      </c>
      <c r="AS1" s="1" t="s">
        <v>39</v>
      </c>
      <c r="AT1" s="4" t="s">
        <v>40</v>
      </c>
      <c r="AU1" s="1" t="s">
        <v>41</v>
      </c>
      <c r="AV1" s="1" t="s">
        <v>42</v>
      </c>
      <c r="AW1" s="9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66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</row>
    <row r="2" spans="1:65" x14ac:dyDescent="0.25">
      <c r="A2">
        <v>2</v>
      </c>
      <c r="B2">
        <v>732</v>
      </c>
      <c r="C2">
        <v>1</v>
      </c>
      <c r="D2">
        <v>1</v>
      </c>
      <c r="E2">
        <v>1</v>
      </c>
      <c r="F2" s="29">
        <v>34692942</v>
      </c>
      <c r="G2" s="30">
        <v>34692942</v>
      </c>
      <c r="H2" s="13">
        <v>45548</v>
      </c>
      <c r="I2" s="13">
        <v>45548</v>
      </c>
      <c r="J2">
        <v>41</v>
      </c>
      <c r="K2">
        <v>41</v>
      </c>
      <c r="L2">
        <v>101030</v>
      </c>
      <c r="M2">
        <v>1</v>
      </c>
      <c r="O2" t="b">
        <v>1</v>
      </c>
      <c r="Q2">
        <v>1</v>
      </c>
      <c r="R2">
        <v>94</v>
      </c>
      <c r="S2">
        <v>160001</v>
      </c>
      <c r="T2">
        <v>2</v>
      </c>
      <c r="U2" s="27">
        <v>1048268326</v>
      </c>
      <c r="V2"/>
      <c r="W2" s="27" t="s">
        <v>1629</v>
      </c>
      <c r="X2" s="27" t="s">
        <v>1630</v>
      </c>
      <c r="Y2" s="27" t="s">
        <v>1631</v>
      </c>
      <c r="Z2" s="27" t="s">
        <v>1622</v>
      </c>
      <c r="AB2" t="s">
        <v>1632</v>
      </c>
      <c r="AC2" s="27">
        <v>8433</v>
      </c>
      <c r="AE2" s="27">
        <v>0</v>
      </c>
      <c r="AF2" s="31">
        <v>76500000</v>
      </c>
      <c r="AG2" s="32">
        <v>45544</v>
      </c>
      <c r="AH2" s="13">
        <v>45368</v>
      </c>
      <c r="AI2" s="13">
        <v>45908</v>
      </c>
      <c r="AJ2">
        <v>1</v>
      </c>
      <c r="AK2" s="27">
        <v>8433</v>
      </c>
      <c r="AL2" t="s">
        <v>1632</v>
      </c>
      <c r="AM2">
        <v>165000</v>
      </c>
      <c r="AN2">
        <v>1</v>
      </c>
      <c r="AO2" s="33">
        <v>6000000</v>
      </c>
      <c r="AP2" s="34">
        <v>6000000</v>
      </c>
      <c r="AQ2" s="13">
        <v>46300</v>
      </c>
      <c r="AR2">
        <v>25</v>
      </c>
      <c r="AS2" s="34">
        <v>6000000</v>
      </c>
      <c r="AT2">
        <v>100</v>
      </c>
      <c r="AU2">
        <v>6000000</v>
      </c>
      <c r="AV2">
        <v>1</v>
      </c>
      <c r="AW2" s="13">
        <v>45570</v>
      </c>
      <c r="AX2" t="s">
        <v>52</v>
      </c>
      <c r="AY2" t="s">
        <v>65</v>
      </c>
      <c r="AZ2" t="s">
        <v>65</v>
      </c>
      <c r="BA2">
        <v>5</v>
      </c>
      <c r="BB2" s="14">
        <v>24.26</v>
      </c>
      <c r="BC2">
        <v>240000</v>
      </c>
      <c r="BD2">
        <v>0</v>
      </c>
      <c r="BE2">
        <v>0</v>
      </c>
      <c r="BF2">
        <v>5000000</v>
      </c>
      <c r="BG2" s="13"/>
    </row>
    <row r="3" spans="1:65" x14ac:dyDescent="0.25">
      <c r="A3">
        <v>2</v>
      </c>
      <c r="B3">
        <v>732</v>
      </c>
      <c r="C3">
        <v>1</v>
      </c>
      <c r="D3">
        <v>1</v>
      </c>
      <c r="E3">
        <v>1</v>
      </c>
      <c r="F3" s="29">
        <v>34692942</v>
      </c>
      <c r="G3" s="30">
        <v>34692942</v>
      </c>
      <c r="H3" s="13">
        <v>45548</v>
      </c>
      <c r="I3" s="13">
        <v>45548</v>
      </c>
      <c r="J3">
        <v>41</v>
      </c>
      <c r="K3">
        <v>41</v>
      </c>
      <c r="L3">
        <v>101030</v>
      </c>
      <c r="M3">
        <v>1</v>
      </c>
      <c r="O3" t="b">
        <v>1</v>
      </c>
      <c r="Q3">
        <v>1</v>
      </c>
      <c r="R3">
        <v>94</v>
      </c>
      <c r="S3">
        <v>160001</v>
      </c>
      <c r="T3">
        <v>2</v>
      </c>
      <c r="U3" s="27">
        <v>1048268326</v>
      </c>
      <c r="V3"/>
      <c r="W3" s="27" t="s">
        <v>1629</v>
      </c>
      <c r="X3" s="27" t="s">
        <v>1630</v>
      </c>
      <c r="Y3" s="27" t="s">
        <v>1631</v>
      </c>
      <c r="Z3" s="27" t="s">
        <v>1622</v>
      </c>
      <c r="AB3" t="s">
        <v>1632</v>
      </c>
      <c r="AC3" s="27">
        <v>8433</v>
      </c>
      <c r="AE3" s="27">
        <v>0</v>
      </c>
      <c r="AF3" s="31">
        <v>76500000</v>
      </c>
      <c r="AG3" s="32">
        <v>45544</v>
      </c>
      <c r="AH3" s="13">
        <v>45368</v>
      </c>
      <c r="AI3" s="13">
        <v>45908</v>
      </c>
      <c r="AJ3">
        <v>1</v>
      </c>
      <c r="AK3" s="27">
        <v>8433</v>
      </c>
      <c r="AL3" t="s">
        <v>1632</v>
      </c>
      <c r="AM3">
        <v>165000</v>
      </c>
      <c r="AN3">
        <v>1</v>
      </c>
      <c r="AO3" s="33">
        <v>6000000</v>
      </c>
      <c r="AP3" s="34">
        <v>6000000</v>
      </c>
      <c r="AQ3" s="13">
        <v>46300</v>
      </c>
      <c r="AR3">
        <v>25</v>
      </c>
      <c r="AS3" s="34">
        <v>6000000</v>
      </c>
      <c r="AT3">
        <v>100</v>
      </c>
      <c r="AU3">
        <v>6000000</v>
      </c>
      <c r="AV3">
        <v>2</v>
      </c>
      <c r="AW3" s="13">
        <v>46300</v>
      </c>
      <c r="AX3" t="s">
        <v>52</v>
      </c>
      <c r="AY3" t="s">
        <v>1620</v>
      </c>
      <c r="AZ3" t="s">
        <v>1620</v>
      </c>
      <c r="BA3">
        <v>5</v>
      </c>
      <c r="BB3" s="14">
        <v>24.26</v>
      </c>
      <c r="BC3">
        <v>240000</v>
      </c>
      <c r="BD3">
        <v>0</v>
      </c>
      <c r="BE3">
        <v>0</v>
      </c>
      <c r="BF3">
        <v>5000000</v>
      </c>
      <c r="BG3" s="13"/>
    </row>
    <row r="4" spans="1:65" x14ac:dyDescent="0.25">
      <c r="A4" s="6">
        <v>2</v>
      </c>
      <c r="B4" s="6">
        <v>732</v>
      </c>
      <c r="C4" s="6">
        <v>1</v>
      </c>
      <c r="D4" s="6">
        <v>1</v>
      </c>
      <c r="E4" s="6">
        <v>1</v>
      </c>
      <c r="F4" s="21">
        <v>34713866</v>
      </c>
      <c r="G4" s="10">
        <v>34713866</v>
      </c>
      <c r="H4" s="7">
        <v>45548</v>
      </c>
      <c r="I4" s="13">
        <v>45548</v>
      </c>
      <c r="J4" s="6">
        <v>41</v>
      </c>
      <c r="K4" s="6">
        <v>41</v>
      </c>
      <c r="L4" s="6">
        <v>101030</v>
      </c>
      <c r="M4" s="6">
        <v>1</v>
      </c>
      <c r="N4" s="6"/>
      <c r="O4" s="6" t="b">
        <v>1</v>
      </c>
      <c r="P4" s="6"/>
      <c r="Q4" s="6">
        <v>1</v>
      </c>
      <c r="R4" s="6">
        <v>94</v>
      </c>
      <c r="S4" s="6">
        <v>160001</v>
      </c>
      <c r="T4" s="6">
        <v>2</v>
      </c>
      <c r="U4" s="16">
        <v>1073816774</v>
      </c>
      <c r="V4" s="6"/>
      <c r="W4" s="16" t="s">
        <v>1655</v>
      </c>
      <c r="X4" s="16" t="s">
        <v>1656</v>
      </c>
      <c r="Y4" s="16" t="s">
        <v>1649</v>
      </c>
      <c r="Z4" s="16" t="s">
        <v>1657</v>
      </c>
      <c r="AA4" s="6"/>
      <c r="AB4" s="6" t="s">
        <v>1658</v>
      </c>
      <c r="AC4" s="16">
        <v>23162</v>
      </c>
      <c r="AD4" s="6"/>
      <c r="AE4" s="16">
        <v>0</v>
      </c>
      <c r="AF4" s="22">
        <v>9600000</v>
      </c>
      <c r="AG4" s="18">
        <v>45546</v>
      </c>
      <c r="AH4" s="7">
        <v>45368</v>
      </c>
      <c r="AI4" s="7">
        <v>45908</v>
      </c>
      <c r="AJ4" s="6">
        <v>1</v>
      </c>
      <c r="AK4" s="16">
        <v>23162</v>
      </c>
      <c r="AL4" s="6" t="s">
        <v>1658</v>
      </c>
      <c r="AM4" s="6">
        <v>165000</v>
      </c>
      <c r="AN4" s="6">
        <v>1</v>
      </c>
      <c r="AO4" s="23">
        <v>4000000</v>
      </c>
      <c r="AP4" s="17">
        <v>4000000</v>
      </c>
      <c r="AQ4" s="7">
        <v>46058</v>
      </c>
      <c r="AR4">
        <v>17</v>
      </c>
      <c r="AS4" s="17">
        <v>4000000</v>
      </c>
      <c r="AT4" s="6">
        <v>100</v>
      </c>
      <c r="AU4" s="6">
        <v>4000000</v>
      </c>
      <c r="AV4" s="6">
        <v>1</v>
      </c>
      <c r="AW4" s="7">
        <v>45570</v>
      </c>
      <c r="AX4" s="6" t="s">
        <v>52</v>
      </c>
      <c r="AY4" s="6" t="s">
        <v>65</v>
      </c>
      <c r="AZ4" s="6" t="s">
        <v>65</v>
      </c>
      <c r="BA4" s="6">
        <v>5</v>
      </c>
      <c r="BB4" s="24">
        <v>24.26</v>
      </c>
      <c r="BC4">
        <v>235296</v>
      </c>
      <c r="BD4" s="6">
        <v>0</v>
      </c>
      <c r="BE4" s="6">
        <v>0</v>
      </c>
      <c r="BF4" s="6">
        <v>9000000</v>
      </c>
      <c r="BH4" s="6"/>
      <c r="BI4" s="6"/>
      <c r="BJ4" s="6"/>
      <c r="BK4" s="6"/>
      <c r="BL4" s="6"/>
      <c r="BM4" s="6"/>
    </row>
    <row r="5" spans="1:65" x14ac:dyDescent="0.25">
      <c r="A5" s="6">
        <v>2</v>
      </c>
      <c r="B5" s="6">
        <v>732</v>
      </c>
      <c r="C5" s="6">
        <v>1</v>
      </c>
      <c r="D5" s="6">
        <v>1</v>
      </c>
      <c r="E5" s="6">
        <v>1</v>
      </c>
      <c r="F5" s="21">
        <v>34713866</v>
      </c>
      <c r="G5" s="10">
        <v>34713866</v>
      </c>
      <c r="H5" s="7">
        <v>45548</v>
      </c>
      <c r="I5" s="13">
        <v>45548</v>
      </c>
      <c r="J5" s="6">
        <v>41</v>
      </c>
      <c r="K5" s="6">
        <v>41</v>
      </c>
      <c r="L5" s="6">
        <v>101030</v>
      </c>
      <c r="M5" s="6">
        <v>1</v>
      </c>
      <c r="N5" s="6"/>
      <c r="O5" s="6" t="b">
        <v>1</v>
      </c>
      <c r="P5" s="6"/>
      <c r="Q5" s="6">
        <v>1</v>
      </c>
      <c r="R5" s="6">
        <v>94</v>
      </c>
      <c r="S5" s="6">
        <v>160001</v>
      </c>
      <c r="T5" s="6">
        <v>2</v>
      </c>
      <c r="U5" s="16">
        <v>1073816774</v>
      </c>
      <c r="V5" s="6"/>
      <c r="W5" s="16" t="s">
        <v>1655</v>
      </c>
      <c r="X5" s="16" t="s">
        <v>1656</v>
      </c>
      <c r="Y5" s="16" t="s">
        <v>1649</v>
      </c>
      <c r="Z5" s="16" t="s">
        <v>1657</v>
      </c>
      <c r="AA5" s="6"/>
      <c r="AB5" s="6" t="s">
        <v>1658</v>
      </c>
      <c r="AC5" s="16">
        <v>23162</v>
      </c>
      <c r="AD5" s="6"/>
      <c r="AE5" s="16">
        <v>0</v>
      </c>
      <c r="AF5" s="22">
        <v>9600000</v>
      </c>
      <c r="AG5" s="18">
        <v>45546</v>
      </c>
      <c r="AH5" s="7">
        <v>45368</v>
      </c>
      <c r="AI5" s="7">
        <v>45908</v>
      </c>
      <c r="AJ5" s="6">
        <v>1</v>
      </c>
      <c r="AK5" s="16">
        <v>23162</v>
      </c>
      <c r="AL5" s="6" t="s">
        <v>1658</v>
      </c>
      <c r="AM5" s="6">
        <v>165000</v>
      </c>
      <c r="AN5" s="6">
        <v>1</v>
      </c>
      <c r="AO5" s="23">
        <v>4000000</v>
      </c>
      <c r="AP5" s="17">
        <v>4000000</v>
      </c>
      <c r="AQ5" s="7">
        <v>46058</v>
      </c>
      <c r="AR5">
        <v>17</v>
      </c>
      <c r="AS5" s="17">
        <v>4000000</v>
      </c>
      <c r="AT5" s="6">
        <v>100</v>
      </c>
      <c r="AU5" s="6">
        <v>4000000</v>
      </c>
      <c r="AV5" s="6">
        <v>2</v>
      </c>
      <c r="AW5" s="7">
        <v>46058</v>
      </c>
      <c r="AX5" s="6" t="s">
        <v>52</v>
      </c>
      <c r="AY5" s="6" t="s">
        <v>1620</v>
      </c>
      <c r="AZ5" s="6" t="s">
        <v>1620</v>
      </c>
      <c r="BA5" s="6">
        <v>5</v>
      </c>
      <c r="BB5" s="24">
        <v>24.26</v>
      </c>
      <c r="BC5">
        <v>235294</v>
      </c>
      <c r="BD5" s="6">
        <v>0</v>
      </c>
      <c r="BE5" s="6">
        <v>0</v>
      </c>
      <c r="BF5" s="6">
        <v>9000000</v>
      </c>
      <c r="BH5" s="6"/>
      <c r="BI5" s="6"/>
      <c r="BJ5" s="6"/>
      <c r="BK5" s="6"/>
      <c r="BL5" s="6"/>
      <c r="BM5" s="6"/>
    </row>
    <row r="6" spans="1:65" x14ac:dyDescent="0.25">
      <c r="A6">
        <v>2</v>
      </c>
      <c r="B6">
        <v>732</v>
      </c>
      <c r="C6">
        <v>1</v>
      </c>
      <c r="D6">
        <v>1</v>
      </c>
      <c r="E6">
        <v>1</v>
      </c>
      <c r="F6" s="29">
        <v>34716513</v>
      </c>
      <c r="G6" s="30">
        <v>34716513</v>
      </c>
      <c r="H6" s="13">
        <v>45548</v>
      </c>
      <c r="I6" s="13">
        <v>45548</v>
      </c>
      <c r="J6">
        <v>41</v>
      </c>
      <c r="K6">
        <v>41</v>
      </c>
      <c r="L6">
        <v>101030</v>
      </c>
      <c r="M6">
        <v>1</v>
      </c>
      <c r="O6" t="b">
        <v>1</v>
      </c>
      <c r="Q6">
        <v>1</v>
      </c>
      <c r="R6">
        <v>94</v>
      </c>
      <c r="S6">
        <v>160001</v>
      </c>
      <c r="T6">
        <v>2</v>
      </c>
      <c r="U6" s="27">
        <v>11386799</v>
      </c>
      <c r="V6"/>
      <c r="W6" s="27" t="s">
        <v>1638</v>
      </c>
      <c r="X6" s="27" t="s">
        <v>1639</v>
      </c>
      <c r="Y6" s="27" t="s">
        <v>1640</v>
      </c>
      <c r="Z6" s="27" t="s">
        <v>1641</v>
      </c>
      <c r="AB6" t="s">
        <v>1642</v>
      </c>
      <c r="AC6" s="27">
        <v>25386</v>
      </c>
      <c r="AE6" s="27">
        <v>0</v>
      </c>
      <c r="AF6" s="31">
        <v>82400000</v>
      </c>
      <c r="AG6" s="32">
        <v>45546</v>
      </c>
      <c r="AH6" s="13">
        <v>45368</v>
      </c>
      <c r="AI6" s="13">
        <v>45908</v>
      </c>
      <c r="AJ6">
        <v>1</v>
      </c>
      <c r="AK6" s="27">
        <v>25386</v>
      </c>
      <c r="AL6" t="s">
        <v>1642</v>
      </c>
      <c r="AM6">
        <v>165000</v>
      </c>
      <c r="AN6">
        <v>1</v>
      </c>
      <c r="AO6" s="33">
        <v>5000000</v>
      </c>
      <c r="AP6" s="34">
        <v>5000000</v>
      </c>
      <c r="AQ6" s="13">
        <v>46305</v>
      </c>
      <c r="AR6">
        <v>25</v>
      </c>
      <c r="AS6" s="34">
        <v>5000000</v>
      </c>
      <c r="AT6">
        <v>100</v>
      </c>
      <c r="AU6">
        <v>5000000</v>
      </c>
      <c r="AV6">
        <v>1</v>
      </c>
      <c r="AW6" s="13">
        <v>45575</v>
      </c>
      <c r="AX6" t="s">
        <v>52</v>
      </c>
      <c r="AY6" t="s">
        <v>65</v>
      </c>
      <c r="AZ6" t="s">
        <v>65</v>
      </c>
      <c r="BA6">
        <v>5</v>
      </c>
      <c r="BB6" s="14">
        <v>27.16</v>
      </c>
      <c r="BC6">
        <v>200000</v>
      </c>
      <c r="BD6">
        <v>0</v>
      </c>
      <c r="BE6">
        <v>0</v>
      </c>
      <c r="BF6">
        <v>15000000</v>
      </c>
    </row>
    <row r="7" spans="1:65" x14ac:dyDescent="0.25">
      <c r="A7">
        <v>2</v>
      </c>
      <c r="B7">
        <v>732</v>
      </c>
      <c r="C7">
        <v>1</v>
      </c>
      <c r="D7">
        <v>1</v>
      </c>
      <c r="E7">
        <v>1</v>
      </c>
      <c r="F7" s="29">
        <v>34716513</v>
      </c>
      <c r="G7" s="30">
        <v>34716513</v>
      </c>
      <c r="H7" s="13">
        <v>45548</v>
      </c>
      <c r="I7" s="13">
        <v>45548</v>
      </c>
      <c r="J7">
        <v>41</v>
      </c>
      <c r="K7">
        <v>41</v>
      </c>
      <c r="L7">
        <v>101030</v>
      </c>
      <c r="M7">
        <v>1</v>
      </c>
      <c r="O7" t="b">
        <v>1</v>
      </c>
      <c r="Q7">
        <v>1</v>
      </c>
      <c r="R7">
        <v>94</v>
      </c>
      <c r="S7">
        <v>160001</v>
      </c>
      <c r="T7">
        <v>2</v>
      </c>
      <c r="U7" s="27">
        <v>11386799</v>
      </c>
      <c r="V7"/>
      <c r="W7" s="27" t="s">
        <v>1638</v>
      </c>
      <c r="X7" s="27" t="s">
        <v>1639</v>
      </c>
      <c r="Y7" s="27" t="s">
        <v>1640</v>
      </c>
      <c r="Z7" s="27" t="s">
        <v>1641</v>
      </c>
      <c r="AB7" t="s">
        <v>1642</v>
      </c>
      <c r="AC7" s="27">
        <v>25386</v>
      </c>
      <c r="AE7" s="27">
        <v>0</v>
      </c>
      <c r="AF7" s="31">
        <v>82400000</v>
      </c>
      <c r="AG7" s="32">
        <v>45546</v>
      </c>
      <c r="AH7" s="13">
        <v>45368</v>
      </c>
      <c r="AI7" s="13">
        <v>45908</v>
      </c>
      <c r="AJ7">
        <v>1</v>
      </c>
      <c r="AK7" s="27">
        <v>25386</v>
      </c>
      <c r="AL7" t="s">
        <v>1642</v>
      </c>
      <c r="AM7">
        <v>165000</v>
      </c>
      <c r="AN7">
        <v>1</v>
      </c>
      <c r="AO7" s="33">
        <v>5000000</v>
      </c>
      <c r="AP7" s="34">
        <v>5000000</v>
      </c>
      <c r="AQ7" s="13">
        <v>46305</v>
      </c>
      <c r="AR7">
        <v>25</v>
      </c>
      <c r="AS7" s="34">
        <v>5000000</v>
      </c>
      <c r="AT7">
        <v>100</v>
      </c>
      <c r="AU7">
        <v>5000000</v>
      </c>
      <c r="AV7">
        <v>2</v>
      </c>
      <c r="AW7" s="13">
        <v>46305</v>
      </c>
      <c r="AX7" t="s">
        <v>52</v>
      </c>
      <c r="AY7" t="s">
        <v>1620</v>
      </c>
      <c r="AZ7" t="s">
        <v>1620</v>
      </c>
      <c r="BA7">
        <v>5</v>
      </c>
      <c r="BB7" s="14">
        <v>27.16</v>
      </c>
      <c r="BC7">
        <v>200000</v>
      </c>
      <c r="BD7">
        <v>0</v>
      </c>
      <c r="BE7">
        <v>0</v>
      </c>
      <c r="BF7">
        <v>15000000</v>
      </c>
      <c r="BG7" s="13"/>
    </row>
    <row r="8" spans="1:65" x14ac:dyDescent="0.25">
      <c r="A8">
        <v>2</v>
      </c>
      <c r="B8">
        <v>732</v>
      </c>
      <c r="C8">
        <v>1</v>
      </c>
      <c r="D8">
        <v>1</v>
      </c>
      <c r="E8">
        <v>1</v>
      </c>
      <c r="F8" s="29">
        <v>34722600</v>
      </c>
      <c r="G8" s="30">
        <v>34722600</v>
      </c>
      <c r="H8" s="13">
        <v>45548</v>
      </c>
      <c r="I8" s="13">
        <v>45548</v>
      </c>
      <c r="J8">
        <v>41</v>
      </c>
      <c r="K8">
        <v>41</v>
      </c>
      <c r="L8">
        <v>101030</v>
      </c>
      <c r="M8">
        <v>1</v>
      </c>
      <c r="O8" t="b">
        <v>1</v>
      </c>
      <c r="Q8">
        <v>1</v>
      </c>
      <c r="R8">
        <v>94</v>
      </c>
      <c r="S8">
        <v>160001</v>
      </c>
      <c r="T8">
        <v>2</v>
      </c>
      <c r="U8" s="27">
        <v>1006434003</v>
      </c>
      <c r="V8"/>
      <c r="W8" s="27" t="s">
        <v>1624</v>
      </c>
      <c r="X8" s="27" t="s">
        <v>1625</v>
      </c>
      <c r="Y8" s="27" t="s">
        <v>1626</v>
      </c>
      <c r="Z8" s="27" t="s">
        <v>1627</v>
      </c>
      <c r="AB8" t="s">
        <v>1628</v>
      </c>
      <c r="AC8" s="27">
        <v>76113</v>
      </c>
      <c r="AE8" s="27">
        <v>0</v>
      </c>
      <c r="AF8" s="31">
        <v>10000000</v>
      </c>
      <c r="AG8" s="32">
        <v>45544</v>
      </c>
      <c r="AH8" s="13">
        <v>45368</v>
      </c>
      <c r="AI8" s="13">
        <v>45908</v>
      </c>
      <c r="AJ8">
        <v>1</v>
      </c>
      <c r="AK8" s="27">
        <v>76113</v>
      </c>
      <c r="AL8" t="s">
        <v>1628</v>
      </c>
      <c r="AM8">
        <v>165000</v>
      </c>
      <c r="AN8">
        <v>1</v>
      </c>
      <c r="AO8" s="33">
        <v>8000000</v>
      </c>
      <c r="AP8" s="34">
        <v>8000000</v>
      </c>
      <c r="AQ8" s="13">
        <v>46479</v>
      </c>
      <c r="AR8">
        <v>31</v>
      </c>
      <c r="AS8" s="34">
        <v>8000000</v>
      </c>
      <c r="AT8">
        <v>100</v>
      </c>
      <c r="AU8">
        <v>8000000</v>
      </c>
      <c r="AV8">
        <v>1</v>
      </c>
      <c r="AW8" s="13">
        <v>45567</v>
      </c>
      <c r="AX8" t="s">
        <v>52</v>
      </c>
      <c r="AY8" t="s">
        <v>65</v>
      </c>
      <c r="AZ8" t="s">
        <v>65</v>
      </c>
      <c r="BA8">
        <v>5</v>
      </c>
      <c r="BB8" s="14">
        <v>22.03</v>
      </c>
      <c r="BC8">
        <v>258050</v>
      </c>
      <c r="BD8">
        <v>0</v>
      </c>
      <c r="BE8">
        <v>0</v>
      </c>
      <c r="BF8">
        <v>4500000</v>
      </c>
      <c r="BG8" s="13"/>
    </row>
    <row r="9" spans="1:65" x14ac:dyDescent="0.25">
      <c r="A9">
        <v>2</v>
      </c>
      <c r="B9">
        <v>732</v>
      </c>
      <c r="C9">
        <v>1</v>
      </c>
      <c r="D9">
        <v>1</v>
      </c>
      <c r="E9">
        <v>1</v>
      </c>
      <c r="F9" s="29">
        <v>34722600</v>
      </c>
      <c r="G9" s="30">
        <v>34722600</v>
      </c>
      <c r="H9" s="13">
        <v>45548</v>
      </c>
      <c r="I9" s="13">
        <v>45548</v>
      </c>
      <c r="J9">
        <v>41</v>
      </c>
      <c r="K9">
        <v>41</v>
      </c>
      <c r="L9">
        <v>101030</v>
      </c>
      <c r="M9">
        <v>1</v>
      </c>
      <c r="O9" t="b">
        <v>1</v>
      </c>
      <c r="Q9">
        <v>1</v>
      </c>
      <c r="R9">
        <v>94</v>
      </c>
      <c r="S9">
        <v>160001</v>
      </c>
      <c r="T9">
        <v>2</v>
      </c>
      <c r="U9" s="27">
        <v>1006434003</v>
      </c>
      <c r="V9"/>
      <c r="W9" s="27" t="s">
        <v>1624</v>
      </c>
      <c r="X9" s="27" t="s">
        <v>1625</v>
      </c>
      <c r="Y9" s="27" t="s">
        <v>1626</v>
      </c>
      <c r="Z9" s="27" t="s">
        <v>1627</v>
      </c>
      <c r="AB9" t="s">
        <v>1628</v>
      </c>
      <c r="AC9" s="27">
        <v>76113</v>
      </c>
      <c r="AE9" s="27">
        <v>0</v>
      </c>
      <c r="AF9" s="31">
        <v>10000000</v>
      </c>
      <c r="AG9" s="32">
        <v>45544</v>
      </c>
      <c r="AH9" s="13">
        <v>45368</v>
      </c>
      <c r="AI9" s="13">
        <v>45908</v>
      </c>
      <c r="AJ9">
        <v>1</v>
      </c>
      <c r="AK9" s="27">
        <v>76113</v>
      </c>
      <c r="AL9" t="s">
        <v>1628</v>
      </c>
      <c r="AM9">
        <v>165000</v>
      </c>
      <c r="AN9">
        <v>1</v>
      </c>
      <c r="AO9" s="33">
        <v>8000000</v>
      </c>
      <c r="AP9" s="34">
        <v>8000000</v>
      </c>
      <c r="AQ9" s="13">
        <v>46479</v>
      </c>
      <c r="AR9">
        <v>31</v>
      </c>
      <c r="AS9" s="34">
        <v>8000000</v>
      </c>
      <c r="AT9">
        <v>100</v>
      </c>
      <c r="AU9">
        <v>8000000</v>
      </c>
      <c r="AV9">
        <v>2</v>
      </c>
      <c r="AW9" s="13">
        <v>46479</v>
      </c>
      <c r="AX9" t="s">
        <v>52</v>
      </c>
      <c r="AY9" t="s">
        <v>1620</v>
      </c>
      <c r="AZ9" t="s">
        <v>1620</v>
      </c>
      <c r="BA9">
        <v>5</v>
      </c>
      <c r="BB9" s="14">
        <v>22.03</v>
      </c>
      <c r="BC9">
        <v>258065</v>
      </c>
      <c r="BD9">
        <v>0</v>
      </c>
      <c r="BE9">
        <v>0</v>
      </c>
      <c r="BF9">
        <v>4500000</v>
      </c>
      <c r="BH9" s="6"/>
      <c r="BI9" s="6"/>
      <c r="BJ9" s="6"/>
      <c r="BK9" s="6"/>
      <c r="BL9" s="6"/>
      <c r="BM9" s="6"/>
    </row>
    <row r="10" spans="1:65" x14ac:dyDescent="0.25">
      <c r="A10">
        <v>2</v>
      </c>
      <c r="B10">
        <v>732</v>
      </c>
      <c r="C10">
        <v>1</v>
      </c>
      <c r="D10">
        <v>1</v>
      </c>
      <c r="E10">
        <v>1</v>
      </c>
      <c r="F10">
        <v>34722748</v>
      </c>
      <c r="G10">
        <v>34722748</v>
      </c>
      <c r="H10" s="13">
        <v>45548</v>
      </c>
      <c r="I10" s="13">
        <v>45548</v>
      </c>
      <c r="J10">
        <v>41</v>
      </c>
      <c r="K10">
        <v>41</v>
      </c>
      <c r="L10">
        <v>101030</v>
      </c>
      <c r="M10">
        <v>1</v>
      </c>
      <c r="O10" t="b">
        <v>1</v>
      </c>
      <c r="Q10">
        <v>1</v>
      </c>
      <c r="R10">
        <v>94</v>
      </c>
      <c r="S10">
        <v>160001</v>
      </c>
      <c r="T10">
        <v>2</v>
      </c>
      <c r="U10" s="27">
        <v>24717216</v>
      </c>
      <c r="W10" s="27" t="s">
        <v>1652</v>
      </c>
      <c r="X10" s="27" t="s">
        <v>1621</v>
      </c>
      <c r="Y10" s="27" t="s">
        <v>1653</v>
      </c>
      <c r="Z10" s="27" t="s">
        <v>1623</v>
      </c>
      <c r="AB10" t="s">
        <v>1654</v>
      </c>
      <c r="AC10" s="27">
        <v>17380</v>
      </c>
      <c r="AE10" s="27">
        <v>0</v>
      </c>
      <c r="AF10" s="27">
        <v>15000000</v>
      </c>
      <c r="AG10" s="28">
        <v>45546</v>
      </c>
      <c r="AH10" s="15">
        <v>45368</v>
      </c>
      <c r="AI10" s="15">
        <v>45908</v>
      </c>
      <c r="AJ10">
        <v>1</v>
      </c>
      <c r="AK10" s="27">
        <v>17380</v>
      </c>
      <c r="AL10" t="s">
        <v>1654</v>
      </c>
      <c r="AM10">
        <v>165000</v>
      </c>
      <c r="AN10">
        <v>1</v>
      </c>
      <c r="AO10" s="27">
        <v>4800000</v>
      </c>
      <c r="AP10" s="27">
        <v>4800000</v>
      </c>
      <c r="AQ10" s="15">
        <v>45749</v>
      </c>
      <c r="AR10">
        <v>7</v>
      </c>
      <c r="AS10" s="27">
        <v>4800000</v>
      </c>
      <c r="AT10">
        <v>100</v>
      </c>
      <c r="AU10">
        <v>4800000</v>
      </c>
      <c r="AV10" s="6">
        <v>1</v>
      </c>
      <c r="AW10" s="13">
        <v>45567</v>
      </c>
      <c r="AX10" t="s">
        <v>52</v>
      </c>
      <c r="AY10" t="s">
        <v>65</v>
      </c>
      <c r="AZ10" t="s">
        <v>65</v>
      </c>
      <c r="BA10">
        <v>5</v>
      </c>
      <c r="BB10">
        <v>24.26</v>
      </c>
      <c r="BC10">
        <v>685716</v>
      </c>
      <c r="BD10">
        <v>0</v>
      </c>
      <c r="BE10">
        <v>0</v>
      </c>
      <c r="BF10">
        <v>14000000</v>
      </c>
    </row>
    <row r="11" spans="1:65" x14ac:dyDescent="0.25">
      <c r="A11">
        <v>2</v>
      </c>
      <c r="B11">
        <v>732</v>
      </c>
      <c r="C11">
        <v>1</v>
      </c>
      <c r="D11">
        <v>1</v>
      </c>
      <c r="E11">
        <v>1</v>
      </c>
      <c r="F11">
        <v>34722748</v>
      </c>
      <c r="G11">
        <v>34722748</v>
      </c>
      <c r="H11" s="13">
        <v>45548</v>
      </c>
      <c r="I11" s="13">
        <v>45548</v>
      </c>
      <c r="J11">
        <v>41</v>
      </c>
      <c r="K11">
        <v>41</v>
      </c>
      <c r="L11">
        <v>101030</v>
      </c>
      <c r="M11">
        <v>1</v>
      </c>
      <c r="O11" t="b">
        <v>1</v>
      </c>
      <c r="Q11">
        <v>1</v>
      </c>
      <c r="R11">
        <v>94</v>
      </c>
      <c r="S11">
        <v>160001</v>
      </c>
      <c r="T11">
        <v>2</v>
      </c>
      <c r="U11" s="27">
        <v>24717216</v>
      </c>
      <c r="W11" s="27" t="s">
        <v>1652</v>
      </c>
      <c r="X11" s="27" t="s">
        <v>1621</v>
      </c>
      <c r="Y11" s="27" t="s">
        <v>1653</v>
      </c>
      <c r="Z11" s="27" t="s">
        <v>1623</v>
      </c>
      <c r="AB11" t="s">
        <v>1654</v>
      </c>
      <c r="AC11" s="27">
        <v>17380</v>
      </c>
      <c r="AE11" s="27">
        <v>0</v>
      </c>
      <c r="AF11" s="27">
        <v>15000000</v>
      </c>
      <c r="AG11" s="28">
        <v>45546</v>
      </c>
      <c r="AH11" s="15">
        <v>45368</v>
      </c>
      <c r="AI11" s="15">
        <v>45908</v>
      </c>
      <c r="AJ11">
        <v>1</v>
      </c>
      <c r="AK11" s="27">
        <v>17380</v>
      </c>
      <c r="AL11" t="s">
        <v>1654</v>
      </c>
      <c r="AM11">
        <v>165000</v>
      </c>
      <c r="AN11">
        <v>1</v>
      </c>
      <c r="AO11" s="27">
        <v>4800000</v>
      </c>
      <c r="AP11" s="27">
        <v>4800000</v>
      </c>
      <c r="AQ11" s="15">
        <v>45749</v>
      </c>
      <c r="AR11">
        <v>7</v>
      </c>
      <c r="AS11" s="27">
        <v>4800000</v>
      </c>
      <c r="AT11">
        <v>100</v>
      </c>
      <c r="AU11">
        <v>4800000</v>
      </c>
      <c r="AV11" s="6">
        <v>2</v>
      </c>
      <c r="AW11" s="13">
        <v>45749</v>
      </c>
      <c r="AX11" t="s">
        <v>52</v>
      </c>
      <c r="AY11" t="s">
        <v>1620</v>
      </c>
      <c r="AZ11" t="s">
        <v>1620</v>
      </c>
      <c r="BA11">
        <v>5</v>
      </c>
      <c r="BB11">
        <v>24.26</v>
      </c>
      <c r="BC11">
        <v>685714</v>
      </c>
      <c r="BD11">
        <v>0</v>
      </c>
      <c r="BE11">
        <v>0</v>
      </c>
      <c r="BF11">
        <v>14000000</v>
      </c>
    </row>
    <row r="12" spans="1:65" s="6" customFormat="1" x14ac:dyDescent="0.25">
      <c r="A12" s="6">
        <v>2</v>
      </c>
      <c r="B12" s="6">
        <v>732</v>
      </c>
      <c r="C12" s="6">
        <v>1</v>
      </c>
      <c r="D12" s="6">
        <v>1</v>
      </c>
      <c r="E12" s="6">
        <v>1</v>
      </c>
      <c r="F12" s="21">
        <v>34723343</v>
      </c>
      <c r="G12" s="10">
        <v>34723343</v>
      </c>
      <c r="H12" s="7">
        <v>45548</v>
      </c>
      <c r="I12" s="7">
        <v>45548</v>
      </c>
      <c r="J12" s="6">
        <v>41</v>
      </c>
      <c r="K12" s="6">
        <v>41</v>
      </c>
      <c r="L12" s="6">
        <v>101030</v>
      </c>
      <c r="M12" s="6">
        <v>1</v>
      </c>
      <c r="O12" s="6" t="b">
        <v>1</v>
      </c>
      <c r="Q12" s="6">
        <v>1</v>
      </c>
      <c r="R12" s="6">
        <v>94</v>
      </c>
      <c r="S12" s="6">
        <v>160001</v>
      </c>
      <c r="T12" s="6">
        <v>2</v>
      </c>
      <c r="U12" s="16">
        <v>1085915870</v>
      </c>
      <c r="W12" s="16" t="s">
        <v>1633</v>
      </c>
      <c r="X12" s="16" t="s">
        <v>1634</v>
      </c>
      <c r="Y12" s="16" t="s">
        <v>1635</v>
      </c>
      <c r="Z12" s="16" t="s">
        <v>1636</v>
      </c>
      <c r="AB12" s="6" t="s">
        <v>1637</v>
      </c>
      <c r="AC12" s="16">
        <v>52356</v>
      </c>
      <c r="AE12" s="16">
        <v>0</v>
      </c>
      <c r="AF12" s="22">
        <v>17700000</v>
      </c>
      <c r="AG12" s="18">
        <v>45547</v>
      </c>
      <c r="AH12" s="7">
        <v>45368</v>
      </c>
      <c r="AI12" s="7">
        <v>45908</v>
      </c>
      <c r="AJ12" s="6">
        <v>1</v>
      </c>
      <c r="AK12" s="16">
        <v>52356</v>
      </c>
      <c r="AL12" s="6" t="s">
        <v>1637</v>
      </c>
      <c r="AM12" s="6">
        <v>165000</v>
      </c>
      <c r="AN12" s="6">
        <v>1</v>
      </c>
      <c r="AO12" s="23">
        <v>10000000</v>
      </c>
      <c r="AP12" s="17">
        <v>10000000</v>
      </c>
      <c r="AQ12" s="7">
        <v>46300</v>
      </c>
      <c r="AR12">
        <v>25</v>
      </c>
      <c r="AS12" s="17">
        <v>10000000</v>
      </c>
      <c r="AT12" s="6">
        <v>100</v>
      </c>
      <c r="AU12" s="6">
        <v>10000000</v>
      </c>
      <c r="AV12" s="6">
        <v>1</v>
      </c>
      <c r="AW12" s="7">
        <v>45570</v>
      </c>
      <c r="AX12" s="6" t="s">
        <v>52</v>
      </c>
      <c r="AY12" s="6" t="s">
        <v>65</v>
      </c>
      <c r="AZ12" s="6" t="s">
        <v>65</v>
      </c>
      <c r="BA12" s="6">
        <v>5</v>
      </c>
      <c r="BB12" s="24">
        <v>22.03</v>
      </c>
      <c r="BC12">
        <v>400000</v>
      </c>
      <c r="BD12" s="6">
        <v>0</v>
      </c>
      <c r="BE12" s="6">
        <v>0</v>
      </c>
      <c r="BF12" s="6">
        <v>19000000</v>
      </c>
      <c r="BG12" s="13"/>
      <c r="BH12"/>
      <c r="BI12"/>
      <c r="BJ12"/>
      <c r="BK12"/>
      <c r="BL12"/>
      <c r="BM12"/>
    </row>
    <row r="13" spans="1:65" s="6" customFormat="1" x14ac:dyDescent="0.25">
      <c r="A13">
        <v>2</v>
      </c>
      <c r="B13">
        <v>732</v>
      </c>
      <c r="C13">
        <v>1</v>
      </c>
      <c r="D13">
        <v>1</v>
      </c>
      <c r="E13">
        <v>1</v>
      </c>
      <c r="F13" s="29">
        <v>34723343</v>
      </c>
      <c r="G13" s="30">
        <v>34723343</v>
      </c>
      <c r="H13" s="13">
        <v>45548</v>
      </c>
      <c r="I13" s="13">
        <v>45548</v>
      </c>
      <c r="J13">
        <v>41</v>
      </c>
      <c r="K13">
        <v>41</v>
      </c>
      <c r="L13">
        <v>101030</v>
      </c>
      <c r="M13">
        <v>1</v>
      </c>
      <c r="N13"/>
      <c r="O13" t="b">
        <v>1</v>
      </c>
      <c r="P13"/>
      <c r="Q13">
        <v>1</v>
      </c>
      <c r="R13">
        <v>94</v>
      </c>
      <c r="S13">
        <v>160001</v>
      </c>
      <c r="T13">
        <v>2</v>
      </c>
      <c r="U13" s="27">
        <v>1085915870</v>
      </c>
      <c r="V13"/>
      <c r="W13" s="27" t="s">
        <v>1633</v>
      </c>
      <c r="X13" s="27" t="s">
        <v>1634</v>
      </c>
      <c r="Y13" s="27" t="s">
        <v>1635</v>
      </c>
      <c r="Z13" s="27" t="s">
        <v>1636</v>
      </c>
      <c r="AA13"/>
      <c r="AB13" t="s">
        <v>1637</v>
      </c>
      <c r="AC13" s="27">
        <v>52356</v>
      </c>
      <c r="AD13"/>
      <c r="AE13" s="27">
        <v>0</v>
      </c>
      <c r="AF13" s="31">
        <v>17700000</v>
      </c>
      <c r="AG13" s="32">
        <v>45547</v>
      </c>
      <c r="AH13" s="13">
        <v>45368</v>
      </c>
      <c r="AI13" s="13">
        <v>45908</v>
      </c>
      <c r="AJ13">
        <v>1</v>
      </c>
      <c r="AK13" s="27">
        <v>52356</v>
      </c>
      <c r="AL13" t="s">
        <v>1637</v>
      </c>
      <c r="AM13">
        <v>165000</v>
      </c>
      <c r="AN13">
        <v>1</v>
      </c>
      <c r="AO13" s="33">
        <v>10000000</v>
      </c>
      <c r="AP13" s="34">
        <v>10000000</v>
      </c>
      <c r="AQ13" s="13">
        <v>46300</v>
      </c>
      <c r="AR13">
        <v>25</v>
      </c>
      <c r="AS13" s="34">
        <v>10000000</v>
      </c>
      <c r="AT13">
        <v>100</v>
      </c>
      <c r="AU13">
        <v>10000000</v>
      </c>
      <c r="AV13">
        <v>2</v>
      </c>
      <c r="AW13" s="13">
        <v>46300</v>
      </c>
      <c r="AX13" t="s">
        <v>52</v>
      </c>
      <c r="AY13" t="s">
        <v>1620</v>
      </c>
      <c r="AZ13" t="s">
        <v>1620</v>
      </c>
      <c r="BA13">
        <v>5</v>
      </c>
      <c r="BB13" s="14">
        <v>22.03</v>
      </c>
      <c r="BC13">
        <v>400000</v>
      </c>
      <c r="BD13">
        <v>0</v>
      </c>
      <c r="BE13">
        <v>0</v>
      </c>
      <c r="BF13">
        <v>19000000</v>
      </c>
      <c r="BG13" s="13"/>
      <c r="BH13"/>
      <c r="BI13"/>
      <c r="BJ13"/>
      <c r="BK13"/>
      <c r="BL13"/>
      <c r="BM13"/>
    </row>
    <row r="14" spans="1:65" s="6" customFormat="1" x14ac:dyDescent="0.25">
      <c r="A14">
        <v>2</v>
      </c>
      <c r="B14">
        <v>732</v>
      </c>
      <c r="C14">
        <v>1</v>
      </c>
      <c r="D14">
        <v>1</v>
      </c>
      <c r="E14">
        <v>1</v>
      </c>
      <c r="F14" s="29">
        <v>34724967</v>
      </c>
      <c r="G14" s="30">
        <v>34724967</v>
      </c>
      <c r="H14" s="13">
        <v>45548</v>
      </c>
      <c r="I14" s="13">
        <v>45548</v>
      </c>
      <c r="J14">
        <v>41</v>
      </c>
      <c r="K14">
        <v>41</v>
      </c>
      <c r="L14">
        <v>101030</v>
      </c>
      <c r="M14">
        <v>1</v>
      </c>
      <c r="N14"/>
      <c r="O14" t="b">
        <v>1</v>
      </c>
      <c r="P14"/>
      <c r="Q14">
        <v>1</v>
      </c>
      <c r="R14">
        <v>94</v>
      </c>
      <c r="S14">
        <v>160001</v>
      </c>
      <c r="T14">
        <v>2</v>
      </c>
      <c r="U14" s="27">
        <v>19471369</v>
      </c>
      <c r="V14"/>
      <c r="W14" s="27" t="s">
        <v>1643</v>
      </c>
      <c r="X14" s="27" t="s">
        <v>1644</v>
      </c>
      <c r="Y14" s="27" t="s">
        <v>1645</v>
      </c>
      <c r="Z14" s="27" t="s">
        <v>1646</v>
      </c>
      <c r="AA14"/>
      <c r="AB14" t="s">
        <v>1647</v>
      </c>
      <c r="AC14" s="27">
        <v>73275</v>
      </c>
      <c r="AD14"/>
      <c r="AE14" s="27">
        <v>0</v>
      </c>
      <c r="AF14" s="31">
        <v>8800000</v>
      </c>
      <c r="AG14" s="32">
        <v>45546</v>
      </c>
      <c r="AH14" s="13">
        <v>45368</v>
      </c>
      <c r="AI14" s="13">
        <v>45908</v>
      </c>
      <c r="AJ14">
        <v>1</v>
      </c>
      <c r="AK14" s="27">
        <v>73275</v>
      </c>
      <c r="AL14" t="s">
        <v>1647</v>
      </c>
      <c r="AM14">
        <v>165000</v>
      </c>
      <c r="AN14">
        <v>1</v>
      </c>
      <c r="AO14" s="33">
        <v>2500000</v>
      </c>
      <c r="AP14" s="34">
        <v>2500000</v>
      </c>
      <c r="AQ14" s="13">
        <v>45942</v>
      </c>
      <c r="AR14">
        <v>13</v>
      </c>
      <c r="AS14" s="34">
        <v>2500000</v>
      </c>
      <c r="AT14">
        <v>100</v>
      </c>
      <c r="AU14">
        <v>2500000</v>
      </c>
      <c r="AV14">
        <v>1</v>
      </c>
      <c r="AW14" s="13">
        <v>45577</v>
      </c>
      <c r="AX14" t="s">
        <v>52</v>
      </c>
      <c r="AY14" t="s">
        <v>65</v>
      </c>
      <c r="AZ14" t="s">
        <v>65</v>
      </c>
      <c r="BA14">
        <v>5</v>
      </c>
      <c r="BB14" s="14">
        <v>27.16</v>
      </c>
      <c r="BC14">
        <v>192304</v>
      </c>
      <c r="BD14">
        <v>0</v>
      </c>
      <c r="BE14">
        <v>0</v>
      </c>
      <c r="BF14">
        <v>7000000</v>
      </c>
      <c r="BG14" s="13"/>
      <c r="BH14"/>
      <c r="BI14"/>
      <c r="BJ14"/>
      <c r="BK14"/>
      <c r="BL14"/>
      <c r="BM14"/>
    </row>
    <row r="15" spans="1:65" s="6" customFormat="1" x14ac:dyDescent="0.25">
      <c r="A15">
        <v>2</v>
      </c>
      <c r="B15">
        <v>732</v>
      </c>
      <c r="C15">
        <v>1</v>
      </c>
      <c r="D15">
        <v>1</v>
      </c>
      <c r="E15">
        <v>1</v>
      </c>
      <c r="F15">
        <v>34724967</v>
      </c>
      <c r="G15">
        <v>34724967</v>
      </c>
      <c r="H15" s="13">
        <v>45548</v>
      </c>
      <c r="I15" s="13">
        <v>45548</v>
      </c>
      <c r="J15">
        <v>41</v>
      </c>
      <c r="K15">
        <v>41</v>
      </c>
      <c r="L15">
        <v>101030</v>
      </c>
      <c r="M15">
        <v>1</v>
      </c>
      <c r="N15"/>
      <c r="O15" t="b">
        <v>1</v>
      </c>
      <c r="P15"/>
      <c r="Q15">
        <v>1</v>
      </c>
      <c r="R15">
        <v>94</v>
      </c>
      <c r="S15">
        <v>160001</v>
      </c>
      <c r="T15">
        <v>2</v>
      </c>
      <c r="U15" s="27">
        <v>19471369</v>
      </c>
      <c r="V15" s="14"/>
      <c r="W15" s="27" t="s">
        <v>1643</v>
      </c>
      <c r="X15" s="27" t="s">
        <v>1644</v>
      </c>
      <c r="Y15" s="27" t="s">
        <v>1645</v>
      </c>
      <c r="Z15" s="27" t="s">
        <v>1646</v>
      </c>
      <c r="AA15"/>
      <c r="AB15" t="s">
        <v>1647</v>
      </c>
      <c r="AC15" s="27">
        <v>73275</v>
      </c>
      <c r="AD15"/>
      <c r="AE15" s="27">
        <v>0</v>
      </c>
      <c r="AF15" s="27">
        <v>8800000</v>
      </c>
      <c r="AG15" s="28">
        <v>45546</v>
      </c>
      <c r="AH15" s="15">
        <v>45368</v>
      </c>
      <c r="AI15" s="15">
        <v>45908</v>
      </c>
      <c r="AJ15">
        <v>1</v>
      </c>
      <c r="AK15" s="27">
        <v>73275</v>
      </c>
      <c r="AL15" t="s">
        <v>1647</v>
      </c>
      <c r="AM15">
        <v>165000</v>
      </c>
      <c r="AN15">
        <v>1</v>
      </c>
      <c r="AO15" s="27">
        <v>2500000</v>
      </c>
      <c r="AP15" s="27">
        <v>2500000</v>
      </c>
      <c r="AQ15" s="15">
        <v>45942</v>
      </c>
      <c r="AR15">
        <v>13</v>
      </c>
      <c r="AS15" s="27">
        <v>2500000</v>
      </c>
      <c r="AT15">
        <v>100</v>
      </c>
      <c r="AU15">
        <v>2500000</v>
      </c>
      <c r="AV15">
        <v>2</v>
      </c>
      <c r="AW15" s="13">
        <v>45942</v>
      </c>
      <c r="AX15" t="s">
        <v>52</v>
      </c>
      <c r="AY15" t="s">
        <v>1620</v>
      </c>
      <c r="AZ15" t="s">
        <v>1620</v>
      </c>
      <c r="BA15">
        <v>5</v>
      </c>
      <c r="BB15">
        <v>27.16</v>
      </c>
      <c r="BC15">
        <v>192308</v>
      </c>
      <c r="BD15">
        <v>0</v>
      </c>
      <c r="BE15">
        <v>0</v>
      </c>
      <c r="BF15">
        <v>7000000</v>
      </c>
      <c r="BG15"/>
      <c r="BH15"/>
      <c r="BI15"/>
      <c r="BJ15"/>
      <c r="BK15"/>
      <c r="BL15"/>
      <c r="BM15"/>
    </row>
    <row r="16" spans="1:65" s="6" customFormat="1" x14ac:dyDescent="0.25">
      <c r="A16" s="6">
        <v>2</v>
      </c>
      <c r="B16" s="6">
        <v>732</v>
      </c>
      <c r="C16" s="6">
        <v>1</v>
      </c>
      <c r="D16" s="6">
        <v>1</v>
      </c>
      <c r="E16" s="6">
        <v>1</v>
      </c>
      <c r="F16" s="21">
        <v>34728574</v>
      </c>
      <c r="G16" s="10">
        <v>34728574</v>
      </c>
      <c r="H16" s="7">
        <v>45548</v>
      </c>
      <c r="I16" s="13">
        <v>45548</v>
      </c>
      <c r="J16" s="6">
        <v>41</v>
      </c>
      <c r="K16" s="6">
        <v>41</v>
      </c>
      <c r="L16" s="6">
        <v>101030</v>
      </c>
      <c r="M16" s="6">
        <v>1</v>
      </c>
      <c r="O16" s="6" t="b">
        <v>1</v>
      </c>
      <c r="Q16" s="6">
        <v>1</v>
      </c>
      <c r="R16" s="6">
        <v>94</v>
      </c>
      <c r="S16" s="6">
        <v>160001</v>
      </c>
      <c r="T16" s="6">
        <v>2</v>
      </c>
      <c r="U16" s="16">
        <v>1093740753</v>
      </c>
      <c r="W16" s="16" t="s">
        <v>1648</v>
      </c>
      <c r="X16" s="16" t="s">
        <v>1639</v>
      </c>
      <c r="Y16" s="16" t="s">
        <v>1649</v>
      </c>
      <c r="Z16" s="16" t="s">
        <v>1650</v>
      </c>
      <c r="AB16" s="6" t="s">
        <v>1651</v>
      </c>
      <c r="AC16" s="16">
        <v>54405</v>
      </c>
      <c r="AE16" s="16">
        <v>0</v>
      </c>
      <c r="AF16" s="22">
        <v>10720000</v>
      </c>
      <c r="AG16" s="18">
        <v>45547</v>
      </c>
      <c r="AH16" s="7">
        <v>45368</v>
      </c>
      <c r="AI16" s="7">
        <v>45908</v>
      </c>
      <c r="AJ16" s="6">
        <v>1</v>
      </c>
      <c r="AK16" s="16">
        <v>54405</v>
      </c>
      <c r="AL16" s="6" t="s">
        <v>1651</v>
      </c>
      <c r="AM16" s="6">
        <v>165000</v>
      </c>
      <c r="AN16" s="6">
        <v>1</v>
      </c>
      <c r="AO16" s="23">
        <v>8000000</v>
      </c>
      <c r="AP16" s="17">
        <v>8000000</v>
      </c>
      <c r="AQ16" s="7">
        <v>46301</v>
      </c>
      <c r="AR16">
        <v>25</v>
      </c>
      <c r="AS16" s="17">
        <v>8000000</v>
      </c>
      <c r="AT16" s="6">
        <v>100</v>
      </c>
      <c r="AU16" s="6">
        <v>8000000</v>
      </c>
      <c r="AV16" s="6">
        <v>1</v>
      </c>
      <c r="AW16" s="7">
        <v>45571</v>
      </c>
      <c r="AX16" s="6" t="s">
        <v>52</v>
      </c>
      <c r="AY16" s="6" t="s">
        <v>65</v>
      </c>
      <c r="AZ16" s="6" t="s">
        <v>65</v>
      </c>
      <c r="BA16" s="6">
        <v>5</v>
      </c>
      <c r="BB16" s="24">
        <v>22.03</v>
      </c>
      <c r="BC16">
        <v>320000</v>
      </c>
      <c r="BD16" s="6">
        <v>0</v>
      </c>
      <c r="BE16" s="6">
        <v>0</v>
      </c>
      <c r="BF16" s="6">
        <v>7000000</v>
      </c>
      <c r="BG16"/>
    </row>
    <row r="17" spans="1:65" s="6" customFormat="1" x14ac:dyDescent="0.25">
      <c r="A17">
        <v>2</v>
      </c>
      <c r="B17">
        <v>732</v>
      </c>
      <c r="C17">
        <v>1</v>
      </c>
      <c r="D17">
        <v>1</v>
      </c>
      <c r="E17">
        <v>1</v>
      </c>
      <c r="F17" s="29">
        <v>34728574</v>
      </c>
      <c r="G17" s="30">
        <v>34728574</v>
      </c>
      <c r="H17" s="13">
        <v>45548</v>
      </c>
      <c r="I17" s="13">
        <v>45548</v>
      </c>
      <c r="J17">
        <v>41</v>
      </c>
      <c r="K17">
        <v>41</v>
      </c>
      <c r="L17">
        <v>101030</v>
      </c>
      <c r="M17">
        <v>1</v>
      </c>
      <c r="N17"/>
      <c r="O17" t="b">
        <v>1</v>
      </c>
      <c r="P17"/>
      <c r="Q17">
        <v>1</v>
      </c>
      <c r="R17">
        <v>94</v>
      </c>
      <c r="S17">
        <v>160001</v>
      </c>
      <c r="T17">
        <v>2</v>
      </c>
      <c r="U17" s="27">
        <v>1093740753</v>
      </c>
      <c r="V17"/>
      <c r="W17" s="27" t="s">
        <v>1648</v>
      </c>
      <c r="X17" s="27" t="s">
        <v>1639</v>
      </c>
      <c r="Y17" s="27" t="s">
        <v>1649</v>
      </c>
      <c r="Z17" s="27" t="s">
        <v>1650</v>
      </c>
      <c r="AA17"/>
      <c r="AB17" t="s">
        <v>1651</v>
      </c>
      <c r="AC17" s="27">
        <v>54405</v>
      </c>
      <c r="AD17"/>
      <c r="AE17" s="27">
        <v>0</v>
      </c>
      <c r="AF17" s="31">
        <v>10720000</v>
      </c>
      <c r="AG17" s="32">
        <v>45547</v>
      </c>
      <c r="AH17" s="13">
        <v>45368</v>
      </c>
      <c r="AI17" s="13">
        <v>45908</v>
      </c>
      <c r="AJ17">
        <v>1</v>
      </c>
      <c r="AK17" s="27">
        <v>54405</v>
      </c>
      <c r="AL17" t="s">
        <v>1651</v>
      </c>
      <c r="AM17">
        <v>165000</v>
      </c>
      <c r="AN17">
        <v>1</v>
      </c>
      <c r="AO17" s="33">
        <v>8000000</v>
      </c>
      <c r="AP17" s="34">
        <v>8000000</v>
      </c>
      <c r="AQ17" s="13">
        <v>46301</v>
      </c>
      <c r="AR17">
        <v>25</v>
      </c>
      <c r="AS17" s="34">
        <v>8000000</v>
      </c>
      <c r="AT17">
        <v>100</v>
      </c>
      <c r="AU17">
        <v>8000000</v>
      </c>
      <c r="AV17">
        <v>2</v>
      </c>
      <c r="AW17" s="13">
        <v>46301</v>
      </c>
      <c r="AX17" t="s">
        <v>52</v>
      </c>
      <c r="AY17" t="s">
        <v>1620</v>
      </c>
      <c r="AZ17" t="s">
        <v>1620</v>
      </c>
      <c r="BA17">
        <v>5</v>
      </c>
      <c r="BB17" s="14">
        <v>22.03</v>
      </c>
      <c r="BC17">
        <v>320000</v>
      </c>
      <c r="BD17">
        <v>0</v>
      </c>
      <c r="BE17">
        <v>0</v>
      </c>
      <c r="BF17">
        <v>7000000</v>
      </c>
      <c r="BG17" s="13"/>
      <c r="BH17"/>
      <c r="BI17"/>
      <c r="BJ17"/>
      <c r="BK17"/>
      <c r="BL17"/>
      <c r="BM17"/>
    </row>
    <row r="18" spans="1:65" s="6" customFormat="1" x14ac:dyDescent="0.25">
      <c r="F18" s="21"/>
      <c r="G18" s="10"/>
      <c r="H18" s="7"/>
      <c r="I18" s="13"/>
      <c r="U18" s="16"/>
      <c r="W18" s="16"/>
      <c r="X18" s="16"/>
      <c r="Y18" s="16"/>
      <c r="Z18" s="16"/>
      <c r="AC18" s="16"/>
      <c r="AE18" s="16"/>
      <c r="AF18" s="22"/>
      <c r="AG18" s="18"/>
      <c r="AH18" s="7"/>
      <c r="AI18" s="7"/>
      <c r="AK18" s="16"/>
      <c r="AO18" s="23"/>
      <c r="AP18" s="17"/>
      <c r="AQ18" s="7"/>
      <c r="AR18"/>
      <c r="AS18" s="17"/>
      <c r="AV18"/>
      <c r="AW18" s="7"/>
      <c r="BB18" s="24"/>
      <c r="BC18"/>
      <c r="BG18"/>
    </row>
    <row r="19" spans="1:65" s="6" customFormat="1" x14ac:dyDescent="0.25">
      <c r="A19"/>
      <c r="B19"/>
      <c r="C19"/>
      <c r="D19"/>
      <c r="E19"/>
      <c r="F19" s="29"/>
      <c r="G19" s="30"/>
      <c r="H19" s="13"/>
      <c r="I19" s="13"/>
      <c r="J19"/>
      <c r="K19"/>
      <c r="L19"/>
      <c r="M19"/>
      <c r="N19"/>
      <c r="O19"/>
      <c r="P19"/>
      <c r="Q19"/>
      <c r="R19"/>
      <c r="S19"/>
      <c r="T19"/>
      <c r="U19" s="27"/>
      <c r="V19"/>
      <c r="W19" s="27"/>
      <c r="X19" s="27"/>
      <c r="Y19" s="27"/>
      <c r="Z19" s="27"/>
      <c r="AA19"/>
      <c r="AB19"/>
      <c r="AC19" s="27"/>
      <c r="AD19"/>
      <c r="AE19" s="27"/>
      <c r="AF19" s="31"/>
      <c r="AG19" s="32"/>
      <c r="AH19" s="13"/>
      <c r="AI19" s="13"/>
      <c r="AJ19"/>
      <c r="AK19" s="27"/>
      <c r="AL19"/>
      <c r="AM19"/>
      <c r="AN19"/>
      <c r="AO19" s="33"/>
      <c r="AP19" s="34"/>
      <c r="AQ19" s="13"/>
      <c r="AR19"/>
      <c r="AS19" s="34"/>
      <c r="AT19"/>
      <c r="AU19"/>
      <c r="AV19"/>
      <c r="AW19" s="13"/>
      <c r="AX19"/>
      <c r="AY19"/>
      <c r="AZ19"/>
      <c r="BA19"/>
      <c r="BB19" s="14"/>
      <c r="BC19"/>
      <c r="BD19"/>
      <c r="BE19"/>
      <c r="BF19"/>
      <c r="BG19" s="13"/>
      <c r="BH19"/>
      <c r="BI19"/>
      <c r="BJ19"/>
      <c r="BK19"/>
      <c r="BL19"/>
      <c r="BM19"/>
    </row>
    <row r="20" spans="1:65" s="6" customFormat="1" x14ac:dyDescent="0.25">
      <c r="A20"/>
      <c r="B20"/>
      <c r="C20"/>
      <c r="D20"/>
      <c r="E20"/>
      <c r="F20"/>
      <c r="G20"/>
      <c r="H20" s="13"/>
      <c r="I20" s="13"/>
      <c r="J20"/>
      <c r="K20"/>
      <c r="L20"/>
      <c r="M20"/>
      <c r="N20"/>
      <c r="O20"/>
      <c r="P20"/>
      <c r="Q20"/>
      <c r="R20"/>
      <c r="S20"/>
      <c r="T20"/>
      <c r="U20" s="27"/>
      <c r="V20"/>
      <c r="W20" s="27"/>
      <c r="X20" s="27"/>
      <c r="Y20" s="27"/>
      <c r="Z20" s="27"/>
      <c r="AA20"/>
      <c r="AB20"/>
      <c r="AC20" s="27"/>
      <c r="AD20"/>
      <c r="AE20" s="27"/>
      <c r="AF20" s="27"/>
      <c r="AG20" s="32"/>
      <c r="AH20" s="13"/>
      <c r="AI20" s="13"/>
      <c r="AJ20"/>
      <c r="AK20" s="27"/>
      <c r="AL20"/>
      <c r="AM20"/>
      <c r="AN20"/>
      <c r="AO20" s="27"/>
      <c r="AP20" s="27"/>
      <c r="AQ20" s="13"/>
      <c r="AR20"/>
      <c r="AS20" s="27"/>
      <c r="AT20"/>
      <c r="AU20"/>
      <c r="AV20"/>
      <c r="AW20" s="13"/>
      <c r="AX20"/>
      <c r="AY20"/>
      <c r="AZ20"/>
      <c r="BA20"/>
      <c r="BB20"/>
      <c r="BC20"/>
      <c r="BD20"/>
      <c r="BE20"/>
      <c r="BF20"/>
      <c r="BG20" s="13"/>
      <c r="BH20"/>
      <c r="BI20"/>
      <c r="BJ20"/>
      <c r="BK20"/>
      <c r="BL20"/>
      <c r="BM20"/>
    </row>
    <row r="21" spans="1:65" s="6" customFormat="1" x14ac:dyDescent="0.25">
      <c r="A21"/>
      <c r="B21"/>
      <c r="C21"/>
      <c r="D21"/>
      <c r="E21"/>
      <c r="F21"/>
      <c r="G21"/>
      <c r="H21" s="13"/>
      <c r="I21" s="13"/>
      <c r="J21"/>
      <c r="K21"/>
      <c r="L21"/>
      <c r="M21"/>
      <c r="N21"/>
      <c r="O21"/>
      <c r="P21"/>
      <c r="Q21"/>
      <c r="R21"/>
      <c r="S21"/>
      <c r="T21"/>
      <c r="U21" s="27"/>
      <c r="V21"/>
      <c r="W21" s="27"/>
      <c r="X21" s="27"/>
      <c r="Y21" s="27"/>
      <c r="Z21" s="27"/>
      <c r="AA21"/>
      <c r="AB21"/>
      <c r="AC21" s="27"/>
      <c r="AD21"/>
      <c r="AE21" s="27"/>
      <c r="AF21" s="27"/>
      <c r="AG21" s="32"/>
      <c r="AH21" s="13"/>
      <c r="AI21" s="13"/>
      <c r="AJ21"/>
      <c r="AK21" s="27"/>
      <c r="AL21"/>
      <c r="AM21"/>
      <c r="AN21"/>
      <c r="AO21" s="27"/>
      <c r="AP21" s="27"/>
      <c r="AQ21" s="13"/>
      <c r="AR21"/>
      <c r="AS21" s="27"/>
      <c r="AT21"/>
      <c r="AU21"/>
      <c r="AV21"/>
      <c r="AW21" s="13"/>
      <c r="AX21"/>
      <c r="AY21"/>
      <c r="AZ21"/>
      <c r="BA21"/>
      <c r="BB21"/>
      <c r="BC21"/>
      <c r="BD21"/>
      <c r="BE21"/>
      <c r="BF21"/>
      <c r="BG21" s="13"/>
      <c r="BH21"/>
      <c r="BI21"/>
      <c r="BJ21"/>
      <c r="BK21"/>
      <c r="BL21"/>
      <c r="BM21"/>
    </row>
    <row r="22" spans="1:65" s="6" customFormat="1" x14ac:dyDescent="0.25">
      <c r="A22"/>
      <c r="B22"/>
      <c r="C22"/>
      <c r="D22"/>
      <c r="E22"/>
      <c r="F22" s="29"/>
      <c r="G22" s="30"/>
      <c r="H22" s="13"/>
      <c r="I22" s="13"/>
      <c r="J22"/>
      <c r="K22"/>
      <c r="L22"/>
      <c r="M22"/>
      <c r="N22"/>
      <c r="O22"/>
      <c r="P22"/>
      <c r="Q22"/>
      <c r="R22"/>
      <c r="S22"/>
      <c r="T22"/>
      <c r="U22" s="27"/>
      <c r="V22"/>
      <c r="W22" s="27"/>
      <c r="X22" s="27"/>
      <c r="Y22" s="27"/>
      <c r="Z22" s="27"/>
      <c r="AA22"/>
      <c r="AB22"/>
      <c r="AC22" s="27"/>
      <c r="AD22"/>
      <c r="AE22" s="27"/>
      <c r="AF22" s="31"/>
      <c r="AG22" s="32"/>
      <c r="AH22" s="13"/>
      <c r="AI22" s="13"/>
      <c r="AJ22"/>
      <c r="AK22" s="27"/>
      <c r="AL22"/>
      <c r="AM22"/>
      <c r="AN22"/>
      <c r="AO22" s="33"/>
      <c r="AP22" s="34"/>
      <c r="AQ22" s="13"/>
      <c r="AR22"/>
      <c r="AS22" s="34"/>
      <c r="AT22"/>
      <c r="AU22"/>
      <c r="AV22"/>
      <c r="AW22" s="13"/>
      <c r="AX22"/>
      <c r="AY22"/>
      <c r="AZ22"/>
      <c r="BA22"/>
      <c r="BB22" s="14"/>
      <c r="BC22"/>
      <c r="BD22"/>
      <c r="BE22"/>
      <c r="BF22"/>
      <c r="BG22" s="13"/>
      <c r="BH22"/>
      <c r="BI22"/>
      <c r="BJ22"/>
      <c r="BK22"/>
      <c r="BL22"/>
      <c r="BM22"/>
    </row>
    <row r="23" spans="1:65" s="6" customFormat="1" x14ac:dyDescent="0.25">
      <c r="F23" s="21"/>
      <c r="G23" s="10"/>
      <c r="H23" s="7"/>
      <c r="I23" s="13"/>
      <c r="U23" s="16"/>
      <c r="W23" s="16"/>
      <c r="X23" s="16"/>
      <c r="Y23" s="16"/>
      <c r="Z23" s="16"/>
      <c r="AC23" s="16"/>
      <c r="AE23" s="16"/>
      <c r="AF23" s="22"/>
      <c r="AG23" s="18"/>
      <c r="AH23" s="7"/>
      <c r="AI23" s="7"/>
      <c r="AK23" s="16"/>
      <c r="AO23" s="23"/>
      <c r="AP23" s="17"/>
      <c r="AQ23" s="7"/>
      <c r="AR23"/>
      <c r="AS23" s="17"/>
      <c r="AV23"/>
      <c r="AW23" s="7"/>
      <c r="BB23" s="24"/>
      <c r="BC23"/>
      <c r="BG23"/>
    </row>
    <row r="24" spans="1:65" s="6" customFormat="1" x14ac:dyDescent="0.25">
      <c r="F24" s="21"/>
      <c r="G24" s="10"/>
      <c r="H24" s="7"/>
      <c r="I24" s="7"/>
      <c r="U24" s="16"/>
      <c r="W24" s="16"/>
      <c r="X24" s="16"/>
      <c r="Y24" s="16"/>
      <c r="Z24" s="16"/>
      <c r="AC24" s="16"/>
      <c r="AE24" s="16"/>
      <c r="AF24" s="22"/>
      <c r="AG24" s="18"/>
      <c r="AH24" s="7"/>
      <c r="AI24" s="7"/>
      <c r="AK24" s="16"/>
      <c r="AO24" s="23"/>
      <c r="AP24" s="17"/>
      <c r="AQ24" s="7"/>
      <c r="AR24"/>
      <c r="AS24" s="17"/>
      <c r="AW24" s="7"/>
      <c r="BB24" s="24"/>
      <c r="BC24"/>
      <c r="BG24"/>
    </row>
    <row r="25" spans="1:65" s="6" customFormat="1" x14ac:dyDescent="0.25">
      <c r="A25"/>
      <c r="B25"/>
      <c r="C25"/>
      <c r="D25"/>
      <c r="E25"/>
      <c r="F25" s="29"/>
      <c r="G25" s="30"/>
      <c r="H25" s="13"/>
      <c r="I25" s="13"/>
      <c r="J25"/>
      <c r="K25"/>
      <c r="L25"/>
      <c r="M25"/>
      <c r="N25"/>
      <c r="O25"/>
      <c r="P25"/>
      <c r="Q25"/>
      <c r="R25"/>
      <c r="S25"/>
      <c r="T25"/>
      <c r="U25" s="27"/>
      <c r="V25"/>
      <c r="W25" s="27"/>
      <c r="X25" s="27"/>
      <c r="Y25" s="27"/>
      <c r="Z25" s="27"/>
      <c r="AA25"/>
      <c r="AB25"/>
      <c r="AC25" s="27"/>
      <c r="AD25"/>
      <c r="AE25" s="27"/>
      <c r="AF25" s="31"/>
      <c r="AG25" s="32"/>
      <c r="AH25" s="13"/>
      <c r="AI25" s="13"/>
      <c r="AJ25"/>
      <c r="AK25" s="27"/>
      <c r="AL25"/>
      <c r="AM25"/>
      <c r="AN25"/>
      <c r="AO25" s="33"/>
      <c r="AP25" s="34"/>
      <c r="AQ25" s="13"/>
      <c r="AR25"/>
      <c r="AS25" s="34"/>
      <c r="AT25"/>
      <c r="AU25"/>
      <c r="AV25"/>
      <c r="AW25" s="13"/>
      <c r="AX25"/>
      <c r="AY25"/>
      <c r="AZ25"/>
      <c r="BA25"/>
      <c r="BB25" s="14"/>
      <c r="BC25"/>
      <c r="BD25"/>
      <c r="BE25"/>
      <c r="BF25"/>
      <c r="BG25" s="13"/>
      <c r="BH25"/>
      <c r="BI25"/>
      <c r="BJ25"/>
      <c r="BK25"/>
      <c r="BL25"/>
      <c r="BM25"/>
    </row>
    <row r="26" spans="1:65" s="6" customFormat="1" x14ac:dyDescent="0.25">
      <c r="F26" s="21"/>
      <c r="G26" s="10"/>
      <c r="H26" s="7"/>
      <c r="I26" s="7"/>
      <c r="U26" s="16"/>
      <c r="W26" s="16"/>
      <c r="X26" s="16"/>
      <c r="Y26" s="16"/>
      <c r="Z26" s="16"/>
      <c r="AC26" s="16"/>
      <c r="AE26" s="16"/>
      <c r="AF26" s="22"/>
      <c r="AG26" s="18"/>
      <c r="AH26" s="7"/>
      <c r="AI26" s="7"/>
      <c r="AK26" s="16"/>
      <c r="AO26" s="23"/>
      <c r="AP26" s="17"/>
      <c r="AQ26" s="7"/>
      <c r="AR26"/>
      <c r="AS26" s="17"/>
      <c r="AW26" s="7"/>
      <c r="BB26" s="24"/>
      <c r="BC26"/>
      <c r="BG26"/>
    </row>
    <row r="27" spans="1:65" s="6" customFormat="1" x14ac:dyDescent="0.25">
      <c r="F27" s="21"/>
      <c r="G27" s="10"/>
      <c r="H27" s="7"/>
      <c r="I27" s="13"/>
      <c r="U27" s="16"/>
      <c r="W27" s="16"/>
      <c r="X27" s="16"/>
      <c r="Y27" s="16"/>
      <c r="Z27" s="16"/>
      <c r="AC27" s="16"/>
      <c r="AE27" s="16"/>
      <c r="AF27" s="22"/>
      <c r="AG27" s="18"/>
      <c r="AH27" s="7"/>
      <c r="AI27" s="7"/>
      <c r="AK27" s="16"/>
      <c r="AO27" s="23"/>
      <c r="AP27" s="17"/>
      <c r="AQ27" s="7"/>
      <c r="AR27"/>
      <c r="AS27" s="17"/>
      <c r="AW27" s="7"/>
      <c r="BB27" s="24"/>
      <c r="BC27"/>
      <c r="BG27"/>
    </row>
    <row r="28" spans="1:65" s="6" customFormat="1" x14ac:dyDescent="0.25">
      <c r="F28" s="21"/>
      <c r="G28" s="10"/>
      <c r="H28" s="7"/>
      <c r="I28" s="7"/>
      <c r="U28" s="16"/>
      <c r="W28" s="16"/>
      <c r="X28" s="16"/>
      <c r="Y28" s="16"/>
      <c r="Z28" s="16"/>
      <c r="AC28" s="16"/>
      <c r="AE28" s="16"/>
      <c r="AF28" s="22"/>
      <c r="AG28" s="18"/>
      <c r="AH28" s="7"/>
      <c r="AI28" s="7"/>
      <c r="AK28" s="16"/>
      <c r="AO28" s="35"/>
      <c r="AP28" s="17"/>
      <c r="AQ28" s="7"/>
      <c r="AS28" s="17"/>
      <c r="AW28" s="7"/>
      <c r="BB28" s="24"/>
      <c r="BG28" s="7"/>
    </row>
    <row r="29" spans="1:65" s="6" customFormat="1" x14ac:dyDescent="0.25">
      <c r="A29"/>
      <c r="B29"/>
      <c r="C29"/>
      <c r="D29"/>
      <c r="E29"/>
      <c r="F29" s="29"/>
      <c r="G29" s="30"/>
      <c r="H29" s="13"/>
      <c r="I29" s="13"/>
      <c r="J29"/>
      <c r="K29"/>
      <c r="L29"/>
      <c r="M29"/>
      <c r="N29"/>
      <c r="O29"/>
      <c r="P29"/>
      <c r="Q29"/>
      <c r="R29"/>
      <c r="S29"/>
      <c r="T29"/>
      <c r="U29" s="27"/>
      <c r="V29"/>
      <c r="W29" s="27"/>
      <c r="X29" s="27"/>
      <c r="Y29" s="27"/>
      <c r="Z29" s="27"/>
      <c r="AA29"/>
      <c r="AB29"/>
      <c r="AC29" s="27"/>
      <c r="AD29"/>
      <c r="AE29" s="27"/>
      <c r="AF29" s="31"/>
      <c r="AG29" s="32"/>
      <c r="AH29" s="13"/>
      <c r="AI29" s="13"/>
      <c r="AJ29"/>
      <c r="AK29" s="27"/>
      <c r="AL29"/>
      <c r="AM29"/>
      <c r="AN29"/>
      <c r="AO29" s="33"/>
      <c r="AP29" s="34"/>
      <c r="AQ29" s="13"/>
      <c r="AR29"/>
      <c r="AS29" s="34"/>
      <c r="AT29"/>
      <c r="AU29"/>
      <c r="AV29"/>
      <c r="AW29" s="13"/>
      <c r="AX29"/>
      <c r="AY29"/>
      <c r="AZ29"/>
      <c r="BA29"/>
      <c r="BB29" s="14"/>
      <c r="BC29"/>
      <c r="BD29"/>
      <c r="BE29"/>
      <c r="BF29"/>
      <c r="BG29" s="13"/>
      <c r="BH29"/>
      <c r="BI29"/>
      <c r="BJ29"/>
      <c r="BK29"/>
      <c r="BL29"/>
      <c r="BM29"/>
    </row>
    <row r="30" spans="1:65" s="6" customFormat="1" x14ac:dyDescent="0.25">
      <c r="A30"/>
      <c r="B30"/>
      <c r="C30"/>
      <c r="D30"/>
      <c r="E30"/>
      <c r="F30" s="29"/>
      <c r="G30" s="30"/>
      <c r="H30" s="13"/>
      <c r="I30" s="13"/>
      <c r="J30"/>
      <c r="K30"/>
      <c r="L30"/>
      <c r="M30"/>
      <c r="N30"/>
      <c r="O30"/>
      <c r="P30"/>
      <c r="Q30"/>
      <c r="R30"/>
      <c r="S30"/>
      <c r="T30"/>
      <c r="U30" s="27"/>
      <c r="V30"/>
      <c r="W30" s="27"/>
      <c r="X30" s="27"/>
      <c r="Y30" s="27"/>
      <c r="Z30" s="27"/>
      <c r="AA30"/>
      <c r="AB30"/>
      <c r="AC30" s="27"/>
      <c r="AD30"/>
      <c r="AE30" s="27"/>
      <c r="AF30" s="31"/>
      <c r="AG30" s="32"/>
      <c r="AH30" s="13"/>
      <c r="AI30" s="13"/>
      <c r="AJ30"/>
      <c r="AK30" s="27"/>
      <c r="AL30"/>
      <c r="AM30"/>
      <c r="AN30"/>
      <c r="AO30" s="33"/>
      <c r="AP30" s="34"/>
      <c r="AQ30" s="13"/>
      <c r="AR30"/>
      <c r="AS30" s="34"/>
      <c r="AT30"/>
      <c r="AU30"/>
      <c r="AV30"/>
      <c r="AW30" s="13"/>
      <c r="AX30"/>
      <c r="AY30"/>
      <c r="AZ30"/>
      <c r="BA30"/>
      <c r="BB30" s="14"/>
      <c r="BC30"/>
      <c r="BD30"/>
      <c r="BE30"/>
      <c r="BF30"/>
      <c r="BG30" s="13"/>
      <c r="BH30"/>
      <c r="BI30"/>
      <c r="BJ30"/>
      <c r="BK30"/>
      <c r="BL30"/>
      <c r="BM30"/>
    </row>
    <row r="31" spans="1:65" s="6" customFormat="1" x14ac:dyDescent="0.25">
      <c r="F31" s="21"/>
      <c r="G31" s="10"/>
      <c r="H31" s="7"/>
      <c r="I31" s="13"/>
      <c r="U31" s="16"/>
      <c r="W31" s="16"/>
      <c r="X31" s="16"/>
      <c r="Y31" s="16"/>
      <c r="Z31" s="16"/>
      <c r="AC31" s="16"/>
      <c r="AE31" s="16"/>
      <c r="AF31" s="22"/>
      <c r="AG31" s="18"/>
      <c r="AH31" s="7"/>
      <c r="AI31" s="7"/>
      <c r="AK31" s="16"/>
      <c r="AO31" s="23"/>
      <c r="AP31" s="17"/>
      <c r="AQ31" s="7"/>
      <c r="AR31"/>
      <c r="AS31" s="17"/>
      <c r="AV31"/>
      <c r="AW31" s="7"/>
      <c r="BB31" s="24"/>
      <c r="BC31"/>
      <c r="BG31"/>
    </row>
    <row r="32" spans="1:65" s="6" customFormat="1" x14ac:dyDescent="0.25">
      <c r="F32" s="21"/>
      <c r="G32" s="10"/>
      <c r="H32" s="7"/>
      <c r="I32" s="7"/>
      <c r="U32" s="16"/>
      <c r="W32" s="16"/>
      <c r="X32" s="16"/>
      <c r="Y32" s="16"/>
      <c r="Z32" s="16"/>
      <c r="AC32" s="16"/>
      <c r="AE32" s="16"/>
      <c r="AF32" s="22"/>
      <c r="AG32" s="18"/>
      <c r="AH32" s="7"/>
      <c r="AI32" s="7"/>
      <c r="AK32" s="16"/>
      <c r="AO32" s="23"/>
      <c r="AP32" s="17"/>
      <c r="AQ32" s="7"/>
      <c r="AR32"/>
      <c r="AS32" s="17"/>
      <c r="AW32" s="7"/>
      <c r="BB32" s="24"/>
      <c r="BC32"/>
      <c r="BG32"/>
    </row>
    <row r="33" spans="1:65" s="6" customFormat="1" x14ac:dyDescent="0.25">
      <c r="H33" s="7"/>
      <c r="I33" s="7"/>
      <c r="U33" s="16"/>
      <c r="W33" s="16"/>
      <c r="X33" s="16"/>
      <c r="Y33" s="16"/>
      <c r="Z33" s="16"/>
      <c r="AC33" s="16"/>
      <c r="AE33" s="16"/>
      <c r="AF33" s="16"/>
      <c r="AG33" s="18"/>
      <c r="AH33" s="7"/>
      <c r="AI33" s="7"/>
      <c r="AK33" s="16"/>
      <c r="AO33" s="16"/>
      <c r="AP33" s="16"/>
      <c r="AQ33" s="7"/>
      <c r="AS33" s="16"/>
      <c r="AW33" s="7"/>
      <c r="BG33" s="7"/>
    </row>
    <row r="34" spans="1:65" s="6" customFormat="1" x14ac:dyDescent="0.25">
      <c r="A34"/>
      <c r="B34"/>
      <c r="C34"/>
      <c r="D34"/>
      <c r="E34"/>
      <c r="F34"/>
      <c r="G34"/>
      <c r="H34" s="13"/>
      <c r="I34" s="13"/>
      <c r="J34"/>
      <c r="K34"/>
      <c r="L34"/>
      <c r="M34"/>
      <c r="N34"/>
      <c r="O34"/>
      <c r="P34"/>
      <c r="Q34"/>
      <c r="R34"/>
      <c r="S34"/>
      <c r="T34"/>
      <c r="U34" s="27"/>
      <c r="V34"/>
      <c r="W34" s="27"/>
      <c r="X34" s="27"/>
      <c r="Y34" s="27"/>
      <c r="Z34" s="27"/>
      <c r="AA34"/>
      <c r="AB34"/>
      <c r="AC34" s="27"/>
      <c r="AD34"/>
      <c r="AE34" s="27"/>
      <c r="AF34" s="27"/>
      <c r="AG34" s="32"/>
      <c r="AH34" s="13"/>
      <c r="AI34" s="13"/>
      <c r="AJ34"/>
      <c r="AK34" s="27"/>
      <c r="AL34"/>
      <c r="AM34"/>
      <c r="AN34"/>
      <c r="AO34" s="27"/>
      <c r="AP34" s="27"/>
      <c r="AQ34" s="13"/>
      <c r="AR34"/>
      <c r="AS34" s="27"/>
      <c r="AT34"/>
      <c r="AU34"/>
      <c r="AV34"/>
      <c r="AW34" s="13"/>
      <c r="AX34"/>
      <c r="AY34"/>
      <c r="AZ34"/>
      <c r="BA34"/>
      <c r="BB34"/>
      <c r="BC34"/>
      <c r="BD34"/>
      <c r="BE34"/>
      <c r="BF34"/>
      <c r="BG34"/>
    </row>
    <row r="35" spans="1:65" s="6" customFormat="1" x14ac:dyDescent="0.25">
      <c r="F35" s="21"/>
      <c r="G35" s="10"/>
      <c r="H35" s="7"/>
      <c r="I35" s="7"/>
      <c r="U35" s="16"/>
      <c r="W35" s="16"/>
      <c r="X35" s="16"/>
      <c r="Y35" s="16"/>
      <c r="Z35" s="16"/>
      <c r="AC35" s="16"/>
      <c r="AE35" s="16"/>
      <c r="AF35" s="22"/>
      <c r="AG35" s="18"/>
      <c r="AH35" s="7"/>
      <c r="AI35" s="7"/>
      <c r="AK35" s="16"/>
      <c r="AO35" s="23"/>
      <c r="AP35" s="17"/>
      <c r="AQ35" s="7"/>
      <c r="AR35"/>
      <c r="AS35" s="17"/>
      <c r="AW35" s="7"/>
      <c r="BB35" s="24"/>
      <c r="BC35"/>
      <c r="BG35"/>
    </row>
    <row r="36" spans="1:65" s="6" customFormat="1" x14ac:dyDescent="0.25">
      <c r="A36"/>
      <c r="B36"/>
      <c r="C36"/>
      <c r="D36"/>
      <c r="E36"/>
      <c r="F36"/>
      <c r="G36"/>
      <c r="H36" s="13"/>
      <c r="I36" s="13"/>
      <c r="J36"/>
      <c r="K36"/>
      <c r="L36"/>
      <c r="M36"/>
      <c r="N36"/>
      <c r="O36"/>
      <c r="P36"/>
      <c r="Q36"/>
      <c r="R36"/>
      <c r="S36"/>
      <c r="T36"/>
      <c r="U36" s="27"/>
      <c r="V36"/>
      <c r="W36" s="27"/>
      <c r="X36" s="27"/>
      <c r="Y36" s="27"/>
      <c r="Z36" s="27"/>
      <c r="AA36"/>
      <c r="AB36"/>
      <c r="AC36" s="27"/>
      <c r="AD36"/>
      <c r="AE36" s="27"/>
      <c r="AF36" s="27"/>
      <c r="AG36" s="32"/>
      <c r="AH36" s="13"/>
      <c r="AI36" s="13"/>
      <c r="AJ36"/>
      <c r="AK36" s="27"/>
      <c r="AL36"/>
      <c r="AM36"/>
      <c r="AN36"/>
      <c r="AO36" s="27"/>
      <c r="AP36" s="27"/>
      <c r="AQ36" s="13"/>
      <c r="AR36"/>
      <c r="AS36" s="27"/>
      <c r="AT36"/>
      <c r="AU36"/>
      <c r="AV36"/>
      <c r="AW36" s="13"/>
      <c r="AX36"/>
      <c r="AY36"/>
      <c r="AZ36"/>
      <c r="BA36"/>
      <c r="BB36"/>
      <c r="BC36"/>
      <c r="BD36"/>
      <c r="BE36"/>
      <c r="BF36"/>
      <c r="BG36" s="13"/>
      <c r="BH36"/>
      <c r="BI36"/>
      <c r="BJ36"/>
      <c r="BK36"/>
      <c r="BL36"/>
      <c r="BM36"/>
    </row>
    <row r="37" spans="1:65" s="6" customFormat="1" x14ac:dyDescent="0.25">
      <c r="F37" s="21"/>
      <c r="G37" s="10"/>
      <c r="H37" s="7"/>
      <c r="I37" s="13"/>
      <c r="U37" s="16"/>
      <c r="W37" s="16"/>
      <c r="X37" s="16"/>
      <c r="Y37" s="16"/>
      <c r="Z37" s="16"/>
      <c r="AC37" s="16"/>
      <c r="AE37" s="16"/>
      <c r="AF37" s="22"/>
      <c r="AG37" s="18"/>
      <c r="AH37" s="7"/>
      <c r="AI37" s="7"/>
      <c r="AK37" s="16"/>
      <c r="AO37" s="23"/>
      <c r="AP37" s="17"/>
      <c r="AQ37" s="7"/>
      <c r="AR37"/>
      <c r="AS37" s="17"/>
      <c r="AV37"/>
      <c r="AW37" s="7"/>
      <c r="BB37" s="24"/>
      <c r="BC37"/>
      <c r="BG37"/>
    </row>
    <row r="38" spans="1:65" s="6" customFormat="1" x14ac:dyDescent="0.25">
      <c r="A38"/>
      <c r="B38"/>
      <c r="C38"/>
      <c r="D38"/>
      <c r="E38"/>
      <c r="F38" s="29"/>
      <c r="G38" s="30"/>
      <c r="H38" s="13"/>
      <c r="I38" s="13"/>
      <c r="J38"/>
      <c r="K38"/>
      <c r="L38"/>
      <c r="M38"/>
      <c r="N38"/>
      <c r="O38"/>
      <c r="P38"/>
      <c r="Q38"/>
      <c r="R38"/>
      <c r="S38"/>
      <c r="T38"/>
      <c r="U38" s="27"/>
      <c r="V38"/>
      <c r="W38" s="27"/>
      <c r="X38" s="27"/>
      <c r="Y38" s="27"/>
      <c r="Z38" s="27"/>
      <c r="AA38"/>
      <c r="AB38"/>
      <c r="AC38" s="27"/>
      <c r="AD38"/>
      <c r="AE38" s="27"/>
      <c r="AF38" s="31"/>
      <c r="AG38" s="32"/>
      <c r="AH38" s="13"/>
      <c r="AI38" s="13"/>
      <c r="AJ38"/>
      <c r="AK38" s="27"/>
      <c r="AL38"/>
      <c r="AM38"/>
      <c r="AN38"/>
      <c r="AO38" s="33"/>
      <c r="AP38" s="34"/>
      <c r="AQ38" s="13"/>
      <c r="AR38"/>
      <c r="AS38" s="34"/>
      <c r="AT38"/>
      <c r="AU38"/>
      <c r="AV38"/>
      <c r="AW38" s="13"/>
      <c r="AX38"/>
      <c r="AY38"/>
      <c r="AZ38"/>
      <c r="BA38"/>
      <c r="BB38" s="14"/>
      <c r="BC38"/>
      <c r="BD38"/>
      <c r="BE38"/>
      <c r="BF38"/>
      <c r="BG38" s="13"/>
      <c r="BH38"/>
      <c r="BI38"/>
      <c r="BJ38"/>
      <c r="BK38"/>
      <c r="BL38"/>
      <c r="BM38"/>
    </row>
    <row r="39" spans="1:65" s="6" customFormat="1" x14ac:dyDescent="0.25">
      <c r="F39" s="21"/>
      <c r="G39" s="10"/>
      <c r="H39" s="7"/>
      <c r="I39" s="7"/>
      <c r="U39" s="16"/>
      <c r="W39" s="16"/>
      <c r="X39" s="16"/>
      <c r="Y39" s="16"/>
      <c r="Z39" s="16"/>
      <c r="AC39" s="16"/>
      <c r="AE39" s="16"/>
      <c r="AF39" s="22"/>
      <c r="AG39" s="18"/>
      <c r="AH39" s="7"/>
      <c r="AI39" s="7"/>
      <c r="AK39" s="16"/>
      <c r="AO39" s="23"/>
      <c r="AP39" s="17"/>
      <c r="AQ39" s="7"/>
      <c r="AR39"/>
      <c r="AS39" s="17"/>
      <c r="AW39" s="7"/>
      <c r="BB39" s="24"/>
      <c r="BC39"/>
      <c r="BG39"/>
    </row>
    <row r="40" spans="1:65" s="6" customFormat="1" x14ac:dyDescent="0.25">
      <c r="A40"/>
      <c r="B40"/>
      <c r="C40"/>
      <c r="D40"/>
      <c r="E40"/>
      <c r="F40" s="29"/>
      <c r="G40" s="30"/>
      <c r="H40" s="13"/>
      <c r="I40" s="13"/>
      <c r="J40"/>
      <c r="K40"/>
      <c r="L40"/>
      <c r="M40"/>
      <c r="N40"/>
      <c r="O40"/>
      <c r="P40"/>
      <c r="Q40"/>
      <c r="R40"/>
      <c r="S40"/>
      <c r="T40"/>
      <c r="U40" s="27"/>
      <c r="V40"/>
      <c r="W40" s="27"/>
      <c r="X40" s="27"/>
      <c r="Y40" s="27"/>
      <c r="Z40" s="27"/>
      <c r="AA40"/>
      <c r="AB40"/>
      <c r="AC40" s="27"/>
      <c r="AD40"/>
      <c r="AE40" s="27"/>
      <c r="AF40" s="31"/>
      <c r="AG40" s="32"/>
      <c r="AH40" s="13"/>
      <c r="AI40" s="13"/>
      <c r="AJ40"/>
      <c r="AK40" s="27"/>
      <c r="AL40"/>
      <c r="AM40"/>
      <c r="AN40"/>
      <c r="AO40" s="33"/>
      <c r="AP40" s="34"/>
      <c r="AQ40" s="13"/>
      <c r="AR40"/>
      <c r="AS40" s="34"/>
      <c r="AT40"/>
      <c r="AU40"/>
      <c r="AV40"/>
      <c r="AW40" s="13"/>
      <c r="AX40"/>
      <c r="AY40"/>
      <c r="AZ40"/>
      <c r="BA40"/>
      <c r="BB40" s="14"/>
      <c r="BC40"/>
      <c r="BD40"/>
      <c r="BE40"/>
      <c r="BF40"/>
      <c r="BG40" s="13"/>
      <c r="BH40"/>
      <c r="BI40"/>
      <c r="BJ40"/>
      <c r="BK40"/>
      <c r="BL40"/>
      <c r="BM40"/>
    </row>
    <row r="41" spans="1:65" s="6" customFormat="1" x14ac:dyDescent="0.25">
      <c r="F41" s="21"/>
      <c r="G41" s="10"/>
      <c r="H41" s="7"/>
      <c r="I41" s="7"/>
      <c r="U41" s="16"/>
      <c r="W41" s="16"/>
      <c r="X41" s="16"/>
      <c r="Y41" s="16"/>
      <c r="Z41" s="16"/>
      <c r="AC41" s="16"/>
      <c r="AE41" s="16"/>
      <c r="AF41" s="22"/>
      <c r="AG41" s="18"/>
      <c r="AH41" s="7"/>
      <c r="AI41" s="7"/>
      <c r="AK41" s="16"/>
      <c r="AO41" s="23"/>
      <c r="AP41" s="17"/>
      <c r="AQ41" s="7"/>
      <c r="AR41"/>
      <c r="AS41" s="17"/>
      <c r="AW41" s="7"/>
      <c r="BB41" s="24"/>
      <c r="BC41"/>
      <c r="BG41"/>
    </row>
    <row r="42" spans="1:65" s="6" customFormat="1" x14ac:dyDescent="0.25">
      <c r="A42"/>
      <c r="B42"/>
      <c r="C42"/>
      <c r="D42"/>
      <c r="E42"/>
      <c r="F42"/>
      <c r="G42"/>
      <c r="H42" s="13"/>
      <c r="I42" s="13"/>
      <c r="J42"/>
      <c r="K42"/>
      <c r="L42"/>
      <c r="M42"/>
      <c r="N42"/>
      <c r="O42"/>
      <c r="P42"/>
      <c r="Q42"/>
      <c r="R42"/>
      <c r="S42"/>
      <c r="T42"/>
      <c r="U42" s="27"/>
      <c r="V42"/>
      <c r="W42" s="27"/>
      <c r="X42" s="27"/>
      <c r="Y42" s="27"/>
      <c r="Z42" s="27"/>
      <c r="AA42"/>
      <c r="AB42"/>
      <c r="AC42" s="27"/>
      <c r="AD42"/>
      <c r="AE42" s="27"/>
      <c r="AF42" s="27"/>
      <c r="AG42" s="32"/>
      <c r="AH42" s="13"/>
      <c r="AI42" s="13"/>
      <c r="AJ42"/>
      <c r="AK42" s="27"/>
      <c r="AL42"/>
      <c r="AM42"/>
      <c r="AN42"/>
      <c r="AO42" s="27"/>
      <c r="AP42" s="27"/>
      <c r="AQ42" s="13"/>
      <c r="AR42"/>
      <c r="AS42" s="27"/>
      <c r="AT42"/>
      <c r="AU42"/>
      <c r="AV42"/>
      <c r="AW42" s="13"/>
      <c r="AX42"/>
      <c r="AY42"/>
      <c r="AZ42"/>
      <c r="BA42"/>
      <c r="BB42"/>
      <c r="BC42"/>
      <c r="BD42"/>
      <c r="BE42"/>
      <c r="BF42"/>
      <c r="BG42" s="13"/>
      <c r="BH42"/>
      <c r="BI42"/>
      <c r="BJ42"/>
      <c r="BK42"/>
      <c r="BL42"/>
      <c r="BM42"/>
    </row>
    <row r="43" spans="1:65" s="6" customFormat="1" x14ac:dyDescent="0.25">
      <c r="F43" s="21"/>
      <c r="G43" s="10"/>
      <c r="H43" s="7"/>
      <c r="I43" s="13"/>
      <c r="U43" s="16"/>
      <c r="W43" s="16"/>
      <c r="X43" s="16"/>
      <c r="Y43" s="16"/>
      <c r="Z43" s="16"/>
      <c r="AC43" s="16"/>
      <c r="AE43" s="16"/>
      <c r="AF43" s="22"/>
      <c r="AG43" s="18"/>
      <c r="AH43" s="7"/>
      <c r="AI43" s="7"/>
      <c r="AK43" s="16"/>
      <c r="AO43" s="23"/>
      <c r="AP43" s="17"/>
      <c r="AQ43" s="7"/>
      <c r="AR43"/>
      <c r="AS43" s="17"/>
      <c r="AW43" s="7"/>
      <c r="BB43" s="24"/>
      <c r="BC43"/>
      <c r="BG43"/>
    </row>
    <row r="44" spans="1:65" s="6" customFormat="1" x14ac:dyDescent="0.25">
      <c r="A44"/>
      <c r="B44"/>
      <c r="C44"/>
      <c r="D44"/>
      <c r="E44"/>
      <c r="F44" s="29"/>
      <c r="G44" s="30"/>
      <c r="H44" s="13"/>
      <c r="I44" s="13"/>
      <c r="J44"/>
      <c r="K44"/>
      <c r="L44"/>
      <c r="M44"/>
      <c r="N44"/>
      <c r="O44"/>
      <c r="P44"/>
      <c r="Q44"/>
      <c r="R44"/>
      <c r="S44"/>
      <c r="T44"/>
      <c r="U44" s="27"/>
      <c r="V44"/>
      <c r="W44" s="27"/>
      <c r="X44" s="27"/>
      <c r="Y44" s="27"/>
      <c r="Z44" s="27"/>
      <c r="AA44"/>
      <c r="AB44"/>
      <c r="AC44" s="27"/>
      <c r="AD44"/>
      <c r="AE44" s="27"/>
      <c r="AF44" s="31"/>
      <c r="AG44" s="32"/>
      <c r="AH44" s="13"/>
      <c r="AI44" s="13"/>
      <c r="AJ44"/>
      <c r="AK44" s="27"/>
      <c r="AL44"/>
      <c r="AM44"/>
      <c r="AN44"/>
      <c r="AO44" s="33"/>
      <c r="AP44" s="34"/>
      <c r="AQ44" s="13"/>
      <c r="AR44"/>
      <c r="AS44" s="34"/>
      <c r="AT44"/>
      <c r="AU44"/>
      <c r="AV44"/>
      <c r="AW44" s="13"/>
      <c r="AX44"/>
      <c r="AY44"/>
      <c r="AZ44"/>
      <c r="BA44"/>
      <c r="BB44" s="14"/>
      <c r="BC44"/>
      <c r="BD44"/>
      <c r="BE44"/>
      <c r="BF44"/>
      <c r="BG44" s="13"/>
      <c r="BH44"/>
      <c r="BI44"/>
      <c r="BJ44"/>
      <c r="BK44"/>
      <c r="BL44"/>
      <c r="BM44"/>
    </row>
    <row r="45" spans="1:65" s="6" customFormat="1" x14ac:dyDescent="0.25">
      <c r="F45" s="21"/>
      <c r="G45" s="10"/>
      <c r="H45" s="7"/>
      <c r="I45" s="13"/>
      <c r="U45" s="16"/>
      <c r="W45" s="16"/>
      <c r="X45" s="16"/>
      <c r="Y45" s="16"/>
      <c r="Z45" s="16"/>
      <c r="AC45" s="16"/>
      <c r="AE45" s="16"/>
      <c r="AF45" s="22"/>
      <c r="AG45" s="18"/>
      <c r="AH45" s="7"/>
      <c r="AI45" s="7"/>
      <c r="AK45" s="16"/>
      <c r="AO45" s="23"/>
      <c r="AP45" s="17"/>
      <c r="AQ45" s="7"/>
      <c r="AR45"/>
      <c r="AS45" s="17"/>
      <c r="AW45" s="7"/>
      <c r="BB45" s="24"/>
      <c r="BC45"/>
      <c r="BG45"/>
    </row>
    <row r="46" spans="1:65" s="6" customFormat="1" x14ac:dyDescent="0.25">
      <c r="F46" s="21"/>
      <c r="G46" s="10"/>
      <c r="H46" s="7"/>
      <c r="I46" s="13"/>
      <c r="U46" s="16"/>
      <c r="W46" s="16"/>
      <c r="X46" s="16"/>
      <c r="Y46" s="16"/>
      <c r="Z46" s="16"/>
      <c r="AC46" s="16"/>
      <c r="AE46" s="16"/>
      <c r="AF46" s="22"/>
      <c r="AG46" s="18"/>
      <c r="AH46" s="7"/>
      <c r="AI46" s="7"/>
      <c r="AK46" s="16"/>
      <c r="AO46" s="23"/>
      <c r="AP46" s="17"/>
      <c r="AQ46" s="7"/>
      <c r="AR46"/>
      <c r="AS46" s="17"/>
      <c r="AW46" s="7"/>
      <c r="BB46" s="24"/>
      <c r="BC46"/>
      <c r="BG46"/>
    </row>
    <row r="47" spans="1:65" s="6" customFormat="1" x14ac:dyDescent="0.25">
      <c r="F47" s="21"/>
      <c r="G47" s="10"/>
      <c r="H47" s="7"/>
      <c r="I47" s="13"/>
      <c r="U47" s="16"/>
      <c r="W47" s="16"/>
      <c r="X47" s="16"/>
      <c r="Y47" s="16"/>
      <c r="Z47" s="16"/>
      <c r="AC47" s="16"/>
      <c r="AE47" s="16"/>
      <c r="AF47" s="22"/>
      <c r="AG47" s="18"/>
      <c r="AH47" s="7"/>
      <c r="AI47" s="7"/>
      <c r="AK47" s="16"/>
      <c r="AO47" s="23"/>
      <c r="AP47" s="17"/>
      <c r="AQ47" s="7"/>
      <c r="AR47"/>
      <c r="AS47" s="17"/>
      <c r="AW47" s="7"/>
      <c r="BB47" s="24"/>
      <c r="BC47"/>
      <c r="BG47"/>
    </row>
    <row r="48" spans="1:65" s="6" customFormat="1" x14ac:dyDescent="0.25">
      <c r="A48"/>
      <c r="B48"/>
      <c r="C48"/>
      <c r="D48"/>
      <c r="E48"/>
      <c r="F48"/>
      <c r="G48"/>
      <c r="H48" s="13"/>
      <c r="I48" s="13"/>
      <c r="J48"/>
      <c r="K48"/>
      <c r="L48"/>
      <c r="M48"/>
      <c r="N48"/>
      <c r="O48"/>
      <c r="P48"/>
      <c r="Q48"/>
      <c r="R48"/>
      <c r="S48"/>
      <c r="T48"/>
      <c r="U48" s="27"/>
      <c r="V48" s="14"/>
      <c r="W48" s="27"/>
      <c r="X48" s="27"/>
      <c r="Y48" s="27"/>
      <c r="Z48" s="27"/>
      <c r="AA48"/>
      <c r="AB48"/>
      <c r="AC48" s="27"/>
      <c r="AD48"/>
      <c r="AE48" s="27"/>
      <c r="AF48" s="27"/>
      <c r="AG48" s="28"/>
      <c r="AH48" s="15"/>
      <c r="AI48" s="15"/>
      <c r="AJ48"/>
      <c r="AK48" s="27"/>
      <c r="AL48"/>
      <c r="AM48"/>
      <c r="AN48"/>
      <c r="AO48" s="27"/>
      <c r="AP48" s="27"/>
      <c r="AQ48" s="15"/>
      <c r="AR48"/>
      <c r="AS48" s="27"/>
      <c r="AT48"/>
      <c r="AU48"/>
      <c r="AV48"/>
      <c r="AW48" s="13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</row>
    <row r="49" spans="1:65" s="6" customFormat="1" x14ac:dyDescent="0.25">
      <c r="A49"/>
      <c r="B49"/>
      <c r="C49"/>
      <c r="D49"/>
      <c r="E49"/>
      <c r="F49" s="29"/>
      <c r="G49" s="30"/>
      <c r="H49" s="13"/>
      <c r="I49" s="13"/>
      <c r="J49"/>
      <c r="K49"/>
      <c r="L49"/>
      <c r="M49"/>
      <c r="N49"/>
      <c r="O49"/>
      <c r="P49"/>
      <c r="Q49"/>
      <c r="R49"/>
      <c r="S49"/>
      <c r="T49"/>
      <c r="U49" s="27"/>
      <c r="V49"/>
      <c r="W49" s="27"/>
      <c r="X49" s="27"/>
      <c r="Y49" s="27"/>
      <c r="Z49" s="27"/>
      <c r="AA49"/>
      <c r="AB49"/>
      <c r="AC49" s="27"/>
      <c r="AD49"/>
      <c r="AE49" s="27"/>
      <c r="AF49" s="31"/>
      <c r="AG49" s="32"/>
      <c r="AH49" s="13"/>
      <c r="AI49" s="13"/>
      <c r="AJ49"/>
      <c r="AK49" s="27"/>
      <c r="AL49"/>
      <c r="AM49"/>
      <c r="AN49"/>
      <c r="AO49" s="33"/>
      <c r="AP49" s="34"/>
      <c r="AQ49" s="13"/>
      <c r="AR49"/>
      <c r="AS49" s="34"/>
      <c r="AT49"/>
      <c r="AU49"/>
      <c r="AV49"/>
      <c r="AW49" s="13"/>
      <c r="AX49"/>
      <c r="AY49"/>
      <c r="AZ49"/>
      <c r="BA49"/>
      <c r="BB49" s="14"/>
      <c r="BC49"/>
      <c r="BD49"/>
      <c r="BE49"/>
      <c r="BF49"/>
      <c r="BG49" s="13"/>
      <c r="BH49"/>
      <c r="BI49"/>
      <c r="BJ49"/>
      <c r="BK49"/>
      <c r="BL49"/>
      <c r="BM49"/>
    </row>
    <row r="50" spans="1:65" s="6" customFormat="1" x14ac:dyDescent="0.25">
      <c r="A50"/>
      <c r="B50"/>
      <c r="C50"/>
      <c r="D50"/>
      <c r="E50"/>
      <c r="F50" s="29"/>
      <c r="G50" s="30"/>
      <c r="H50" s="13"/>
      <c r="I50" s="13"/>
      <c r="J50"/>
      <c r="K50"/>
      <c r="L50"/>
      <c r="M50"/>
      <c r="N50"/>
      <c r="O50"/>
      <c r="P50"/>
      <c r="Q50"/>
      <c r="R50"/>
      <c r="S50"/>
      <c r="T50"/>
      <c r="U50" s="27"/>
      <c r="V50"/>
      <c r="W50" s="27"/>
      <c r="X50" s="27"/>
      <c r="Y50" s="27"/>
      <c r="Z50" s="27"/>
      <c r="AA50"/>
      <c r="AB50"/>
      <c r="AC50" s="27"/>
      <c r="AD50"/>
      <c r="AE50" s="27"/>
      <c r="AF50" s="31"/>
      <c r="AG50" s="32"/>
      <c r="AH50" s="13"/>
      <c r="AI50" s="13"/>
      <c r="AJ50"/>
      <c r="AK50" s="27"/>
      <c r="AL50"/>
      <c r="AM50"/>
      <c r="AN50"/>
      <c r="AO50" s="33"/>
      <c r="AP50" s="34"/>
      <c r="AQ50" s="13"/>
      <c r="AR50"/>
      <c r="AS50" s="34"/>
      <c r="AT50"/>
      <c r="AU50"/>
      <c r="AV50"/>
      <c r="AW50" s="13"/>
      <c r="AX50"/>
      <c r="AY50"/>
      <c r="AZ50"/>
      <c r="BA50"/>
      <c r="BB50" s="14"/>
      <c r="BC50"/>
      <c r="BD50"/>
      <c r="BE50"/>
      <c r="BF50"/>
      <c r="BG50" s="13"/>
      <c r="BH50"/>
      <c r="BI50"/>
      <c r="BJ50"/>
      <c r="BK50"/>
      <c r="BL50"/>
      <c r="BM50"/>
    </row>
    <row r="51" spans="1:65" s="6" customFormat="1" x14ac:dyDescent="0.25">
      <c r="A51"/>
      <c r="B51"/>
      <c r="C51"/>
      <c r="D51"/>
      <c r="E51"/>
      <c r="F51"/>
      <c r="G51"/>
      <c r="H51" s="13"/>
      <c r="I51" s="13"/>
      <c r="J51"/>
      <c r="K51"/>
      <c r="L51"/>
      <c r="M51"/>
      <c r="N51"/>
      <c r="O51"/>
      <c r="P51"/>
      <c r="Q51"/>
      <c r="R51"/>
      <c r="S51"/>
      <c r="T51"/>
      <c r="U51" s="27"/>
      <c r="V51" s="14"/>
      <c r="W51" s="27"/>
      <c r="X51" s="27"/>
      <c r="Y51" s="27"/>
      <c r="Z51" s="27"/>
      <c r="AA51"/>
      <c r="AB51"/>
      <c r="AC51" s="27"/>
      <c r="AD51"/>
      <c r="AE51" s="27"/>
      <c r="AF51" s="27"/>
      <c r="AG51" s="28"/>
      <c r="AH51" s="15"/>
      <c r="AI51" s="15"/>
      <c r="AJ51"/>
      <c r="AK51" s="27"/>
      <c r="AL51"/>
      <c r="AM51"/>
      <c r="AN51"/>
      <c r="AO51" s="27"/>
      <c r="AP51" s="27"/>
      <c r="AQ51" s="15"/>
      <c r="AR51"/>
      <c r="AS51" s="27"/>
      <c r="AT51"/>
      <c r="AU51"/>
      <c r="AV51"/>
      <c r="AW51" s="13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</row>
    <row r="52" spans="1:65" s="6" customFormat="1" x14ac:dyDescent="0.25">
      <c r="A52"/>
      <c r="B52"/>
      <c r="C52"/>
      <c r="D52"/>
      <c r="E52"/>
      <c r="F52" s="29"/>
      <c r="G52" s="30"/>
      <c r="H52" s="13"/>
      <c r="I52" s="13"/>
      <c r="J52"/>
      <c r="K52"/>
      <c r="L52"/>
      <c r="M52"/>
      <c r="N52"/>
      <c r="O52"/>
      <c r="P52"/>
      <c r="Q52"/>
      <c r="R52"/>
      <c r="S52"/>
      <c r="T52"/>
      <c r="U52" s="27"/>
      <c r="V52"/>
      <c r="W52" s="27"/>
      <c r="X52" s="27"/>
      <c r="Y52" s="27"/>
      <c r="Z52" s="27"/>
      <c r="AA52"/>
      <c r="AB52"/>
      <c r="AC52" s="27"/>
      <c r="AD52"/>
      <c r="AE52" s="27"/>
      <c r="AF52" s="31"/>
      <c r="AG52" s="32"/>
      <c r="AH52" s="13"/>
      <c r="AI52" s="13"/>
      <c r="AJ52"/>
      <c r="AK52" s="27"/>
      <c r="AL52"/>
      <c r="AM52"/>
      <c r="AN52"/>
      <c r="AO52" s="33"/>
      <c r="AP52" s="34"/>
      <c r="AQ52" s="13"/>
      <c r="AR52"/>
      <c r="AS52" s="34"/>
      <c r="AT52"/>
      <c r="AU52"/>
      <c r="AV52"/>
      <c r="AW52" s="13"/>
      <c r="AX52"/>
      <c r="AY52"/>
      <c r="AZ52"/>
      <c r="BA52"/>
      <c r="BB52" s="14"/>
      <c r="BC52"/>
      <c r="BD52"/>
      <c r="BE52"/>
      <c r="BF52"/>
      <c r="BG52" s="13"/>
      <c r="BH52"/>
      <c r="BI52"/>
      <c r="BJ52"/>
      <c r="BK52"/>
      <c r="BL52"/>
      <c r="BM52"/>
    </row>
    <row r="53" spans="1:65" s="6" customFormat="1" x14ac:dyDescent="0.25">
      <c r="A53"/>
      <c r="B53"/>
      <c r="C53"/>
      <c r="D53"/>
      <c r="E53"/>
      <c r="F53"/>
      <c r="G53"/>
      <c r="H53" s="13"/>
      <c r="I53" s="13"/>
      <c r="J53"/>
      <c r="K53"/>
      <c r="L53"/>
      <c r="M53"/>
      <c r="N53"/>
      <c r="O53"/>
      <c r="P53"/>
      <c r="Q53"/>
      <c r="R53"/>
      <c r="S53"/>
      <c r="T53"/>
      <c r="U53" s="27"/>
      <c r="V53" s="14"/>
      <c r="W53" s="27"/>
      <c r="X53" s="27"/>
      <c r="Y53" s="27"/>
      <c r="Z53" s="27"/>
      <c r="AA53"/>
      <c r="AB53"/>
      <c r="AC53" s="27"/>
      <c r="AD53"/>
      <c r="AE53" s="27"/>
      <c r="AF53" s="27"/>
      <c r="AG53" s="28"/>
      <c r="AH53" s="15"/>
      <c r="AI53" s="15"/>
      <c r="AJ53"/>
      <c r="AK53" s="27"/>
      <c r="AL53"/>
      <c r="AM53"/>
      <c r="AN53"/>
      <c r="AO53" s="27"/>
      <c r="AP53" s="27"/>
      <c r="AQ53" s="15"/>
      <c r="AR53"/>
      <c r="AS53" s="27"/>
      <c r="AT53"/>
      <c r="AU53"/>
      <c r="AV53"/>
      <c r="AW53" s="1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</row>
    <row r="54" spans="1:65" s="6" customFormat="1" x14ac:dyDescent="0.25">
      <c r="A54"/>
      <c r="B54"/>
      <c r="C54"/>
      <c r="D54"/>
      <c r="E54"/>
      <c r="F54"/>
      <c r="G54"/>
      <c r="H54" s="13"/>
      <c r="I54" s="13"/>
      <c r="J54"/>
      <c r="K54"/>
      <c r="L54"/>
      <c r="M54"/>
      <c r="N54"/>
      <c r="O54"/>
      <c r="P54"/>
      <c r="Q54"/>
      <c r="R54"/>
      <c r="S54"/>
      <c r="T54"/>
      <c r="U54" s="27"/>
      <c r="V54" s="14"/>
      <c r="W54" s="27"/>
      <c r="X54" s="27"/>
      <c r="Y54" s="27"/>
      <c r="Z54" s="27"/>
      <c r="AA54"/>
      <c r="AB54"/>
      <c r="AC54" s="27"/>
      <c r="AD54"/>
      <c r="AE54" s="27"/>
      <c r="AF54" s="27"/>
      <c r="AG54" s="28"/>
      <c r="AH54" s="15"/>
      <c r="AI54" s="15"/>
      <c r="AJ54"/>
      <c r="AK54" s="27"/>
      <c r="AL54"/>
      <c r="AM54"/>
      <c r="AN54"/>
      <c r="AO54" s="27"/>
      <c r="AP54" s="27"/>
      <c r="AQ54" s="15"/>
      <c r="AR54"/>
      <c r="AS54" s="27"/>
      <c r="AT54"/>
      <c r="AU54"/>
      <c r="AV54"/>
      <c r="AW54" s="13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</row>
    <row r="55" spans="1:65" s="6" customFormat="1" x14ac:dyDescent="0.25">
      <c r="A55"/>
      <c r="B55"/>
      <c r="C55"/>
      <c r="D55"/>
      <c r="E55"/>
      <c r="F55"/>
      <c r="G55"/>
      <c r="H55" s="13"/>
      <c r="I55" s="13"/>
      <c r="J55"/>
      <c r="K55"/>
      <c r="L55"/>
      <c r="M55"/>
      <c r="N55"/>
      <c r="O55"/>
      <c r="P55"/>
      <c r="Q55"/>
      <c r="R55"/>
      <c r="S55"/>
      <c r="T55"/>
      <c r="U55" s="27"/>
      <c r="V55" s="14"/>
      <c r="W55" s="27"/>
      <c r="X55" s="27"/>
      <c r="Y55" s="27"/>
      <c r="Z55" s="27"/>
      <c r="AA55"/>
      <c r="AB55"/>
      <c r="AC55" s="27"/>
      <c r="AD55"/>
      <c r="AE55" s="27"/>
      <c r="AF55" s="27"/>
      <c r="AG55" s="28"/>
      <c r="AH55" s="15"/>
      <c r="AI55" s="15"/>
      <c r="AJ55"/>
      <c r="AK55" s="27"/>
      <c r="AL55"/>
      <c r="AM55"/>
      <c r="AN55"/>
      <c r="AO55" s="27"/>
      <c r="AP55" s="27"/>
      <c r="AQ55" s="15"/>
      <c r="AR55"/>
      <c r="AS55" s="27"/>
      <c r="AT55"/>
      <c r="AU55"/>
      <c r="AV55"/>
      <c r="AW55" s="13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</row>
    <row r="56" spans="1:65" s="6" customFormat="1" x14ac:dyDescent="0.25">
      <c r="F56" s="21"/>
      <c r="G56" s="10"/>
      <c r="H56" s="7"/>
      <c r="I56" s="7"/>
      <c r="U56" s="16"/>
      <c r="W56" s="16"/>
      <c r="X56" s="16"/>
      <c r="Y56" s="16"/>
      <c r="Z56" s="16"/>
      <c r="AC56" s="16"/>
      <c r="AE56" s="16"/>
      <c r="AF56" s="22"/>
      <c r="AG56" s="18"/>
      <c r="AH56" s="7"/>
      <c r="AI56" s="7"/>
      <c r="AK56" s="16"/>
      <c r="AO56" s="23"/>
      <c r="AP56" s="17"/>
      <c r="AQ56" s="7"/>
      <c r="AR56"/>
      <c r="AS56" s="17"/>
      <c r="AW56" s="7"/>
      <c r="BB56" s="24"/>
      <c r="BC56"/>
      <c r="BG56"/>
    </row>
    <row r="57" spans="1:65" s="6" customFormat="1" x14ac:dyDescent="0.25">
      <c r="F57" s="21"/>
      <c r="G57" s="10"/>
      <c r="H57" s="7"/>
      <c r="I57" s="13"/>
      <c r="U57" s="16"/>
      <c r="W57" s="16"/>
      <c r="X57" s="16"/>
      <c r="Y57" s="16"/>
      <c r="Z57" s="16"/>
      <c r="AC57" s="16"/>
      <c r="AE57" s="16"/>
      <c r="AF57" s="22"/>
      <c r="AG57" s="18"/>
      <c r="AH57" s="7"/>
      <c r="AI57" s="7"/>
      <c r="AK57" s="16"/>
      <c r="AO57" s="23"/>
      <c r="AP57" s="17"/>
      <c r="AQ57" s="7"/>
      <c r="AR57"/>
      <c r="AS57" s="17"/>
      <c r="AW57" s="7"/>
      <c r="BB57" s="24"/>
      <c r="BC57"/>
      <c r="BG57"/>
    </row>
    <row r="58" spans="1:65" s="6" customFormat="1" x14ac:dyDescent="0.25">
      <c r="F58" s="21"/>
      <c r="G58" s="10"/>
      <c r="H58" s="7"/>
      <c r="I58" s="7"/>
      <c r="U58" s="16"/>
      <c r="W58" s="16"/>
      <c r="X58" s="16"/>
      <c r="Y58" s="16"/>
      <c r="Z58" s="16"/>
      <c r="AC58" s="16"/>
      <c r="AE58" s="16"/>
      <c r="AF58" s="22"/>
      <c r="AG58" s="18"/>
      <c r="AH58" s="7"/>
      <c r="AI58" s="7"/>
      <c r="AK58" s="16"/>
      <c r="AO58" s="23"/>
      <c r="AP58" s="17"/>
      <c r="AQ58" s="7"/>
      <c r="AR58"/>
      <c r="AS58" s="17"/>
      <c r="AW58" s="7"/>
      <c r="BB58" s="24"/>
      <c r="BC58"/>
      <c r="BG58"/>
    </row>
    <row r="59" spans="1:65" s="6" customFormat="1" x14ac:dyDescent="0.25">
      <c r="F59" s="21"/>
      <c r="G59" s="10"/>
      <c r="H59" s="7"/>
      <c r="I59" s="13"/>
      <c r="U59" s="16"/>
      <c r="W59" s="16"/>
      <c r="X59" s="16"/>
      <c r="Y59" s="16"/>
      <c r="Z59" s="16"/>
      <c r="AC59" s="16"/>
      <c r="AE59" s="16"/>
      <c r="AF59" s="22"/>
      <c r="AG59" s="18"/>
      <c r="AH59" s="7"/>
      <c r="AI59" s="7"/>
      <c r="AK59" s="16"/>
      <c r="AO59" s="23"/>
      <c r="AP59" s="17"/>
      <c r="AQ59" s="7"/>
      <c r="AR59"/>
      <c r="AS59" s="17"/>
      <c r="AW59" s="7"/>
      <c r="BB59" s="24"/>
      <c r="BC59"/>
      <c r="BG59"/>
    </row>
    <row r="60" spans="1:65" s="6" customFormat="1" x14ac:dyDescent="0.25">
      <c r="A60"/>
      <c r="B60"/>
      <c r="C60"/>
      <c r="D60"/>
      <c r="E60"/>
      <c r="F60" s="29"/>
      <c r="G60" s="30"/>
      <c r="H60" s="13"/>
      <c r="I60" s="13"/>
      <c r="J60"/>
      <c r="K60"/>
      <c r="L60"/>
      <c r="M60"/>
      <c r="N60"/>
      <c r="O60"/>
      <c r="P60"/>
      <c r="Q60"/>
      <c r="R60"/>
      <c r="S60"/>
      <c r="T60"/>
      <c r="U60" s="27"/>
      <c r="V60"/>
      <c r="W60" s="27"/>
      <c r="X60" s="27"/>
      <c r="Y60" s="27"/>
      <c r="Z60" s="27"/>
      <c r="AA60"/>
      <c r="AB60"/>
      <c r="AC60" s="27"/>
      <c r="AD60"/>
      <c r="AE60" s="27"/>
      <c r="AF60" s="31"/>
      <c r="AG60" s="32"/>
      <c r="AH60" s="13"/>
      <c r="AI60" s="13"/>
      <c r="AJ60"/>
      <c r="AK60" s="27"/>
      <c r="AL60"/>
      <c r="AM60"/>
      <c r="AN60"/>
      <c r="AO60" s="33"/>
      <c r="AP60" s="34"/>
      <c r="AQ60" s="13"/>
      <c r="AR60"/>
      <c r="AS60" s="34"/>
      <c r="AT60"/>
      <c r="AU60"/>
      <c r="AV60"/>
      <c r="AW60" s="13"/>
      <c r="AX60"/>
      <c r="AY60"/>
      <c r="AZ60"/>
      <c r="BA60"/>
      <c r="BB60" s="14"/>
      <c r="BC60"/>
      <c r="BD60"/>
      <c r="BE60"/>
      <c r="BF60"/>
      <c r="BG60" s="13"/>
      <c r="BH60"/>
      <c r="BI60"/>
      <c r="BJ60"/>
      <c r="BK60"/>
      <c r="BL60"/>
      <c r="BM60"/>
    </row>
    <row r="61" spans="1:65" s="6" customFormat="1" x14ac:dyDescent="0.25">
      <c r="A61"/>
      <c r="B61"/>
      <c r="C61"/>
      <c r="D61"/>
      <c r="E61"/>
      <c r="F61"/>
      <c r="G61"/>
      <c r="H61" s="13"/>
      <c r="I61" s="13"/>
      <c r="J61"/>
      <c r="K61"/>
      <c r="L61"/>
      <c r="M61"/>
      <c r="N61"/>
      <c r="O61"/>
      <c r="P61"/>
      <c r="Q61"/>
      <c r="R61"/>
      <c r="S61"/>
      <c r="T61"/>
      <c r="U61" s="27"/>
      <c r="V61" s="14"/>
      <c r="W61" s="27"/>
      <c r="X61" s="27"/>
      <c r="Y61" s="27"/>
      <c r="Z61" s="27"/>
      <c r="AA61"/>
      <c r="AB61"/>
      <c r="AC61" s="27"/>
      <c r="AD61"/>
      <c r="AE61" s="27"/>
      <c r="AF61" s="27"/>
      <c r="AG61" s="28"/>
      <c r="AH61" s="15"/>
      <c r="AI61" s="15"/>
      <c r="AJ61"/>
      <c r="AK61" s="27"/>
      <c r="AL61"/>
      <c r="AM61"/>
      <c r="AN61"/>
      <c r="AO61" s="27"/>
      <c r="AP61" s="27"/>
      <c r="AQ61" s="15"/>
      <c r="AR61"/>
      <c r="AS61" s="27"/>
      <c r="AT61"/>
      <c r="AU61"/>
      <c r="AV61"/>
      <c r="AW61" s="13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</row>
    <row r="62" spans="1:65" s="6" customFormat="1" x14ac:dyDescent="0.25">
      <c r="F62" s="21"/>
      <c r="G62" s="10"/>
      <c r="H62" s="7"/>
      <c r="I62" s="13"/>
      <c r="U62" s="16"/>
      <c r="W62" s="16"/>
      <c r="X62" s="16"/>
      <c r="Y62" s="16"/>
      <c r="Z62" s="16"/>
      <c r="AC62" s="16"/>
      <c r="AE62" s="16"/>
      <c r="AF62" s="22"/>
      <c r="AG62" s="18"/>
      <c r="AH62" s="7"/>
      <c r="AI62" s="7"/>
      <c r="AK62" s="16"/>
      <c r="AO62" s="23"/>
      <c r="AP62" s="17"/>
      <c r="AQ62" s="7"/>
      <c r="AR62"/>
      <c r="AS62" s="17"/>
      <c r="AV62"/>
      <c r="AW62" s="7"/>
      <c r="BB62" s="24"/>
      <c r="BC62"/>
      <c r="BG62"/>
    </row>
    <row r="63" spans="1:65" s="6" customFormat="1" x14ac:dyDescent="0.25">
      <c r="A63"/>
      <c r="B63"/>
      <c r="C63"/>
      <c r="D63"/>
      <c r="E63"/>
      <c r="F63"/>
      <c r="G63"/>
      <c r="H63" s="13"/>
      <c r="I63" s="13"/>
      <c r="J63"/>
      <c r="K63"/>
      <c r="L63"/>
      <c r="M63"/>
      <c r="N63"/>
      <c r="O63"/>
      <c r="P63"/>
      <c r="Q63"/>
      <c r="R63"/>
      <c r="S63"/>
      <c r="T63"/>
      <c r="U63" s="27"/>
      <c r="V63" s="14"/>
      <c r="W63" s="27"/>
      <c r="X63" s="27"/>
      <c r="Y63" s="27"/>
      <c r="Z63" s="27"/>
      <c r="AA63"/>
      <c r="AB63"/>
      <c r="AC63" s="27"/>
      <c r="AD63"/>
      <c r="AE63" s="27"/>
      <c r="AF63" s="27"/>
      <c r="AG63" s="28"/>
      <c r="AH63" s="15"/>
      <c r="AI63" s="15"/>
      <c r="AJ63"/>
      <c r="AK63" s="27"/>
      <c r="AL63"/>
      <c r="AM63"/>
      <c r="AN63"/>
      <c r="AO63" s="27"/>
      <c r="AP63" s="27"/>
      <c r="AQ63" s="15"/>
      <c r="AR63"/>
      <c r="AS63" s="27"/>
      <c r="AT63"/>
      <c r="AU63"/>
      <c r="AV63"/>
      <c r="AW63" s="1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</row>
    <row r="64" spans="1:65" s="6" customFormat="1" x14ac:dyDescent="0.25">
      <c r="F64" s="21"/>
      <c r="G64" s="10"/>
      <c r="H64" s="7"/>
      <c r="I64" s="7"/>
      <c r="U64" s="16"/>
      <c r="W64" s="16"/>
      <c r="X64" s="16"/>
      <c r="Y64" s="16"/>
      <c r="Z64" s="16"/>
      <c r="AC64" s="16"/>
      <c r="AE64" s="16"/>
      <c r="AF64" s="22"/>
      <c r="AG64" s="18"/>
      <c r="AH64" s="7"/>
      <c r="AI64" s="7"/>
      <c r="AK64" s="16"/>
      <c r="AO64" s="23"/>
      <c r="AP64" s="17"/>
      <c r="AQ64" s="7"/>
      <c r="AR64"/>
      <c r="AS64" s="17"/>
      <c r="AW64" s="7"/>
      <c r="BB64" s="24"/>
      <c r="BC64"/>
      <c r="BG64"/>
    </row>
    <row r="65" spans="1:65" s="6" customFormat="1" x14ac:dyDescent="0.25">
      <c r="F65" s="21"/>
      <c r="G65" s="10"/>
      <c r="H65" s="7"/>
      <c r="I65" s="13"/>
      <c r="U65" s="16"/>
      <c r="W65" s="16"/>
      <c r="X65" s="16"/>
      <c r="Y65" s="16"/>
      <c r="Z65" s="16"/>
      <c r="AC65" s="16"/>
      <c r="AE65" s="16"/>
      <c r="AF65" s="22"/>
      <c r="AG65" s="18"/>
      <c r="AH65" s="7"/>
      <c r="AI65" s="7"/>
      <c r="AK65" s="16"/>
      <c r="AO65" s="23"/>
      <c r="AP65" s="17"/>
      <c r="AQ65" s="7"/>
      <c r="AR65"/>
      <c r="AS65" s="17"/>
      <c r="AV65"/>
      <c r="AW65" s="7"/>
      <c r="BB65" s="24"/>
      <c r="BC65"/>
      <c r="BG65"/>
    </row>
    <row r="66" spans="1:65" s="6" customFormat="1" x14ac:dyDescent="0.25">
      <c r="A66"/>
      <c r="B66"/>
      <c r="C66"/>
      <c r="D66"/>
      <c r="E66"/>
      <c r="F66"/>
      <c r="G66"/>
      <c r="H66" s="13"/>
      <c r="I66" s="13"/>
      <c r="J66"/>
      <c r="K66"/>
      <c r="L66"/>
      <c r="M66"/>
      <c r="N66"/>
      <c r="O66"/>
      <c r="P66"/>
      <c r="Q66"/>
      <c r="R66"/>
      <c r="S66"/>
      <c r="T66"/>
      <c r="U66" s="27"/>
      <c r="V66" s="14"/>
      <c r="W66" s="27"/>
      <c r="X66" s="27"/>
      <c r="Y66" s="27"/>
      <c r="Z66" s="27"/>
      <c r="AA66"/>
      <c r="AB66"/>
      <c r="AC66" s="27"/>
      <c r="AD66"/>
      <c r="AE66" s="27"/>
      <c r="AF66" s="27"/>
      <c r="AG66" s="28"/>
      <c r="AH66" s="15"/>
      <c r="AI66" s="15"/>
      <c r="AJ66"/>
      <c r="AK66" s="27"/>
      <c r="AL66"/>
      <c r="AM66"/>
      <c r="AN66"/>
      <c r="AO66" s="27"/>
      <c r="AP66" s="27"/>
      <c r="AQ66" s="15"/>
      <c r="AR66"/>
      <c r="AS66" s="27"/>
      <c r="AT66"/>
      <c r="AU66"/>
      <c r="AW66" s="13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</row>
    <row r="67" spans="1:65" s="6" customFormat="1" x14ac:dyDescent="0.25">
      <c r="F67" s="21"/>
      <c r="G67" s="10"/>
      <c r="H67" s="7"/>
      <c r="I67" s="7"/>
      <c r="U67" s="16"/>
      <c r="W67" s="16"/>
      <c r="X67" s="16"/>
      <c r="Y67" s="16"/>
      <c r="Z67" s="16"/>
      <c r="AC67" s="16"/>
      <c r="AE67" s="16"/>
      <c r="AF67" s="22"/>
      <c r="AG67" s="18"/>
      <c r="AH67" s="7"/>
      <c r="AI67" s="7"/>
      <c r="AK67" s="16"/>
      <c r="AO67" s="23"/>
      <c r="AP67" s="17"/>
      <c r="AQ67" s="7"/>
      <c r="AR67"/>
      <c r="AS67" s="17"/>
      <c r="AW67" s="7"/>
      <c r="BB67" s="24"/>
      <c r="BC67"/>
      <c r="BG67"/>
    </row>
    <row r="68" spans="1:65" s="6" customFormat="1" x14ac:dyDescent="0.25">
      <c r="F68" s="21"/>
      <c r="G68" s="10"/>
      <c r="H68" s="7"/>
      <c r="I68" s="13"/>
      <c r="U68" s="16"/>
      <c r="W68" s="16"/>
      <c r="X68" s="16"/>
      <c r="Y68" s="16"/>
      <c r="Z68" s="16"/>
      <c r="AC68" s="16"/>
      <c r="AE68" s="16"/>
      <c r="AF68" s="22"/>
      <c r="AG68" s="18"/>
      <c r="AH68" s="7"/>
      <c r="AI68" s="7"/>
      <c r="AK68" s="16"/>
      <c r="AO68" s="23"/>
      <c r="AP68" s="17"/>
      <c r="AQ68" s="7"/>
      <c r="AR68"/>
      <c r="AS68" s="17"/>
      <c r="AV68"/>
      <c r="AW68" s="7"/>
      <c r="BB68" s="24"/>
      <c r="BC68"/>
      <c r="BG68"/>
    </row>
    <row r="69" spans="1:65" s="6" customFormat="1" x14ac:dyDescent="0.25">
      <c r="H69" s="7"/>
      <c r="I69" s="13"/>
      <c r="U69" s="16"/>
      <c r="W69" s="16"/>
      <c r="X69" s="16"/>
      <c r="Y69" s="16"/>
      <c r="Z69" s="16"/>
      <c r="AC69" s="16"/>
      <c r="AE69" s="16"/>
      <c r="AF69" s="16"/>
      <c r="AG69" s="18"/>
      <c r="AH69" s="7"/>
      <c r="AI69" s="7"/>
      <c r="AK69" s="16"/>
      <c r="AO69" s="16"/>
      <c r="AP69" s="16"/>
      <c r="AQ69" s="7"/>
      <c r="AR69"/>
      <c r="AS69" s="16"/>
      <c r="AW69" s="7"/>
      <c r="BC69"/>
      <c r="BG69"/>
    </row>
    <row r="70" spans="1:65" s="6" customFormat="1" x14ac:dyDescent="0.25">
      <c r="A70"/>
      <c r="B70"/>
      <c r="C70"/>
      <c r="D70"/>
      <c r="E70"/>
      <c r="F70"/>
      <c r="G70"/>
      <c r="H70" s="13"/>
      <c r="I70" s="13"/>
      <c r="J70"/>
      <c r="K70"/>
      <c r="L70"/>
      <c r="M70"/>
      <c r="N70"/>
      <c r="O70"/>
      <c r="P70"/>
      <c r="Q70"/>
      <c r="R70"/>
      <c r="S70"/>
      <c r="T70"/>
      <c r="U70" s="27"/>
      <c r="V70" s="14"/>
      <c r="W70" s="27"/>
      <c r="X70" s="27"/>
      <c r="Y70" s="27"/>
      <c r="Z70" s="27"/>
      <c r="AA70"/>
      <c r="AB70"/>
      <c r="AC70" s="27"/>
      <c r="AD70"/>
      <c r="AE70" s="27"/>
      <c r="AF70" s="27"/>
      <c r="AG70" s="28"/>
      <c r="AH70" s="15"/>
      <c r="AI70" s="15"/>
      <c r="AJ70"/>
      <c r="AK70" s="27"/>
      <c r="AL70"/>
      <c r="AM70"/>
      <c r="AN70"/>
      <c r="AO70" s="27"/>
      <c r="AP70" s="27"/>
      <c r="AQ70" s="15"/>
      <c r="AR70"/>
      <c r="AS70" s="27"/>
      <c r="AT70"/>
      <c r="AU70"/>
      <c r="AV70"/>
      <c r="AW70" s="13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</row>
    <row r="71" spans="1:65" s="6" customFormat="1" x14ac:dyDescent="0.25">
      <c r="A71"/>
      <c r="B71"/>
      <c r="C71"/>
      <c r="D71"/>
      <c r="E71"/>
      <c r="F71"/>
      <c r="G71"/>
      <c r="H71" s="13"/>
      <c r="I71" s="13"/>
      <c r="J71"/>
      <c r="K71"/>
      <c r="L71"/>
      <c r="M71"/>
      <c r="N71"/>
      <c r="O71"/>
      <c r="P71"/>
      <c r="Q71"/>
      <c r="R71"/>
      <c r="S71"/>
      <c r="T71"/>
      <c r="U71" s="27"/>
      <c r="V71" s="14"/>
      <c r="W71" s="27"/>
      <c r="X71" s="27"/>
      <c r="Y71" s="27"/>
      <c r="Z71" s="27"/>
      <c r="AA71"/>
      <c r="AB71"/>
      <c r="AC71" s="27"/>
      <c r="AD71"/>
      <c r="AE71" s="27"/>
      <c r="AF71" s="27"/>
      <c r="AG71" s="28"/>
      <c r="AH71" s="15"/>
      <c r="AI71" s="15"/>
      <c r="AJ71"/>
      <c r="AK71" s="27"/>
      <c r="AL71"/>
      <c r="AM71"/>
      <c r="AN71"/>
      <c r="AO71" s="27"/>
      <c r="AP71" s="27"/>
      <c r="AQ71" s="15"/>
      <c r="AR71"/>
      <c r="AS71" s="27"/>
      <c r="AT71"/>
      <c r="AU71"/>
      <c r="AV71"/>
      <c r="AW71" s="13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</row>
    <row r="72" spans="1:65" s="6" customFormat="1" x14ac:dyDescent="0.25">
      <c r="F72" s="21"/>
      <c r="G72" s="10"/>
      <c r="H72" s="7"/>
      <c r="I72" s="13"/>
      <c r="U72" s="16"/>
      <c r="W72" s="16"/>
      <c r="X72" s="16"/>
      <c r="Y72" s="16"/>
      <c r="Z72" s="16"/>
      <c r="AC72" s="16"/>
      <c r="AE72" s="16"/>
      <c r="AF72" s="22"/>
      <c r="AG72" s="18"/>
      <c r="AH72" s="7"/>
      <c r="AI72" s="7"/>
      <c r="AK72" s="16"/>
      <c r="AO72" s="23"/>
      <c r="AP72" s="17"/>
      <c r="AQ72" s="7"/>
      <c r="AR72"/>
      <c r="AS72" s="17"/>
      <c r="AW72" s="7"/>
      <c r="BB72" s="24"/>
      <c r="BC72"/>
      <c r="BG72"/>
    </row>
    <row r="73" spans="1:65" s="6" customFormat="1" x14ac:dyDescent="0.25">
      <c r="F73" s="21"/>
      <c r="G73" s="10"/>
      <c r="H73" s="7"/>
      <c r="I73" s="7"/>
      <c r="U73" s="16"/>
      <c r="W73" s="16"/>
      <c r="X73" s="16"/>
      <c r="Y73" s="16"/>
      <c r="Z73" s="16"/>
      <c r="AC73" s="16"/>
      <c r="AE73" s="16"/>
      <c r="AF73" s="22"/>
      <c r="AG73" s="18"/>
      <c r="AH73" s="7"/>
      <c r="AI73" s="7"/>
      <c r="AK73" s="16"/>
      <c r="AO73" s="23"/>
      <c r="AP73" s="17"/>
      <c r="AQ73" s="7"/>
      <c r="AR73"/>
      <c r="AS73" s="17"/>
      <c r="AW73" s="7"/>
      <c r="BB73" s="24"/>
      <c r="BC73"/>
      <c r="BG73"/>
    </row>
    <row r="74" spans="1:65" s="6" customFormat="1" x14ac:dyDescent="0.25">
      <c r="F74" s="21"/>
      <c r="G74" s="10"/>
      <c r="H74" s="7"/>
      <c r="I74" s="13"/>
      <c r="U74" s="16"/>
      <c r="W74" s="16"/>
      <c r="X74" s="16"/>
      <c r="Y74" s="16"/>
      <c r="Z74" s="16"/>
      <c r="AC74" s="16"/>
      <c r="AE74" s="16"/>
      <c r="AF74" s="22"/>
      <c r="AG74" s="18"/>
      <c r="AH74" s="7"/>
      <c r="AI74" s="7"/>
      <c r="AK74" s="16"/>
      <c r="AO74" s="23"/>
      <c r="AP74" s="17"/>
      <c r="AQ74" s="7"/>
      <c r="AR74"/>
      <c r="AS74" s="17"/>
      <c r="AV74"/>
      <c r="AW74" s="7"/>
      <c r="BB74" s="24"/>
      <c r="BC74"/>
      <c r="BG74"/>
    </row>
    <row r="75" spans="1:65" s="6" customFormat="1" x14ac:dyDescent="0.25">
      <c r="A75"/>
      <c r="B75"/>
      <c r="C75"/>
      <c r="D75"/>
      <c r="E75"/>
      <c r="F75"/>
      <c r="G75"/>
      <c r="H75" s="13"/>
      <c r="I75" s="13"/>
      <c r="J75"/>
      <c r="K75"/>
      <c r="L75"/>
      <c r="M75"/>
      <c r="N75"/>
      <c r="O75"/>
      <c r="P75"/>
      <c r="Q75"/>
      <c r="R75"/>
      <c r="S75"/>
      <c r="T75"/>
      <c r="U75" s="27"/>
      <c r="V75" s="14"/>
      <c r="W75" s="27"/>
      <c r="X75" s="27"/>
      <c r="Y75" s="27"/>
      <c r="Z75" s="27"/>
      <c r="AA75"/>
      <c r="AB75"/>
      <c r="AC75" s="27"/>
      <c r="AD75"/>
      <c r="AE75" s="27"/>
      <c r="AF75" s="27"/>
      <c r="AG75" s="28"/>
      <c r="AH75" s="15"/>
      <c r="AI75" s="15"/>
      <c r="AJ75"/>
      <c r="AK75" s="27"/>
      <c r="AL75"/>
      <c r="AM75"/>
      <c r="AN75"/>
      <c r="AO75" s="27"/>
      <c r="AP75" s="27"/>
      <c r="AQ75" s="15"/>
      <c r="AR75"/>
      <c r="AS75" s="27"/>
      <c r="AT75"/>
      <c r="AU75"/>
      <c r="AW75" s="13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</row>
    <row r="76" spans="1:65" s="6" customFormat="1" x14ac:dyDescent="0.25">
      <c r="F76" s="21"/>
      <c r="G76" s="10"/>
      <c r="H76" s="7"/>
      <c r="I76" s="7"/>
      <c r="U76" s="16"/>
      <c r="W76" s="16"/>
      <c r="X76" s="16"/>
      <c r="Y76" s="16"/>
      <c r="Z76" s="16"/>
      <c r="AC76" s="16"/>
      <c r="AE76" s="16"/>
      <c r="AF76" s="22"/>
      <c r="AG76" s="18"/>
      <c r="AH76" s="7"/>
      <c r="AI76" s="7"/>
      <c r="AK76" s="16"/>
      <c r="AO76" s="23"/>
      <c r="AP76" s="17"/>
      <c r="AQ76" s="7"/>
      <c r="AR76"/>
      <c r="AS76" s="17"/>
      <c r="AW76" s="7"/>
      <c r="BB76" s="24"/>
      <c r="BC76"/>
      <c r="BG76"/>
    </row>
    <row r="77" spans="1:65" s="6" customFormat="1" x14ac:dyDescent="0.25">
      <c r="F77" s="21"/>
      <c r="G77" s="10"/>
      <c r="H77" s="7"/>
      <c r="I77" s="13"/>
      <c r="U77" s="16"/>
      <c r="W77" s="16"/>
      <c r="X77" s="16"/>
      <c r="Y77" s="16"/>
      <c r="Z77" s="16"/>
      <c r="AC77" s="16"/>
      <c r="AE77" s="16"/>
      <c r="AF77" s="22"/>
      <c r="AG77" s="18"/>
      <c r="AH77" s="7"/>
      <c r="AI77" s="7"/>
      <c r="AK77" s="16"/>
      <c r="AO77" s="23"/>
      <c r="AP77" s="17"/>
      <c r="AQ77" s="7"/>
      <c r="AR77"/>
      <c r="AS77" s="17"/>
      <c r="AV77"/>
      <c r="AW77" s="7"/>
      <c r="BB77" s="24"/>
      <c r="BC77"/>
      <c r="BG77"/>
    </row>
    <row r="78" spans="1:65" s="6" customFormat="1" x14ac:dyDescent="0.25">
      <c r="F78" s="21"/>
      <c r="G78" s="10"/>
      <c r="H78" s="7"/>
      <c r="I78" s="13"/>
      <c r="U78" s="16"/>
      <c r="W78" s="16"/>
      <c r="X78" s="16"/>
      <c r="Y78" s="16"/>
      <c r="Z78" s="16"/>
      <c r="AC78" s="16"/>
      <c r="AE78" s="16"/>
      <c r="AF78" s="22"/>
      <c r="AG78" s="18"/>
      <c r="AH78" s="7"/>
      <c r="AI78" s="7"/>
      <c r="AK78" s="16"/>
      <c r="AO78" s="23"/>
      <c r="AP78" s="17"/>
      <c r="AQ78" s="7"/>
      <c r="AR78"/>
      <c r="AS78" s="17"/>
      <c r="AW78" s="7"/>
      <c r="BB78" s="24"/>
      <c r="BC78"/>
      <c r="BG78"/>
    </row>
    <row r="79" spans="1:65" s="6" customFormat="1" x14ac:dyDescent="0.25">
      <c r="A79"/>
      <c r="B79"/>
      <c r="C79"/>
      <c r="D79"/>
      <c r="E79"/>
      <c r="F79"/>
      <c r="G79"/>
      <c r="H79" s="13"/>
      <c r="I79" s="13"/>
      <c r="J79"/>
      <c r="K79"/>
      <c r="L79"/>
      <c r="M79"/>
      <c r="N79"/>
      <c r="O79"/>
      <c r="P79"/>
      <c r="Q79"/>
      <c r="R79"/>
      <c r="S79"/>
      <c r="T79"/>
      <c r="U79" s="27"/>
      <c r="V79" s="14"/>
      <c r="W79" s="27"/>
      <c r="X79" s="27"/>
      <c r="Y79" s="27"/>
      <c r="Z79" s="27"/>
      <c r="AA79"/>
      <c r="AB79"/>
      <c r="AC79" s="27"/>
      <c r="AD79"/>
      <c r="AE79" s="27"/>
      <c r="AF79" s="27"/>
      <c r="AG79" s="28"/>
      <c r="AH79" s="15"/>
      <c r="AI79" s="15"/>
      <c r="AJ79"/>
      <c r="AK79" s="27"/>
      <c r="AL79"/>
      <c r="AM79"/>
      <c r="AN79"/>
      <c r="AO79" s="27"/>
      <c r="AP79" s="27"/>
      <c r="AQ79" s="15"/>
      <c r="AR79"/>
      <c r="AS79" s="27"/>
      <c r="AT79"/>
      <c r="AU79"/>
      <c r="AV79"/>
      <c r="AW79" s="13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</row>
    <row r="80" spans="1:65" s="6" customFormat="1" x14ac:dyDescent="0.25">
      <c r="A80"/>
      <c r="B80"/>
      <c r="C80"/>
      <c r="D80"/>
      <c r="E80"/>
      <c r="F80"/>
      <c r="G80"/>
      <c r="H80" s="13"/>
      <c r="I80" s="13"/>
      <c r="J80"/>
      <c r="K80"/>
      <c r="L80"/>
      <c r="M80"/>
      <c r="N80"/>
      <c r="O80"/>
      <c r="P80"/>
      <c r="Q80"/>
      <c r="R80"/>
      <c r="S80"/>
      <c r="T80"/>
      <c r="U80" s="27"/>
      <c r="V80" s="14"/>
      <c r="W80" s="27"/>
      <c r="X80" s="27"/>
      <c r="Y80" s="27"/>
      <c r="Z80" s="27"/>
      <c r="AA80"/>
      <c r="AB80"/>
      <c r="AC80" s="27"/>
      <c r="AD80"/>
      <c r="AE80" s="27"/>
      <c r="AF80" s="27"/>
      <c r="AG80" s="28"/>
      <c r="AH80" s="15"/>
      <c r="AI80" s="15"/>
      <c r="AJ80"/>
      <c r="AK80" s="27"/>
      <c r="AL80"/>
      <c r="AM80"/>
      <c r="AN80"/>
      <c r="AO80" s="27"/>
      <c r="AP80" s="27"/>
      <c r="AQ80" s="15"/>
      <c r="AR80"/>
      <c r="AS80" s="27"/>
      <c r="AT80"/>
      <c r="AU80"/>
      <c r="AV80"/>
      <c r="AW80" s="13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</row>
    <row r="81" spans="1:65" s="6" customFormat="1" x14ac:dyDescent="0.25">
      <c r="F81" s="21"/>
      <c r="G81" s="10"/>
      <c r="H81" s="7"/>
      <c r="I81" s="13"/>
      <c r="U81" s="16"/>
      <c r="W81" s="16"/>
      <c r="X81" s="16"/>
      <c r="Y81" s="16"/>
      <c r="Z81" s="16"/>
      <c r="AC81" s="16"/>
      <c r="AE81" s="16"/>
      <c r="AF81" s="22"/>
      <c r="AG81" s="18"/>
      <c r="AH81" s="7"/>
      <c r="AI81" s="7"/>
      <c r="AK81" s="16"/>
      <c r="AO81" s="23"/>
      <c r="AP81" s="17"/>
      <c r="AQ81" s="7"/>
      <c r="AR81"/>
      <c r="AS81" s="17"/>
      <c r="AW81" s="7"/>
      <c r="BB81" s="24"/>
      <c r="BC81"/>
      <c r="BG81"/>
    </row>
    <row r="82" spans="1:65" s="6" customFormat="1" x14ac:dyDescent="0.25">
      <c r="F82" s="21"/>
      <c r="G82" s="10"/>
      <c r="H82" s="7"/>
      <c r="I82" s="7"/>
      <c r="U82" s="16"/>
      <c r="W82" s="16"/>
      <c r="X82" s="16"/>
      <c r="Y82" s="16"/>
      <c r="Z82" s="16"/>
      <c r="AC82" s="16"/>
      <c r="AE82" s="16"/>
      <c r="AF82" s="22"/>
      <c r="AG82" s="18"/>
      <c r="AH82" s="7"/>
      <c r="AI82" s="7"/>
      <c r="AK82" s="16"/>
      <c r="AO82" s="23"/>
      <c r="AP82" s="17"/>
      <c r="AQ82" s="7"/>
      <c r="AR82"/>
      <c r="AS82" s="17"/>
      <c r="AW82" s="7"/>
      <c r="BB82" s="24"/>
      <c r="BC82"/>
      <c r="BG82"/>
    </row>
    <row r="83" spans="1:65" s="6" customFormat="1" x14ac:dyDescent="0.25">
      <c r="F83" s="21"/>
      <c r="G83" s="10"/>
      <c r="H83" s="7"/>
      <c r="I83" s="13"/>
      <c r="U83" s="16"/>
      <c r="W83" s="16"/>
      <c r="X83" s="16"/>
      <c r="Y83" s="16"/>
      <c r="Z83" s="16"/>
      <c r="AC83" s="16"/>
      <c r="AE83" s="16"/>
      <c r="AF83" s="22"/>
      <c r="AG83" s="18"/>
      <c r="AH83" s="7"/>
      <c r="AI83" s="7"/>
      <c r="AK83" s="16"/>
      <c r="AO83" s="23"/>
      <c r="AP83" s="17"/>
      <c r="AQ83" s="7"/>
      <c r="AR83"/>
      <c r="AS83" s="17"/>
      <c r="AV83"/>
      <c r="AW83" s="7"/>
      <c r="BB83" s="24"/>
      <c r="BC83"/>
      <c r="BG83"/>
    </row>
    <row r="84" spans="1:65" s="6" customFormat="1" x14ac:dyDescent="0.25">
      <c r="A84"/>
      <c r="B84"/>
      <c r="C84"/>
      <c r="D84"/>
      <c r="E84"/>
      <c r="F84"/>
      <c r="G84"/>
      <c r="H84" s="13"/>
      <c r="I84" s="13"/>
      <c r="J84"/>
      <c r="K84"/>
      <c r="L84"/>
      <c r="M84"/>
      <c r="N84"/>
      <c r="O84"/>
      <c r="P84"/>
      <c r="Q84"/>
      <c r="R84"/>
      <c r="S84"/>
      <c r="T84"/>
      <c r="U84" s="27"/>
      <c r="V84" s="14"/>
      <c r="W84" s="27"/>
      <c r="X84" s="27"/>
      <c r="Y84" s="27"/>
      <c r="Z84" s="27"/>
      <c r="AA84"/>
      <c r="AB84"/>
      <c r="AC84" s="27"/>
      <c r="AD84"/>
      <c r="AE84" s="27"/>
      <c r="AF84" s="27"/>
      <c r="AG84" s="28"/>
      <c r="AH84" s="15"/>
      <c r="AI84" s="15"/>
      <c r="AJ84"/>
      <c r="AK84" s="27"/>
      <c r="AL84"/>
      <c r="AM84"/>
      <c r="AN84"/>
      <c r="AO84" s="27"/>
      <c r="AP84" s="27"/>
      <c r="AQ84" s="15"/>
      <c r="AR84"/>
      <c r="AS84" s="27"/>
      <c r="AT84"/>
      <c r="AU84"/>
      <c r="AW84" s="13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</row>
    <row r="85" spans="1:65" s="6" customFormat="1" x14ac:dyDescent="0.25">
      <c r="F85" s="21"/>
      <c r="G85" s="10"/>
      <c r="H85" s="7"/>
      <c r="I85" s="7"/>
      <c r="U85" s="16"/>
      <c r="W85" s="16"/>
      <c r="X85" s="16"/>
      <c r="Y85" s="16"/>
      <c r="Z85" s="16"/>
      <c r="AC85" s="16"/>
      <c r="AE85" s="16"/>
      <c r="AF85" s="22"/>
      <c r="AG85" s="18"/>
      <c r="AH85" s="7"/>
      <c r="AI85" s="7"/>
      <c r="AK85" s="16"/>
      <c r="AO85" s="23"/>
      <c r="AP85" s="17"/>
      <c r="AQ85" s="7"/>
      <c r="AR85"/>
      <c r="AS85" s="17"/>
      <c r="AW85" s="7"/>
      <c r="BB85" s="24"/>
      <c r="BC85"/>
      <c r="BG85"/>
    </row>
    <row r="86" spans="1:65" s="6" customFormat="1" x14ac:dyDescent="0.25">
      <c r="F86" s="21"/>
      <c r="G86" s="10"/>
      <c r="H86" s="7"/>
      <c r="I86" s="13"/>
      <c r="U86" s="16"/>
      <c r="W86" s="16"/>
      <c r="X86" s="16"/>
      <c r="Y86" s="16"/>
      <c r="Z86" s="16"/>
      <c r="AC86" s="16"/>
      <c r="AE86" s="16"/>
      <c r="AF86" s="22"/>
      <c r="AG86" s="18"/>
      <c r="AH86" s="7"/>
      <c r="AI86" s="7"/>
      <c r="AK86" s="16"/>
      <c r="AO86" s="23"/>
      <c r="AP86" s="17"/>
      <c r="AQ86" s="7"/>
      <c r="AR86"/>
      <c r="AS86" s="17"/>
      <c r="AV86"/>
      <c r="AW86" s="7"/>
      <c r="BB86" s="24"/>
      <c r="BC86"/>
      <c r="BG86"/>
    </row>
    <row r="87" spans="1:65" s="6" customFormat="1" x14ac:dyDescent="0.25">
      <c r="F87" s="21"/>
      <c r="G87" s="10"/>
      <c r="H87" s="7"/>
      <c r="I87" s="13"/>
      <c r="U87" s="16"/>
      <c r="W87" s="16"/>
      <c r="X87" s="16"/>
      <c r="Y87" s="16"/>
      <c r="Z87" s="16"/>
      <c r="AC87" s="16"/>
      <c r="AE87" s="16"/>
      <c r="AF87" s="22"/>
      <c r="AG87" s="18"/>
      <c r="AH87" s="7"/>
      <c r="AI87" s="7"/>
      <c r="AK87" s="16"/>
      <c r="AO87" s="23"/>
      <c r="AP87" s="17"/>
      <c r="AQ87" s="7"/>
      <c r="AR87"/>
      <c r="AS87" s="17"/>
      <c r="AW87" s="7"/>
      <c r="BB87" s="24"/>
      <c r="BC87"/>
      <c r="BG87"/>
    </row>
    <row r="88" spans="1:65" s="6" customFormat="1" x14ac:dyDescent="0.25">
      <c r="A88"/>
      <c r="B88"/>
      <c r="C88"/>
      <c r="D88"/>
      <c r="E88"/>
      <c r="F88"/>
      <c r="G88"/>
      <c r="H88" s="13"/>
      <c r="I88" s="13"/>
      <c r="J88"/>
      <c r="K88"/>
      <c r="L88"/>
      <c r="M88"/>
      <c r="N88"/>
      <c r="O88"/>
      <c r="P88"/>
      <c r="Q88"/>
      <c r="R88"/>
      <c r="S88"/>
      <c r="T88"/>
      <c r="U88" s="27"/>
      <c r="V88" s="14"/>
      <c r="W88" s="27"/>
      <c r="X88" s="27"/>
      <c r="Y88" s="27"/>
      <c r="Z88" s="27"/>
      <c r="AA88"/>
      <c r="AB88"/>
      <c r="AC88" s="27"/>
      <c r="AD88"/>
      <c r="AE88" s="27"/>
      <c r="AF88" s="27"/>
      <c r="AG88" s="28"/>
      <c r="AH88" s="15"/>
      <c r="AI88" s="15"/>
      <c r="AJ88"/>
      <c r="AK88" s="27"/>
      <c r="AL88"/>
      <c r="AM88"/>
      <c r="AN88"/>
      <c r="AO88" s="27"/>
      <c r="AP88" s="27"/>
      <c r="AQ88" s="15"/>
      <c r="AR88"/>
      <c r="AS88" s="27"/>
      <c r="AT88"/>
      <c r="AU88"/>
      <c r="AV88"/>
      <c r="AW88" s="13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</row>
    <row r="89" spans="1:65" s="6" customFormat="1" x14ac:dyDescent="0.25">
      <c r="A89"/>
      <c r="B89"/>
      <c r="C89"/>
      <c r="D89"/>
      <c r="E89"/>
      <c r="F89"/>
      <c r="G89"/>
      <c r="H89" s="13"/>
      <c r="I89" s="13"/>
      <c r="J89"/>
      <c r="K89"/>
      <c r="L89"/>
      <c r="M89"/>
      <c r="N89"/>
      <c r="O89"/>
      <c r="P89"/>
      <c r="Q89"/>
      <c r="R89"/>
      <c r="S89"/>
      <c r="T89"/>
      <c r="U89" s="27"/>
      <c r="V89" s="14"/>
      <c r="W89" s="27"/>
      <c r="X89" s="27"/>
      <c r="Y89" s="27"/>
      <c r="Z89" s="27"/>
      <c r="AA89"/>
      <c r="AB89"/>
      <c r="AC89" s="27"/>
      <c r="AD89"/>
      <c r="AE89" s="27"/>
      <c r="AF89" s="27"/>
      <c r="AG89" s="28"/>
      <c r="AH89" s="15"/>
      <c r="AI89" s="15"/>
      <c r="AJ89"/>
      <c r="AK89" s="27"/>
      <c r="AL89"/>
      <c r="AM89"/>
      <c r="AN89"/>
      <c r="AO89" s="27"/>
      <c r="AP89" s="27"/>
      <c r="AQ89" s="15"/>
      <c r="AR89"/>
      <c r="AS89" s="27"/>
      <c r="AT89"/>
      <c r="AU89"/>
      <c r="AV89"/>
      <c r="AW89" s="13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</row>
    <row r="90" spans="1:65" s="6" customFormat="1" x14ac:dyDescent="0.25">
      <c r="F90" s="21"/>
      <c r="G90" s="10"/>
      <c r="H90" s="7"/>
      <c r="I90" s="13"/>
      <c r="U90" s="16"/>
      <c r="W90" s="16"/>
      <c r="X90" s="16"/>
      <c r="Y90" s="16"/>
      <c r="Z90" s="16"/>
      <c r="AC90" s="16"/>
      <c r="AE90" s="16"/>
      <c r="AF90" s="22"/>
      <c r="AG90" s="18"/>
      <c r="AH90" s="7"/>
      <c r="AI90" s="7"/>
      <c r="AK90" s="16"/>
      <c r="AO90" s="23"/>
      <c r="AP90" s="17"/>
      <c r="AQ90" s="7"/>
      <c r="AR90"/>
      <c r="AS90" s="17"/>
      <c r="AW90" s="7"/>
      <c r="BB90" s="24"/>
      <c r="BC90"/>
      <c r="BG90"/>
    </row>
    <row r="91" spans="1:65" s="6" customFormat="1" x14ac:dyDescent="0.25">
      <c r="F91" s="21"/>
      <c r="G91" s="10"/>
      <c r="H91" s="7"/>
      <c r="I91" s="7"/>
      <c r="U91" s="16"/>
      <c r="W91" s="16"/>
      <c r="X91" s="16"/>
      <c r="Y91" s="16"/>
      <c r="Z91" s="16"/>
      <c r="AC91" s="16"/>
      <c r="AE91" s="16"/>
      <c r="AF91" s="22"/>
      <c r="AG91" s="18"/>
      <c r="AH91" s="7"/>
      <c r="AI91" s="7"/>
      <c r="AK91" s="16"/>
      <c r="AO91" s="23"/>
      <c r="AP91" s="17"/>
      <c r="AQ91" s="7"/>
      <c r="AR91"/>
      <c r="AS91" s="17"/>
      <c r="AW91" s="7"/>
      <c r="BB91" s="24"/>
      <c r="BC91"/>
      <c r="BG91"/>
    </row>
    <row r="92" spans="1:65" s="6" customFormat="1" x14ac:dyDescent="0.25">
      <c r="F92" s="21"/>
      <c r="G92" s="10"/>
      <c r="H92" s="7"/>
      <c r="I92" s="13"/>
      <c r="U92" s="16"/>
      <c r="W92" s="16"/>
      <c r="X92" s="16"/>
      <c r="Y92" s="16"/>
      <c r="Z92" s="16"/>
      <c r="AC92" s="16"/>
      <c r="AE92" s="16"/>
      <c r="AF92" s="22"/>
      <c r="AG92" s="18"/>
      <c r="AH92" s="7"/>
      <c r="AI92" s="7"/>
      <c r="AK92" s="16"/>
      <c r="AO92" s="23"/>
      <c r="AP92" s="17"/>
      <c r="AQ92" s="7"/>
      <c r="AR92"/>
      <c r="AS92" s="17"/>
      <c r="AV92"/>
      <c r="AW92" s="7"/>
      <c r="BB92" s="24"/>
      <c r="BC92"/>
      <c r="BG92"/>
    </row>
    <row r="93" spans="1:65" s="6" customFormat="1" x14ac:dyDescent="0.25">
      <c r="A93"/>
      <c r="B93"/>
      <c r="C93"/>
      <c r="D93"/>
      <c r="E93"/>
      <c r="F93"/>
      <c r="G93"/>
      <c r="H93" s="13"/>
      <c r="I93" s="13"/>
      <c r="J93"/>
      <c r="K93"/>
      <c r="L93"/>
      <c r="M93"/>
      <c r="N93"/>
      <c r="O93"/>
      <c r="P93"/>
      <c r="Q93"/>
      <c r="R93"/>
      <c r="S93"/>
      <c r="T93"/>
      <c r="U93" s="27"/>
      <c r="V93" s="14"/>
      <c r="W93" s="27"/>
      <c r="X93" s="27"/>
      <c r="Y93" s="27"/>
      <c r="Z93" s="27"/>
      <c r="AA93"/>
      <c r="AB93"/>
      <c r="AC93" s="27"/>
      <c r="AD93"/>
      <c r="AE93" s="27"/>
      <c r="AF93" s="27"/>
      <c r="AG93" s="28"/>
      <c r="AH93" s="15"/>
      <c r="AI93" s="15"/>
      <c r="AJ93"/>
      <c r="AK93" s="27"/>
      <c r="AL93"/>
      <c r="AM93"/>
      <c r="AN93"/>
      <c r="AO93" s="27"/>
      <c r="AP93" s="27"/>
      <c r="AQ93" s="15"/>
      <c r="AR93"/>
      <c r="AS93" s="27"/>
      <c r="AT93"/>
      <c r="AU93"/>
      <c r="AW93" s="1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</row>
    <row r="94" spans="1:65" s="6" customFormat="1" x14ac:dyDescent="0.25">
      <c r="F94" s="21"/>
      <c r="G94" s="10"/>
      <c r="H94" s="7"/>
      <c r="I94" s="7"/>
      <c r="U94" s="16"/>
      <c r="W94" s="16"/>
      <c r="X94" s="16"/>
      <c r="Y94" s="16"/>
      <c r="Z94" s="16"/>
      <c r="AC94" s="16"/>
      <c r="AE94" s="16"/>
      <c r="AF94" s="22"/>
      <c r="AG94" s="18"/>
      <c r="AH94" s="7"/>
      <c r="AI94" s="7"/>
      <c r="AK94" s="16"/>
      <c r="AO94" s="23"/>
      <c r="AP94" s="17"/>
      <c r="AQ94" s="7"/>
      <c r="AR94"/>
      <c r="AS94" s="17"/>
      <c r="AW94" s="7"/>
      <c r="BB94" s="24"/>
      <c r="BC94"/>
      <c r="BG94"/>
    </row>
    <row r="95" spans="1:65" s="6" customFormat="1" x14ac:dyDescent="0.25">
      <c r="F95" s="21"/>
      <c r="G95" s="10"/>
      <c r="H95" s="7"/>
      <c r="I95" s="13"/>
      <c r="U95" s="16"/>
      <c r="W95" s="16"/>
      <c r="X95" s="16"/>
      <c r="Y95" s="16"/>
      <c r="Z95" s="16"/>
      <c r="AC95" s="16"/>
      <c r="AE95" s="16"/>
      <c r="AF95" s="22"/>
      <c r="AG95" s="18"/>
      <c r="AH95" s="7"/>
      <c r="AI95" s="7"/>
      <c r="AK95" s="16"/>
      <c r="AO95" s="23"/>
      <c r="AP95" s="17"/>
      <c r="AQ95" s="7"/>
      <c r="AR95"/>
      <c r="AS95" s="17"/>
      <c r="AV95"/>
      <c r="AW95" s="7"/>
      <c r="BB95" s="24"/>
      <c r="BC95"/>
      <c r="BG95"/>
    </row>
    <row r="96" spans="1:65" s="6" customFormat="1" x14ac:dyDescent="0.25">
      <c r="F96" s="21"/>
      <c r="G96" s="10"/>
      <c r="H96" s="7"/>
      <c r="I96" s="13"/>
      <c r="U96" s="16"/>
      <c r="W96" s="16"/>
      <c r="X96" s="16"/>
      <c r="Y96" s="16"/>
      <c r="Z96" s="16"/>
      <c r="AC96" s="16"/>
      <c r="AE96" s="16"/>
      <c r="AF96" s="22"/>
      <c r="AG96" s="18"/>
      <c r="AH96" s="7"/>
      <c r="AI96" s="7"/>
      <c r="AK96" s="16"/>
      <c r="AO96" s="23"/>
      <c r="AP96" s="17"/>
      <c r="AQ96" s="7"/>
      <c r="AR96"/>
      <c r="AS96" s="17"/>
      <c r="AW96" s="7"/>
      <c r="BB96" s="24"/>
      <c r="BC96"/>
      <c r="BG96"/>
    </row>
    <row r="97" spans="1:65" s="6" customFormat="1" x14ac:dyDescent="0.25">
      <c r="A97"/>
      <c r="B97"/>
      <c r="C97"/>
      <c r="D97"/>
      <c r="E97"/>
      <c r="F97"/>
      <c r="G97"/>
      <c r="H97" s="13"/>
      <c r="I97" s="13"/>
      <c r="J97"/>
      <c r="K97"/>
      <c r="L97"/>
      <c r="M97"/>
      <c r="N97"/>
      <c r="O97"/>
      <c r="P97"/>
      <c r="Q97"/>
      <c r="R97"/>
      <c r="S97"/>
      <c r="T97"/>
      <c r="U97" s="27"/>
      <c r="V97" s="14"/>
      <c r="W97" s="27"/>
      <c r="X97" s="27"/>
      <c r="Y97" s="27"/>
      <c r="Z97" s="27"/>
      <c r="AA97"/>
      <c r="AB97"/>
      <c r="AC97" s="27"/>
      <c r="AD97"/>
      <c r="AE97" s="27"/>
      <c r="AF97" s="27"/>
      <c r="AG97" s="28"/>
      <c r="AH97" s="15"/>
      <c r="AI97" s="15"/>
      <c r="AJ97"/>
      <c r="AK97" s="27"/>
      <c r="AL97"/>
      <c r="AM97"/>
      <c r="AN97"/>
      <c r="AO97" s="27"/>
      <c r="AP97" s="27"/>
      <c r="AQ97" s="15"/>
      <c r="AR97"/>
      <c r="AS97" s="27"/>
      <c r="AT97"/>
      <c r="AU97"/>
      <c r="AV97"/>
      <c r="AW97" s="13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</row>
    <row r="98" spans="1:65" s="6" customFormat="1" x14ac:dyDescent="0.25">
      <c r="A98"/>
      <c r="B98"/>
      <c r="C98"/>
      <c r="D98"/>
      <c r="E98"/>
      <c r="F98"/>
      <c r="G98"/>
      <c r="H98" s="13"/>
      <c r="I98" s="13"/>
      <c r="J98"/>
      <c r="K98"/>
      <c r="L98"/>
      <c r="M98"/>
      <c r="N98"/>
      <c r="O98"/>
      <c r="P98"/>
      <c r="Q98"/>
      <c r="R98"/>
      <c r="S98"/>
      <c r="T98"/>
      <c r="U98" s="27"/>
      <c r="V98" s="14"/>
      <c r="W98" s="27"/>
      <c r="X98" s="27"/>
      <c r="Y98" s="27"/>
      <c r="Z98" s="27"/>
      <c r="AA98"/>
      <c r="AB98"/>
      <c r="AC98" s="27"/>
      <c r="AD98"/>
      <c r="AE98" s="27"/>
      <c r="AF98" s="27"/>
      <c r="AG98" s="28"/>
      <c r="AH98" s="15"/>
      <c r="AI98" s="15"/>
      <c r="AJ98"/>
      <c r="AK98" s="27"/>
      <c r="AL98"/>
      <c r="AM98"/>
      <c r="AN98"/>
      <c r="AO98" s="27"/>
      <c r="AP98" s="27"/>
      <c r="AQ98" s="15"/>
      <c r="AR98"/>
      <c r="AS98" s="27"/>
      <c r="AT98"/>
      <c r="AU98"/>
      <c r="AV98"/>
      <c r="AW98" s="7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</row>
    <row r="99" spans="1:65" s="6" customFormat="1" x14ac:dyDescent="0.25">
      <c r="F99" s="21"/>
      <c r="G99" s="10"/>
      <c r="H99" s="7"/>
      <c r="I99" s="13"/>
      <c r="U99" s="16"/>
      <c r="W99" s="16"/>
      <c r="X99" s="16"/>
      <c r="Y99" s="16"/>
      <c r="Z99" s="16"/>
      <c r="AC99" s="16"/>
      <c r="AE99" s="16"/>
      <c r="AF99" s="22"/>
      <c r="AG99" s="18"/>
      <c r="AH99" s="7"/>
      <c r="AI99" s="7"/>
      <c r="AK99" s="16"/>
      <c r="AO99" s="23"/>
      <c r="AP99" s="17"/>
      <c r="AQ99" s="7"/>
      <c r="AR99"/>
      <c r="AS99" s="17"/>
      <c r="AW99" s="7"/>
      <c r="BB99" s="24"/>
      <c r="BC99"/>
      <c r="BG99"/>
    </row>
    <row r="100" spans="1:65" s="6" customFormat="1" x14ac:dyDescent="0.25">
      <c r="F100" s="21"/>
      <c r="G100" s="10"/>
      <c r="H100" s="7"/>
      <c r="I100" s="7"/>
      <c r="U100" s="16"/>
      <c r="W100" s="16"/>
      <c r="X100" s="16"/>
      <c r="Y100" s="16"/>
      <c r="Z100" s="16"/>
      <c r="AC100" s="16"/>
      <c r="AE100" s="16"/>
      <c r="AF100" s="22"/>
      <c r="AG100" s="18"/>
      <c r="AH100" s="7"/>
      <c r="AI100" s="7"/>
      <c r="AK100" s="16"/>
      <c r="AO100" s="23"/>
      <c r="AP100" s="17"/>
      <c r="AQ100" s="7"/>
      <c r="AR100"/>
      <c r="AS100" s="17"/>
      <c r="AW100" s="7"/>
      <c r="BB100" s="24"/>
      <c r="BC100"/>
      <c r="BG100"/>
    </row>
    <row r="101" spans="1:65" s="6" customFormat="1" x14ac:dyDescent="0.25">
      <c r="F101" s="21"/>
      <c r="G101" s="10"/>
      <c r="H101" s="7"/>
      <c r="I101" s="13"/>
      <c r="U101" s="16"/>
      <c r="W101" s="16"/>
      <c r="X101" s="16"/>
      <c r="Y101" s="16"/>
      <c r="Z101" s="16"/>
      <c r="AC101" s="16"/>
      <c r="AE101" s="16"/>
      <c r="AF101" s="22"/>
      <c r="AG101" s="18"/>
      <c r="AH101" s="7"/>
      <c r="AI101" s="7"/>
      <c r="AK101" s="16"/>
      <c r="AO101" s="23"/>
      <c r="AP101" s="17"/>
      <c r="AQ101" s="7"/>
      <c r="AR101"/>
      <c r="AS101" s="17"/>
      <c r="AV101"/>
      <c r="AW101" s="7"/>
      <c r="BB101" s="24"/>
      <c r="BC101"/>
      <c r="BG101"/>
    </row>
    <row r="102" spans="1:65" s="6" customFormat="1" x14ac:dyDescent="0.25">
      <c r="A102"/>
      <c r="B102"/>
      <c r="C102"/>
      <c r="D102"/>
      <c r="E102"/>
      <c r="F102"/>
      <c r="G102"/>
      <c r="H102" s="13"/>
      <c r="I102" s="13"/>
      <c r="J102"/>
      <c r="K102"/>
      <c r="L102"/>
      <c r="M102"/>
      <c r="N102"/>
      <c r="O102"/>
      <c r="P102"/>
      <c r="Q102"/>
      <c r="R102"/>
      <c r="S102"/>
      <c r="T102"/>
      <c r="U102" s="27"/>
      <c r="V102" s="14"/>
      <c r="W102" s="27"/>
      <c r="X102" s="27"/>
      <c r="Y102" s="27"/>
      <c r="Z102" s="27"/>
      <c r="AA102"/>
      <c r="AB102"/>
      <c r="AC102" s="27"/>
      <c r="AD102"/>
      <c r="AE102" s="27"/>
      <c r="AF102" s="27"/>
      <c r="AG102" s="28"/>
      <c r="AH102" s="15"/>
      <c r="AI102" s="15"/>
      <c r="AJ102"/>
      <c r="AK102" s="27"/>
      <c r="AL102"/>
      <c r="AM102"/>
      <c r="AN102"/>
      <c r="AO102" s="27"/>
      <c r="AP102" s="27"/>
      <c r="AQ102" s="15"/>
      <c r="AR102"/>
      <c r="AS102" s="27"/>
      <c r="AT102"/>
      <c r="AU102"/>
      <c r="AW102" s="13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</row>
    <row r="103" spans="1:65" s="6" customFormat="1" x14ac:dyDescent="0.25">
      <c r="F103" s="21"/>
      <c r="G103" s="10"/>
      <c r="H103" s="7"/>
      <c r="I103" s="7"/>
      <c r="U103" s="16"/>
      <c r="W103" s="16"/>
      <c r="X103" s="16"/>
      <c r="Y103" s="16"/>
      <c r="Z103" s="16"/>
      <c r="AC103" s="16"/>
      <c r="AE103" s="16"/>
      <c r="AF103" s="22"/>
      <c r="AG103" s="18"/>
      <c r="AH103" s="7"/>
      <c r="AI103" s="7"/>
      <c r="AK103" s="16"/>
      <c r="AO103" s="23"/>
      <c r="AP103" s="17"/>
      <c r="AQ103" s="7"/>
      <c r="AR103"/>
      <c r="AS103" s="17"/>
      <c r="AW103" s="7"/>
      <c r="BB103" s="24"/>
      <c r="BC103"/>
      <c r="BG103"/>
    </row>
    <row r="104" spans="1:65" s="6" customFormat="1" x14ac:dyDescent="0.25">
      <c r="F104" s="21"/>
      <c r="G104" s="10"/>
      <c r="H104" s="7"/>
      <c r="I104" s="13"/>
      <c r="U104" s="16"/>
      <c r="W104" s="16"/>
      <c r="X104" s="16"/>
      <c r="Y104" s="16"/>
      <c r="Z104" s="16"/>
      <c r="AC104" s="16"/>
      <c r="AE104" s="16"/>
      <c r="AF104" s="22"/>
      <c r="AG104" s="18"/>
      <c r="AH104" s="7"/>
      <c r="AI104" s="7"/>
      <c r="AK104" s="16"/>
      <c r="AO104" s="23"/>
      <c r="AP104" s="17"/>
      <c r="AQ104" s="7"/>
      <c r="AR104"/>
      <c r="AS104" s="17"/>
      <c r="AV104"/>
      <c r="AW104" s="7"/>
      <c r="BB104" s="24"/>
      <c r="BC104"/>
      <c r="BG104"/>
    </row>
    <row r="105" spans="1:65" s="6" customFormat="1" x14ac:dyDescent="0.25">
      <c r="F105" s="21"/>
      <c r="G105" s="10"/>
      <c r="H105" s="7"/>
      <c r="I105" s="13"/>
      <c r="U105" s="16"/>
      <c r="W105" s="16"/>
      <c r="X105" s="16"/>
      <c r="Y105" s="16"/>
      <c r="Z105" s="16"/>
      <c r="AC105" s="16"/>
      <c r="AE105" s="16"/>
      <c r="AF105" s="22"/>
      <c r="AG105" s="18"/>
      <c r="AH105" s="7"/>
      <c r="AI105" s="7"/>
      <c r="AK105" s="16"/>
      <c r="AO105" s="23"/>
      <c r="AP105" s="17"/>
      <c r="AQ105" s="7"/>
      <c r="AR105"/>
      <c r="AS105" s="17"/>
      <c r="AW105" s="7"/>
      <c r="BB105" s="24"/>
      <c r="BC105"/>
      <c r="BG105"/>
    </row>
    <row r="106" spans="1:65" s="6" customFormat="1" x14ac:dyDescent="0.25">
      <c r="A106"/>
      <c r="B106"/>
      <c r="C106"/>
      <c r="D106"/>
      <c r="E106"/>
      <c r="F106"/>
      <c r="G106"/>
      <c r="H106" s="13"/>
      <c r="I106" s="13"/>
      <c r="J106"/>
      <c r="K106"/>
      <c r="L106"/>
      <c r="M106"/>
      <c r="N106"/>
      <c r="O106"/>
      <c r="P106"/>
      <c r="Q106"/>
      <c r="R106"/>
      <c r="S106"/>
      <c r="T106"/>
      <c r="U106" s="27"/>
      <c r="V106" s="14"/>
      <c r="W106" s="27"/>
      <c r="X106" s="27"/>
      <c r="Y106" s="27"/>
      <c r="Z106" s="27"/>
      <c r="AA106"/>
      <c r="AB106"/>
      <c r="AC106" s="27"/>
      <c r="AD106"/>
      <c r="AE106" s="27"/>
      <c r="AF106" s="27"/>
      <c r="AG106" s="28"/>
      <c r="AH106" s="15"/>
      <c r="AI106" s="15"/>
      <c r="AJ106"/>
      <c r="AK106" s="27"/>
      <c r="AL106"/>
      <c r="AM106"/>
      <c r="AN106"/>
      <c r="AO106" s="27"/>
      <c r="AP106" s="27"/>
      <c r="AQ106" s="15"/>
      <c r="AR106"/>
      <c r="AS106" s="27"/>
      <c r="AT106"/>
      <c r="AU106"/>
      <c r="AV106"/>
      <c r="AW106" s="13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</row>
    <row r="107" spans="1:65" s="6" customFormat="1" x14ac:dyDescent="0.25">
      <c r="A107"/>
      <c r="B107"/>
      <c r="C107"/>
      <c r="D107"/>
      <c r="E107"/>
      <c r="F107"/>
      <c r="G107"/>
      <c r="H107" s="13"/>
      <c r="I107" s="13"/>
      <c r="J107"/>
      <c r="K107"/>
      <c r="L107"/>
      <c r="M107"/>
      <c r="N107"/>
      <c r="O107"/>
      <c r="P107"/>
      <c r="Q107"/>
      <c r="R107"/>
      <c r="S107"/>
      <c r="T107"/>
      <c r="U107" s="27"/>
      <c r="V107" s="14"/>
      <c r="W107" s="27"/>
      <c r="X107" s="27"/>
      <c r="Y107" s="27"/>
      <c r="Z107" s="27"/>
      <c r="AA107"/>
      <c r="AB107"/>
      <c r="AC107" s="27"/>
      <c r="AD107"/>
      <c r="AE107" s="27"/>
      <c r="AF107" s="27"/>
      <c r="AG107" s="28"/>
      <c r="AH107" s="15"/>
      <c r="AI107" s="15"/>
      <c r="AJ107"/>
      <c r="AK107" s="27"/>
      <c r="AL107"/>
      <c r="AM107"/>
      <c r="AN107"/>
      <c r="AO107" s="27"/>
      <c r="AP107" s="27"/>
      <c r="AQ107" s="15"/>
      <c r="AR107"/>
      <c r="AS107" s="27"/>
      <c r="AT107"/>
      <c r="AU107"/>
      <c r="AV107"/>
      <c r="AW107" s="13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</row>
    <row r="108" spans="1:65" s="6" customFormat="1" x14ac:dyDescent="0.25">
      <c r="F108" s="21"/>
      <c r="G108" s="10"/>
      <c r="H108" s="7"/>
      <c r="I108" s="13"/>
      <c r="U108" s="16"/>
      <c r="W108" s="16"/>
      <c r="X108" s="16"/>
      <c r="Y108" s="16"/>
      <c r="Z108" s="16"/>
      <c r="AC108" s="16"/>
      <c r="AE108" s="16"/>
      <c r="AF108" s="22"/>
      <c r="AG108" s="18"/>
      <c r="AH108" s="7"/>
      <c r="AI108" s="7"/>
      <c r="AK108" s="16"/>
      <c r="AO108" s="23"/>
      <c r="AP108" s="17"/>
      <c r="AQ108" s="7"/>
      <c r="AR108"/>
      <c r="AS108" s="17"/>
      <c r="AW108" s="7"/>
      <c r="BB108" s="24"/>
      <c r="BC108"/>
      <c r="BG108"/>
    </row>
    <row r="109" spans="1:65" s="6" customFormat="1" x14ac:dyDescent="0.25">
      <c r="F109" s="21"/>
      <c r="G109" s="10"/>
      <c r="H109" s="7"/>
      <c r="I109" s="7"/>
      <c r="U109" s="16"/>
      <c r="W109" s="16"/>
      <c r="X109" s="16"/>
      <c r="Y109" s="16"/>
      <c r="Z109" s="16"/>
      <c r="AC109" s="16"/>
      <c r="AE109" s="16"/>
      <c r="AF109" s="22"/>
      <c r="AG109" s="18"/>
      <c r="AH109" s="7"/>
      <c r="AI109" s="7"/>
      <c r="AK109" s="16"/>
      <c r="AO109" s="23"/>
      <c r="AP109" s="17"/>
      <c r="AQ109" s="7"/>
      <c r="AR109"/>
      <c r="AS109" s="17"/>
      <c r="AW109" s="7"/>
      <c r="BB109" s="24"/>
      <c r="BC109"/>
      <c r="BG109"/>
    </row>
    <row r="110" spans="1:65" s="6" customFormat="1" x14ac:dyDescent="0.25">
      <c r="F110" s="21"/>
      <c r="G110" s="10"/>
      <c r="H110" s="7"/>
      <c r="I110" s="13"/>
      <c r="U110" s="16"/>
      <c r="W110" s="16"/>
      <c r="X110" s="16"/>
      <c r="Y110" s="16"/>
      <c r="Z110" s="16"/>
      <c r="AC110" s="16"/>
      <c r="AE110" s="16"/>
      <c r="AF110" s="22"/>
      <c r="AG110" s="18"/>
      <c r="AH110" s="7"/>
      <c r="AI110" s="7"/>
      <c r="AK110" s="16"/>
      <c r="AO110" s="23"/>
      <c r="AP110" s="17"/>
      <c r="AQ110" s="7"/>
      <c r="AR110"/>
      <c r="AS110" s="17"/>
      <c r="AV110"/>
      <c r="AW110" s="7"/>
      <c r="BB110" s="24"/>
      <c r="BC110"/>
      <c r="BG110"/>
    </row>
    <row r="111" spans="1:65" s="6" customFormat="1" x14ac:dyDescent="0.25">
      <c r="A111"/>
      <c r="B111"/>
      <c r="C111"/>
      <c r="D111"/>
      <c r="E111"/>
      <c r="F111"/>
      <c r="G111"/>
      <c r="H111" s="13"/>
      <c r="I111" s="13"/>
      <c r="J111"/>
      <c r="K111"/>
      <c r="L111"/>
      <c r="M111"/>
      <c r="N111"/>
      <c r="O111"/>
      <c r="P111"/>
      <c r="Q111"/>
      <c r="R111"/>
      <c r="S111"/>
      <c r="T111"/>
      <c r="U111" s="27"/>
      <c r="V111" s="14"/>
      <c r="W111" s="27"/>
      <c r="X111" s="27"/>
      <c r="Y111" s="27"/>
      <c r="Z111" s="27"/>
      <c r="AA111"/>
      <c r="AB111"/>
      <c r="AC111" s="27"/>
      <c r="AD111"/>
      <c r="AE111" s="27"/>
      <c r="AF111" s="27"/>
      <c r="AG111" s="28"/>
      <c r="AH111" s="15"/>
      <c r="AI111" s="15"/>
      <c r="AJ111"/>
      <c r="AK111" s="27"/>
      <c r="AL111"/>
      <c r="AM111"/>
      <c r="AN111"/>
      <c r="AO111" s="27"/>
      <c r="AP111" s="27"/>
      <c r="AQ111" s="15"/>
      <c r="AR111"/>
      <c r="AS111" s="27"/>
      <c r="AT111"/>
      <c r="AU111"/>
      <c r="AW111" s="13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</row>
    <row r="112" spans="1:65" s="6" customFormat="1" x14ac:dyDescent="0.25">
      <c r="F112" s="21"/>
      <c r="G112" s="10"/>
      <c r="H112" s="7"/>
      <c r="I112" s="7"/>
      <c r="U112" s="16"/>
      <c r="W112" s="16"/>
      <c r="X112" s="16"/>
      <c r="Y112" s="16"/>
      <c r="Z112" s="16"/>
      <c r="AC112" s="16"/>
      <c r="AE112" s="16"/>
      <c r="AF112" s="22"/>
      <c r="AG112" s="18"/>
      <c r="AH112" s="7"/>
      <c r="AI112" s="7"/>
      <c r="AK112" s="16"/>
      <c r="AO112" s="23"/>
      <c r="AP112" s="17"/>
      <c r="AQ112" s="7"/>
      <c r="AR112"/>
      <c r="AS112" s="17"/>
      <c r="AW112" s="7"/>
      <c r="BB112" s="24"/>
      <c r="BC112"/>
      <c r="BG112"/>
    </row>
    <row r="113" spans="1:65" s="6" customFormat="1" x14ac:dyDescent="0.25">
      <c r="F113" s="21"/>
      <c r="G113" s="10"/>
      <c r="H113" s="7"/>
      <c r="I113" s="13"/>
      <c r="U113" s="16"/>
      <c r="W113" s="16"/>
      <c r="X113" s="16"/>
      <c r="Y113" s="16"/>
      <c r="Z113" s="16"/>
      <c r="AC113" s="16"/>
      <c r="AE113" s="16"/>
      <c r="AF113" s="22"/>
      <c r="AG113" s="18"/>
      <c r="AH113" s="7"/>
      <c r="AI113" s="7"/>
      <c r="AK113" s="16"/>
      <c r="AO113" s="23"/>
      <c r="AP113" s="17"/>
      <c r="AQ113" s="7"/>
      <c r="AR113"/>
      <c r="AS113" s="17"/>
      <c r="AV113"/>
      <c r="AW113" s="7"/>
      <c r="BB113" s="24"/>
      <c r="BC113"/>
      <c r="BG113"/>
    </row>
    <row r="114" spans="1:65" s="6" customFormat="1" x14ac:dyDescent="0.25">
      <c r="F114" s="21"/>
      <c r="G114" s="10"/>
      <c r="H114" s="7"/>
      <c r="I114" s="13"/>
      <c r="U114" s="16"/>
      <c r="W114" s="16"/>
      <c r="X114" s="16"/>
      <c r="Y114" s="16"/>
      <c r="Z114" s="16"/>
      <c r="AC114" s="16"/>
      <c r="AE114" s="16"/>
      <c r="AF114" s="22"/>
      <c r="AG114" s="18"/>
      <c r="AH114" s="7"/>
      <c r="AI114" s="7"/>
      <c r="AK114" s="16"/>
      <c r="AO114" s="23"/>
      <c r="AP114" s="17"/>
      <c r="AQ114" s="7"/>
      <c r="AR114"/>
      <c r="AS114" s="17"/>
      <c r="AW114" s="7"/>
      <c r="BB114" s="24"/>
      <c r="BC114"/>
      <c r="BG114"/>
    </row>
    <row r="115" spans="1:65" s="6" customFormat="1" x14ac:dyDescent="0.25">
      <c r="A115"/>
      <c r="B115"/>
      <c r="C115"/>
      <c r="D115"/>
      <c r="E115"/>
      <c r="F115"/>
      <c r="G115"/>
      <c r="H115" s="13"/>
      <c r="I115" s="13"/>
      <c r="J115"/>
      <c r="K115"/>
      <c r="L115"/>
      <c r="M115"/>
      <c r="N115"/>
      <c r="O115"/>
      <c r="P115"/>
      <c r="Q115"/>
      <c r="R115"/>
      <c r="S115"/>
      <c r="T115"/>
      <c r="U115" s="27"/>
      <c r="V115" s="14"/>
      <c r="W115" s="27"/>
      <c r="X115" s="27"/>
      <c r="Y115" s="27"/>
      <c r="Z115" s="27"/>
      <c r="AA115"/>
      <c r="AB115"/>
      <c r="AC115" s="27"/>
      <c r="AD115"/>
      <c r="AE115" s="27"/>
      <c r="AF115" s="27"/>
      <c r="AG115" s="28"/>
      <c r="AH115" s="15"/>
      <c r="AI115" s="15"/>
      <c r="AJ115"/>
      <c r="AK115" s="27"/>
      <c r="AL115"/>
      <c r="AM115"/>
      <c r="AN115"/>
      <c r="AO115" s="27"/>
      <c r="AP115" s="27"/>
      <c r="AQ115" s="15"/>
      <c r="AR115"/>
      <c r="AS115" s="27"/>
      <c r="AT115"/>
      <c r="AU115"/>
      <c r="AV115"/>
      <c r="AW115" s="13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</row>
    <row r="116" spans="1:65" s="6" customFormat="1" x14ac:dyDescent="0.25">
      <c r="A116"/>
      <c r="B116"/>
      <c r="C116"/>
      <c r="D116"/>
      <c r="E116"/>
      <c r="F116"/>
      <c r="G116"/>
      <c r="H116" s="13"/>
      <c r="I116" s="13"/>
      <c r="J116"/>
      <c r="K116"/>
      <c r="L116"/>
      <c r="M116"/>
      <c r="N116"/>
      <c r="O116"/>
      <c r="P116"/>
      <c r="Q116"/>
      <c r="R116"/>
      <c r="S116"/>
      <c r="T116"/>
      <c r="U116" s="27"/>
      <c r="V116" s="14"/>
      <c r="W116" s="27"/>
      <c r="X116" s="27"/>
      <c r="Y116" s="27"/>
      <c r="Z116" s="27"/>
      <c r="AA116"/>
      <c r="AB116"/>
      <c r="AC116" s="27"/>
      <c r="AD116"/>
      <c r="AE116" s="27"/>
      <c r="AF116" s="27"/>
      <c r="AG116" s="28"/>
      <c r="AH116" s="15"/>
      <c r="AI116" s="15"/>
      <c r="AJ116"/>
      <c r="AK116" s="27"/>
      <c r="AL116"/>
      <c r="AM116"/>
      <c r="AN116"/>
      <c r="AO116" s="27"/>
      <c r="AP116" s="27"/>
      <c r="AQ116" s="15"/>
      <c r="AR116"/>
      <c r="AS116" s="27"/>
      <c r="AT116"/>
      <c r="AU116"/>
      <c r="AV116"/>
      <c r="AW116" s="13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</row>
    <row r="117" spans="1:65" s="6" customFormat="1" x14ac:dyDescent="0.25">
      <c r="F117" s="21"/>
      <c r="G117" s="10"/>
      <c r="H117" s="7"/>
      <c r="I117" s="13"/>
      <c r="U117" s="16"/>
      <c r="W117" s="16"/>
      <c r="X117" s="16"/>
      <c r="Y117" s="16"/>
      <c r="Z117" s="16"/>
      <c r="AC117" s="16"/>
      <c r="AE117" s="16"/>
      <c r="AF117" s="22"/>
      <c r="AG117" s="18"/>
      <c r="AH117" s="7"/>
      <c r="AI117" s="7"/>
      <c r="AK117" s="16"/>
      <c r="AO117" s="23"/>
      <c r="AP117" s="17"/>
      <c r="AQ117" s="7"/>
      <c r="AR117"/>
      <c r="AS117" s="17"/>
      <c r="AW117" s="7"/>
      <c r="BB117" s="24"/>
      <c r="BC117"/>
      <c r="BG117"/>
    </row>
    <row r="118" spans="1:65" s="6" customFormat="1" x14ac:dyDescent="0.25">
      <c r="F118" s="21"/>
      <c r="G118" s="10"/>
      <c r="H118" s="7"/>
      <c r="I118" s="7"/>
      <c r="U118" s="16"/>
      <c r="W118" s="16"/>
      <c r="X118" s="16"/>
      <c r="Y118" s="16"/>
      <c r="Z118" s="16"/>
      <c r="AC118" s="16"/>
      <c r="AE118" s="16"/>
      <c r="AF118" s="22"/>
      <c r="AG118" s="18"/>
      <c r="AH118" s="7"/>
      <c r="AI118" s="7"/>
      <c r="AK118" s="16"/>
      <c r="AO118" s="23"/>
      <c r="AP118" s="17"/>
      <c r="AQ118" s="7"/>
      <c r="AR118"/>
      <c r="AS118" s="17"/>
      <c r="AW118" s="7"/>
      <c r="BB118" s="24"/>
      <c r="BC118"/>
      <c r="BG118"/>
    </row>
    <row r="119" spans="1:65" s="6" customFormat="1" x14ac:dyDescent="0.25">
      <c r="F119" s="21"/>
      <c r="G119" s="10"/>
      <c r="H119" s="7"/>
      <c r="I119" s="13"/>
      <c r="U119" s="16"/>
      <c r="W119" s="16"/>
      <c r="X119" s="16"/>
      <c r="Y119" s="16"/>
      <c r="Z119" s="16"/>
      <c r="AC119" s="16"/>
      <c r="AE119" s="16"/>
      <c r="AF119" s="22"/>
      <c r="AG119" s="18"/>
      <c r="AH119" s="7"/>
      <c r="AI119" s="7"/>
      <c r="AK119" s="16"/>
      <c r="AO119" s="23"/>
      <c r="AP119" s="17"/>
      <c r="AQ119" s="7"/>
      <c r="AR119"/>
      <c r="AS119" s="17"/>
      <c r="AV119"/>
      <c r="AW119" s="7"/>
      <c r="BB119" s="24"/>
      <c r="BC119"/>
      <c r="BG119"/>
    </row>
    <row r="120" spans="1:65" s="6" customFormat="1" x14ac:dyDescent="0.25">
      <c r="A120"/>
      <c r="B120"/>
      <c r="C120"/>
      <c r="D120"/>
      <c r="E120"/>
      <c r="F120"/>
      <c r="G120"/>
      <c r="H120" s="13"/>
      <c r="I120" s="13"/>
      <c r="J120"/>
      <c r="K120"/>
      <c r="L120"/>
      <c r="M120"/>
      <c r="N120"/>
      <c r="O120"/>
      <c r="P120"/>
      <c r="Q120"/>
      <c r="R120"/>
      <c r="S120"/>
      <c r="T120"/>
      <c r="U120" s="27"/>
      <c r="V120" s="14"/>
      <c r="W120" s="27"/>
      <c r="X120" s="27"/>
      <c r="Y120" s="27"/>
      <c r="Z120" s="27"/>
      <c r="AA120"/>
      <c r="AB120"/>
      <c r="AC120" s="27"/>
      <c r="AD120"/>
      <c r="AE120" s="27"/>
      <c r="AF120" s="27"/>
      <c r="AG120" s="28"/>
      <c r="AH120" s="15"/>
      <c r="AI120" s="15"/>
      <c r="AJ120"/>
      <c r="AK120" s="27"/>
      <c r="AL120"/>
      <c r="AM120"/>
      <c r="AN120"/>
      <c r="AO120" s="27"/>
      <c r="AP120" s="27"/>
      <c r="AQ120" s="15"/>
      <c r="AR120"/>
      <c r="AS120" s="27"/>
      <c r="AT120"/>
      <c r="AU120"/>
      <c r="AW120" s="13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</row>
    <row r="121" spans="1:65" s="6" customFormat="1" x14ac:dyDescent="0.25">
      <c r="F121" s="21"/>
      <c r="G121" s="10"/>
      <c r="H121" s="7"/>
      <c r="I121" s="7"/>
      <c r="U121" s="16"/>
      <c r="W121" s="16"/>
      <c r="X121" s="16"/>
      <c r="Y121" s="16"/>
      <c r="Z121" s="16"/>
      <c r="AC121" s="16"/>
      <c r="AE121" s="16"/>
      <c r="AF121" s="22"/>
      <c r="AG121" s="18"/>
      <c r="AH121" s="7"/>
      <c r="AI121" s="7"/>
      <c r="AK121" s="16"/>
      <c r="AO121" s="23"/>
      <c r="AP121" s="17"/>
      <c r="AQ121" s="7"/>
      <c r="AR121"/>
      <c r="AS121" s="17"/>
      <c r="AW121" s="7"/>
      <c r="BB121" s="24"/>
      <c r="BC121"/>
      <c r="BG121"/>
    </row>
    <row r="122" spans="1:65" s="6" customFormat="1" x14ac:dyDescent="0.25">
      <c r="F122" s="21"/>
      <c r="G122" s="10"/>
      <c r="H122" s="7"/>
      <c r="I122" s="13"/>
      <c r="U122" s="16"/>
      <c r="W122" s="16"/>
      <c r="X122" s="16"/>
      <c r="Y122" s="16"/>
      <c r="Z122" s="16"/>
      <c r="AC122" s="16"/>
      <c r="AE122" s="16"/>
      <c r="AF122" s="22"/>
      <c r="AG122" s="18"/>
      <c r="AH122" s="7"/>
      <c r="AI122" s="7"/>
      <c r="AK122" s="16"/>
      <c r="AO122" s="23"/>
      <c r="AP122" s="17"/>
      <c r="AQ122" s="7"/>
      <c r="AR122"/>
      <c r="AS122" s="17"/>
      <c r="AV122"/>
      <c r="AW122" s="7"/>
      <c r="BB122" s="24"/>
      <c r="BC122"/>
      <c r="BG122"/>
    </row>
    <row r="123" spans="1:65" s="6" customFormat="1" x14ac:dyDescent="0.25">
      <c r="F123" s="21"/>
      <c r="G123" s="10"/>
      <c r="H123" s="7"/>
      <c r="I123" s="13"/>
      <c r="U123" s="16"/>
      <c r="W123" s="16"/>
      <c r="X123" s="16"/>
      <c r="Y123" s="16"/>
      <c r="Z123" s="16"/>
      <c r="AC123" s="16"/>
      <c r="AE123" s="16"/>
      <c r="AF123" s="22"/>
      <c r="AG123" s="18"/>
      <c r="AH123" s="7"/>
      <c r="AI123" s="7"/>
      <c r="AK123" s="16"/>
      <c r="AO123" s="23"/>
      <c r="AP123" s="17"/>
      <c r="AQ123" s="7"/>
      <c r="AR123"/>
      <c r="AS123" s="17"/>
      <c r="AW123" s="7"/>
      <c r="BB123" s="24"/>
      <c r="BC123"/>
      <c r="BG123"/>
    </row>
    <row r="124" spans="1:65" s="6" customFormat="1" x14ac:dyDescent="0.25">
      <c r="A124"/>
      <c r="B124"/>
      <c r="C124"/>
      <c r="D124"/>
      <c r="E124"/>
      <c r="F124"/>
      <c r="G124"/>
      <c r="H124" s="13"/>
      <c r="I124" s="13"/>
      <c r="J124"/>
      <c r="K124"/>
      <c r="L124"/>
      <c r="M124"/>
      <c r="N124"/>
      <c r="O124"/>
      <c r="P124"/>
      <c r="Q124"/>
      <c r="R124"/>
      <c r="S124"/>
      <c r="T124"/>
      <c r="U124" s="27"/>
      <c r="V124" s="14"/>
      <c r="W124" s="27"/>
      <c r="X124" s="27"/>
      <c r="Y124" s="27"/>
      <c r="Z124" s="27"/>
      <c r="AA124"/>
      <c r="AB124"/>
      <c r="AC124" s="27"/>
      <c r="AD124"/>
      <c r="AE124" s="27"/>
      <c r="AF124" s="27"/>
      <c r="AG124" s="28"/>
      <c r="AH124" s="15"/>
      <c r="AI124" s="15"/>
      <c r="AJ124"/>
      <c r="AK124" s="27"/>
      <c r="AL124"/>
      <c r="AM124"/>
      <c r="AN124"/>
      <c r="AO124" s="27"/>
      <c r="AP124" s="27"/>
      <c r="AQ124" s="15"/>
      <c r="AR124"/>
      <c r="AS124" s="27"/>
      <c r="AT124"/>
      <c r="AU124"/>
      <c r="AV124"/>
      <c r="AW124" s="13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</row>
    <row r="125" spans="1:65" s="6" customFormat="1" x14ac:dyDescent="0.25">
      <c r="A125"/>
      <c r="B125"/>
      <c r="C125"/>
      <c r="D125"/>
      <c r="E125"/>
      <c r="F125"/>
      <c r="G125"/>
      <c r="H125" s="13"/>
      <c r="I125" s="13"/>
      <c r="J125"/>
      <c r="K125"/>
      <c r="L125"/>
      <c r="M125"/>
      <c r="N125"/>
      <c r="O125"/>
      <c r="P125"/>
      <c r="Q125"/>
      <c r="R125"/>
      <c r="S125"/>
      <c r="T125"/>
      <c r="U125" s="27"/>
      <c r="V125" s="14"/>
      <c r="W125" s="27"/>
      <c r="X125" s="27"/>
      <c r="Y125" s="27"/>
      <c r="Z125" s="27"/>
      <c r="AA125"/>
      <c r="AB125"/>
      <c r="AC125" s="27"/>
      <c r="AD125"/>
      <c r="AE125" s="27"/>
      <c r="AF125" s="27"/>
      <c r="AG125" s="28"/>
      <c r="AH125" s="15"/>
      <c r="AI125" s="15"/>
      <c r="AJ125"/>
      <c r="AK125" s="27"/>
      <c r="AL125"/>
      <c r="AM125"/>
      <c r="AN125"/>
      <c r="AO125" s="27"/>
      <c r="AP125" s="27"/>
      <c r="AQ125" s="15"/>
      <c r="AR125"/>
      <c r="AS125" s="27"/>
      <c r="AT125"/>
      <c r="AU125"/>
      <c r="AV125"/>
      <c r="AW125" s="13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</row>
    <row r="126" spans="1:65" s="6" customFormat="1" x14ac:dyDescent="0.25">
      <c r="F126" s="21"/>
      <c r="G126" s="10"/>
      <c r="H126" s="7"/>
      <c r="I126" s="13"/>
      <c r="U126" s="16"/>
      <c r="W126" s="16"/>
      <c r="X126" s="16"/>
      <c r="Y126" s="16"/>
      <c r="Z126" s="16"/>
      <c r="AC126" s="16"/>
      <c r="AE126" s="16"/>
      <c r="AF126" s="22"/>
      <c r="AG126" s="18"/>
      <c r="AH126" s="7"/>
      <c r="AI126" s="7"/>
      <c r="AK126" s="16"/>
      <c r="AO126" s="23"/>
      <c r="AP126" s="17"/>
      <c r="AQ126" s="7"/>
      <c r="AR126"/>
      <c r="AS126" s="17"/>
      <c r="AW126" s="7"/>
      <c r="BB126" s="24"/>
      <c r="BC126"/>
      <c r="BG126"/>
    </row>
    <row r="127" spans="1:65" s="6" customFormat="1" x14ac:dyDescent="0.25">
      <c r="F127" s="21"/>
      <c r="G127" s="10"/>
      <c r="H127" s="7"/>
      <c r="I127" s="7"/>
      <c r="U127" s="16"/>
      <c r="W127" s="16"/>
      <c r="X127" s="16"/>
      <c r="Y127" s="16"/>
      <c r="Z127" s="16"/>
      <c r="AC127" s="16"/>
      <c r="AE127" s="16"/>
      <c r="AF127" s="22"/>
      <c r="AG127" s="18"/>
      <c r="AH127" s="7"/>
      <c r="AI127" s="7"/>
      <c r="AK127" s="16"/>
      <c r="AO127" s="23"/>
      <c r="AP127" s="17"/>
      <c r="AQ127" s="7"/>
      <c r="AR127"/>
      <c r="AS127" s="17"/>
      <c r="AW127" s="7"/>
      <c r="BB127" s="24"/>
      <c r="BC127"/>
      <c r="BG127"/>
    </row>
    <row r="128" spans="1:65" s="6" customFormat="1" x14ac:dyDescent="0.25">
      <c r="F128" s="21"/>
      <c r="G128" s="10"/>
      <c r="H128" s="7"/>
      <c r="I128" s="13"/>
      <c r="U128" s="16"/>
      <c r="W128" s="16"/>
      <c r="X128" s="16"/>
      <c r="Y128" s="16"/>
      <c r="Z128" s="16"/>
      <c r="AC128" s="16"/>
      <c r="AE128" s="16"/>
      <c r="AF128" s="22"/>
      <c r="AG128" s="18"/>
      <c r="AH128" s="7"/>
      <c r="AI128" s="7"/>
      <c r="AK128" s="16"/>
      <c r="AO128" s="23"/>
      <c r="AP128" s="17"/>
      <c r="AQ128" s="7"/>
      <c r="AR128"/>
      <c r="AS128" s="17"/>
      <c r="AV128"/>
      <c r="AW128" s="7"/>
      <c r="BB128" s="24"/>
      <c r="BC128"/>
      <c r="BG128"/>
    </row>
    <row r="129" spans="1:65" s="6" customFormat="1" x14ac:dyDescent="0.25">
      <c r="A129"/>
      <c r="B129"/>
      <c r="C129"/>
      <c r="D129"/>
      <c r="E129"/>
      <c r="F129"/>
      <c r="G129"/>
      <c r="H129" s="13"/>
      <c r="I129" s="13"/>
      <c r="J129"/>
      <c r="K129"/>
      <c r="L129"/>
      <c r="M129"/>
      <c r="N129"/>
      <c r="O129"/>
      <c r="P129"/>
      <c r="Q129"/>
      <c r="R129"/>
      <c r="S129"/>
      <c r="T129"/>
      <c r="U129" s="27"/>
      <c r="V129" s="14"/>
      <c r="W129" s="27"/>
      <c r="X129" s="27"/>
      <c r="Y129" s="27"/>
      <c r="Z129" s="27"/>
      <c r="AA129"/>
      <c r="AB129"/>
      <c r="AC129" s="27"/>
      <c r="AD129"/>
      <c r="AE129" s="27"/>
      <c r="AF129" s="27"/>
      <c r="AG129" s="28"/>
      <c r="AH129" s="15"/>
      <c r="AI129" s="15"/>
      <c r="AJ129"/>
      <c r="AK129" s="27"/>
      <c r="AL129"/>
      <c r="AM129"/>
      <c r="AN129"/>
      <c r="AO129" s="27"/>
      <c r="AP129" s="27"/>
      <c r="AQ129" s="15"/>
      <c r="AR129"/>
      <c r="AS129" s="27"/>
      <c r="AT129"/>
      <c r="AU129"/>
      <c r="AW129" s="13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</row>
    <row r="130" spans="1:65" s="6" customFormat="1" x14ac:dyDescent="0.25">
      <c r="F130" s="21"/>
      <c r="G130" s="10"/>
      <c r="H130" s="7"/>
      <c r="I130" s="7"/>
      <c r="U130" s="16"/>
      <c r="W130" s="16"/>
      <c r="X130" s="16"/>
      <c r="Y130" s="16"/>
      <c r="Z130" s="16"/>
      <c r="AC130" s="16"/>
      <c r="AE130" s="16"/>
      <c r="AF130" s="22"/>
      <c r="AG130" s="18"/>
      <c r="AH130" s="7"/>
      <c r="AI130" s="7"/>
      <c r="AK130" s="16"/>
      <c r="AO130" s="23"/>
      <c r="AP130" s="17"/>
      <c r="AQ130" s="7"/>
      <c r="AR130"/>
      <c r="AS130" s="17"/>
      <c r="AW130" s="7"/>
      <c r="BB130" s="24"/>
      <c r="BC130"/>
      <c r="BG130"/>
    </row>
    <row r="131" spans="1:65" s="6" customFormat="1" x14ac:dyDescent="0.25">
      <c r="F131" s="21"/>
      <c r="G131" s="10"/>
      <c r="H131" s="7"/>
      <c r="I131" s="13"/>
      <c r="U131" s="16"/>
      <c r="W131" s="16"/>
      <c r="X131" s="16"/>
      <c r="Y131" s="16"/>
      <c r="Z131" s="16"/>
      <c r="AC131" s="16"/>
      <c r="AE131" s="16"/>
      <c r="AF131" s="22"/>
      <c r="AG131" s="18"/>
      <c r="AH131" s="7"/>
      <c r="AI131" s="7"/>
      <c r="AK131" s="16"/>
      <c r="AO131" s="23"/>
      <c r="AP131" s="17"/>
      <c r="AQ131" s="7"/>
      <c r="AR131"/>
      <c r="AS131" s="17"/>
      <c r="AV131"/>
      <c r="AW131" s="7"/>
      <c r="BB131" s="24"/>
      <c r="BC131"/>
      <c r="BG131"/>
    </row>
    <row r="132" spans="1:65" s="6" customFormat="1" x14ac:dyDescent="0.25">
      <c r="F132" s="21"/>
      <c r="G132" s="10"/>
      <c r="H132" s="7"/>
      <c r="I132" s="13"/>
      <c r="U132" s="16"/>
      <c r="W132" s="16"/>
      <c r="X132" s="16"/>
      <c r="Y132" s="16"/>
      <c r="Z132" s="16"/>
      <c r="AC132" s="16"/>
      <c r="AE132" s="16"/>
      <c r="AF132" s="22"/>
      <c r="AG132" s="18"/>
      <c r="AH132" s="7"/>
      <c r="AI132" s="7"/>
      <c r="AK132" s="16"/>
      <c r="AO132" s="23"/>
      <c r="AP132" s="17"/>
      <c r="AQ132" s="7"/>
      <c r="AR132"/>
      <c r="AS132" s="17"/>
      <c r="AW132" s="7"/>
      <c r="BB132" s="24"/>
      <c r="BC132"/>
      <c r="BG132"/>
    </row>
    <row r="133" spans="1:65" s="6" customFormat="1" x14ac:dyDescent="0.25">
      <c r="A133"/>
      <c r="B133"/>
      <c r="C133"/>
      <c r="D133"/>
      <c r="E133"/>
      <c r="F133"/>
      <c r="G133"/>
      <c r="H133" s="13"/>
      <c r="I133" s="13"/>
      <c r="J133"/>
      <c r="K133"/>
      <c r="L133"/>
      <c r="M133"/>
      <c r="N133"/>
      <c r="O133"/>
      <c r="P133"/>
      <c r="Q133"/>
      <c r="R133"/>
      <c r="S133"/>
      <c r="T133"/>
      <c r="U133" s="27"/>
      <c r="V133" s="14"/>
      <c r="W133" s="27"/>
      <c r="X133" s="27"/>
      <c r="Y133" s="27"/>
      <c r="Z133" s="27"/>
      <c r="AA133"/>
      <c r="AB133"/>
      <c r="AC133" s="27"/>
      <c r="AD133"/>
      <c r="AE133" s="27"/>
      <c r="AF133" s="27"/>
      <c r="AG133" s="28"/>
      <c r="AH133" s="15"/>
      <c r="AI133" s="15"/>
      <c r="AJ133"/>
      <c r="AK133" s="27"/>
      <c r="AL133"/>
      <c r="AM133"/>
      <c r="AN133"/>
      <c r="AO133" s="27"/>
      <c r="AP133" s="27"/>
      <c r="AQ133" s="15"/>
      <c r="AR133"/>
      <c r="AS133" s="27"/>
      <c r="AT133"/>
      <c r="AU133"/>
      <c r="AV133"/>
      <c r="AW133" s="1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</row>
    <row r="134" spans="1:65" s="6" customFormat="1" x14ac:dyDescent="0.25">
      <c r="A134"/>
      <c r="B134"/>
      <c r="C134"/>
      <c r="D134"/>
      <c r="E134"/>
      <c r="F134"/>
      <c r="G134"/>
      <c r="H134" s="13"/>
      <c r="I134" s="13"/>
      <c r="J134"/>
      <c r="K134"/>
      <c r="L134"/>
      <c r="M134"/>
      <c r="N134"/>
      <c r="O134"/>
      <c r="P134"/>
      <c r="Q134"/>
      <c r="R134"/>
      <c r="S134"/>
      <c r="T134"/>
      <c r="U134" s="27"/>
      <c r="V134" s="14"/>
      <c r="W134" s="27"/>
      <c r="X134" s="27"/>
      <c r="Y134" s="27"/>
      <c r="Z134" s="27"/>
      <c r="AA134"/>
      <c r="AB134"/>
      <c r="AC134" s="27"/>
      <c r="AD134"/>
      <c r="AE134" s="27"/>
      <c r="AF134" s="27"/>
      <c r="AG134" s="28"/>
      <c r="AH134" s="15"/>
      <c r="AI134" s="15"/>
      <c r="AJ134"/>
      <c r="AK134" s="27"/>
      <c r="AL134"/>
      <c r="AM134"/>
      <c r="AN134"/>
      <c r="AO134" s="27"/>
      <c r="AP134" s="27"/>
      <c r="AQ134" s="15"/>
      <c r="AR134"/>
      <c r="AS134" s="27"/>
      <c r="AT134"/>
      <c r="AU134"/>
      <c r="AV134"/>
      <c r="AW134" s="13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</row>
    <row r="135" spans="1:65" s="6" customFormat="1" x14ac:dyDescent="0.25">
      <c r="F135" s="21"/>
      <c r="G135" s="10"/>
      <c r="H135" s="7"/>
      <c r="I135" s="13"/>
      <c r="U135" s="16"/>
      <c r="W135" s="16"/>
      <c r="X135" s="16"/>
      <c r="Y135" s="16"/>
      <c r="Z135" s="16"/>
      <c r="AC135" s="16"/>
      <c r="AE135" s="16"/>
      <c r="AF135" s="22"/>
      <c r="AG135" s="18"/>
      <c r="AH135" s="7"/>
      <c r="AI135" s="7"/>
      <c r="AK135" s="16"/>
      <c r="AO135" s="23"/>
      <c r="AP135" s="17"/>
      <c r="AQ135" s="7"/>
      <c r="AR135"/>
      <c r="AS135" s="17"/>
      <c r="AW135" s="7"/>
      <c r="BB135" s="24"/>
      <c r="BC135"/>
      <c r="BG135"/>
    </row>
    <row r="136" spans="1:65" s="6" customFormat="1" x14ac:dyDescent="0.25">
      <c r="F136" s="21"/>
      <c r="G136" s="10"/>
      <c r="H136" s="7"/>
      <c r="I136" s="7"/>
      <c r="U136" s="16"/>
      <c r="W136" s="16"/>
      <c r="X136" s="16"/>
      <c r="Y136" s="16"/>
      <c r="Z136" s="16"/>
      <c r="AC136" s="16"/>
      <c r="AE136" s="16"/>
      <c r="AF136" s="22"/>
      <c r="AG136" s="18"/>
      <c r="AH136" s="7"/>
      <c r="AI136" s="7"/>
      <c r="AK136" s="16"/>
      <c r="AO136" s="23"/>
      <c r="AP136" s="17"/>
      <c r="AQ136" s="7"/>
      <c r="AR136"/>
      <c r="AS136" s="17"/>
      <c r="AW136" s="7"/>
      <c r="BB136" s="24"/>
      <c r="BC136"/>
      <c r="BG136"/>
    </row>
    <row r="137" spans="1:65" s="6" customFormat="1" x14ac:dyDescent="0.25">
      <c r="F137" s="21"/>
      <c r="G137" s="10"/>
      <c r="H137" s="7"/>
      <c r="I137" s="13"/>
      <c r="U137" s="16"/>
      <c r="W137" s="16"/>
      <c r="X137" s="16"/>
      <c r="Y137" s="16"/>
      <c r="Z137" s="16"/>
      <c r="AC137" s="16"/>
      <c r="AE137" s="16"/>
      <c r="AF137" s="22"/>
      <c r="AG137" s="18"/>
      <c r="AH137" s="7"/>
      <c r="AI137" s="7"/>
      <c r="AK137" s="16"/>
      <c r="AO137" s="23"/>
      <c r="AP137" s="17"/>
      <c r="AQ137" s="7"/>
      <c r="AR137"/>
      <c r="AS137" s="17"/>
      <c r="AV137"/>
      <c r="AW137" s="7"/>
      <c r="BB137" s="24"/>
      <c r="BC137"/>
      <c r="BG137"/>
    </row>
    <row r="138" spans="1:65" s="6" customFormat="1" x14ac:dyDescent="0.25">
      <c r="A138"/>
      <c r="B138"/>
      <c r="C138"/>
      <c r="D138"/>
      <c r="E138"/>
      <c r="F138"/>
      <c r="G138"/>
      <c r="H138" s="13"/>
      <c r="I138" s="13"/>
      <c r="J138"/>
      <c r="K138"/>
      <c r="L138"/>
      <c r="M138"/>
      <c r="N138"/>
      <c r="O138"/>
      <c r="P138"/>
      <c r="Q138"/>
      <c r="R138"/>
      <c r="S138"/>
      <c r="T138"/>
      <c r="U138" s="27"/>
      <c r="V138" s="14"/>
      <c r="W138" s="27"/>
      <c r="X138" s="27"/>
      <c r="Y138" s="27"/>
      <c r="Z138" s="27"/>
      <c r="AA138"/>
      <c r="AB138"/>
      <c r="AC138" s="27"/>
      <c r="AD138"/>
      <c r="AE138" s="27"/>
      <c r="AF138" s="27"/>
      <c r="AG138" s="28"/>
      <c r="AH138" s="15"/>
      <c r="AI138" s="15"/>
      <c r="AJ138"/>
      <c r="AK138" s="27"/>
      <c r="AL138"/>
      <c r="AM138"/>
      <c r="AN138"/>
      <c r="AO138" s="27"/>
      <c r="AP138" s="27"/>
      <c r="AQ138" s="15"/>
      <c r="AR138"/>
      <c r="AS138" s="27"/>
      <c r="AT138"/>
      <c r="AU138"/>
      <c r="AW138" s="13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</row>
    <row r="139" spans="1:65" s="6" customFormat="1" x14ac:dyDescent="0.25">
      <c r="F139" s="21"/>
      <c r="G139" s="10"/>
      <c r="H139" s="7"/>
      <c r="I139" s="7"/>
      <c r="U139" s="16"/>
      <c r="W139" s="16"/>
      <c r="X139" s="16"/>
      <c r="Y139" s="16"/>
      <c r="Z139" s="16"/>
      <c r="AC139" s="16"/>
      <c r="AE139" s="16"/>
      <c r="AF139" s="22"/>
      <c r="AG139" s="18"/>
      <c r="AH139" s="7"/>
      <c r="AI139" s="7"/>
      <c r="AK139" s="16"/>
      <c r="AO139" s="23"/>
      <c r="AP139" s="17"/>
      <c r="AQ139" s="7"/>
      <c r="AR139"/>
      <c r="AS139" s="17"/>
      <c r="AW139" s="7"/>
      <c r="BB139" s="24"/>
      <c r="BC139"/>
      <c r="BG139"/>
    </row>
    <row r="140" spans="1:65" s="6" customFormat="1" x14ac:dyDescent="0.25">
      <c r="F140" s="21"/>
      <c r="G140" s="10"/>
      <c r="H140" s="7"/>
      <c r="I140" s="13"/>
      <c r="U140" s="16"/>
      <c r="W140" s="16"/>
      <c r="X140" s="16"/>
      <c r="Y140" s="16"/>
      <c r="Z140" s="16"/>
      <c r="AC140" s="16"/>
      <c r="AE140" s="16"/>
      <c r="AF140" s="22"/>
      <c r="AG140" s="18"/>
      <c r="AH140" s="7"/>
      <c r="AI140" s="7"/>
      <c r="AK140" s="16"/>
      <c r="AO140" s="23"/>
      <c r="AP140" s="17"/>
      <c r="AQ140" s="7"/>
      <c r="AR140"/>
      <c r="AS140" s="17"/>
      <c r="AV140"/>
      <c r="AW140" s="7"/>
      <c r="BB140" s="24"/>
      <c r="BC140"/>
      <c r="BG140"/>
    </row>
    <row r="141" spans="1:65" s="6" customFormat="1" x14ac:dyDescent="0.25">
      <c r="F141" s="21"/>
      <c r="G141" s="10"/>
      <c r="H141" s="7"/>
      <c r="I141" s="13"/>
      <c r="U141" s="16"/>
      <c r="W141" s="16"/>
      <c r="X141" s="16"/>
      <c r="Y141" s="16"/>
      <c r="Z141" s="16"/>
      <c r="AC141" s="16"/>
      <c r="AE141" s="16"/>
      <c r="AF141" s="22"/>
      <c r="AG141" s="18"/>
      <c r="AH141" s="7"/>
      <c r="AI141" s="7"/>
      <c r="AK141" s="16"/>
      <c r="AO141" s="23"/>
      <c r="AP141" s="17"/>
      <c r="AQ141" s="7"/>
      <c r="AR141"/>
      <c r="AS141" s="17"/>
      <c r="AW141" s="7"/>
      <c r="BB141" s="24"/>
      <c r="BC141"/>
      <c r="BG141"/>
    </row>
    <row r="142" spans="1:65" s="6" customFormat="1" x14ac:dyDescent="0.25">
      <c r="A142"/>
      <c r="B142"/>
      <c r="C142"/>
      <c r="D142"/>
      <c r="E142"/>
      <c r="F142"/>
      <c r="G142"/>
      <c r="H142" s="13"/>
      <c r="I142" s="13"/>
      <c r="J142"/>
      <c r="K142"/>
      <c r="L142"/>
      <c r="M142"/>
      <c r="N142"/>
      <c r="O142"/>
      <c r="P142"/>
      <c r="Q142"/>
      <c r="R142"/>
      <c r="S142"/>
      <c r="T142"/>
      <c r="U142" s="27"/>
      <c r="V142" s="14"/>
      <c r="W142" s="27"/>
      <c r="X142" s="27"/>
      <c r="Y142" s="27"/>
      <c r="Z142" s="27"/>
      <c r="AA142"/>
      <c r="AB142"/>
      <c r="AC142" s="27"/>
      <c r="AD142"/>
      <c r="AE142" s="27"/>
      <c r="AF142" s="27"/>
      <c r="AG142" s="28"/>
      <c r="AH142" s="15"/>
      <c r="AI142" s="15"/>
      <c r="AJ142"/>
      <c r="AK142" s="27"/>
      <c r="AL142"/>
      <c r="AM142"/>
      <c r="AN142"/>
      <c r="AO142" s="27"/>
      <c r="AP142" s="27"/>
      <c r="AQ142" s="15"/>
      <c r="AR142"/>
      <c r="AS142" s="27"/>
      <c r="AT142"/>
      <c r="AU142"/>
      <c r="AV142"/>
      <c r="AW142" s="13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</row>
    <row r="143" spans="1:65" s="6" customFormat="1" x14ac:dyDescent="0.25">
      <c r="A143"/>
      <c r="B143"/>
      <c r="C143"/>
      <c r="D143"/>
      <c r="E143"/>
      <c r="F143"/>
      <c r="G143"/>
      <c r="H143" s="13"/>
      <c r="I143" s="13"/>
      <c r="J143"/>
      <c r="K143"/>
      <c r="L143"/>
      <c r="M143"/>
      <c r="N143"/>
      <c r="O143"/>
      <c r="P143"/>
      <c r="Q143"/>
      <c r="R143"/>
      <c r="S143"/>
      <c r="T143"/>
      <c r="U143" s="27"/>
      <c r="V143" s="14"/>
      <c r="W143" s="27"/>
      <c r="X143" s="27"/>
      <c r="Y143" s="27"/>
      <c r="Z143" s="27"/>
      <c r="AA143"/>
      <c r="AB143"/>
      <c r="AC143" s="27"/>
      <c r="AD143"/>
      <c r="AE143" s="27"/>
      <c r="AF143" s="27"/>
      <c r="AG143" s="28"/>
      <c r="AH143" s="15"/>
      <c r="AI143" s="15"/>
      <c r="AJ143"/>
      <c r="AK143" s="27"/>
      <c r="AL143"/>
      <c r="AM143"/>
      <c r="AN143"/>
      <c r="AO143" s="27"/>
      <c r="AP143" s="27"/>
      <c r="AQ143" s="15"/>
      <c r="AR143"/>
      <c r="AS143" s="27"/>
      <c r="AT143"/>
      <c r="AU143"/>
      <c r="AV143"/>
      <c r="AW143" s="1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</row>
    <row r="144" spans="1:65" s="6" customFormat="1" x14ac:dyDescent="0.25">
      <c r="F144" s="21"/>
      <c r="G144" s="10"/>
      <c r="H144" s="7"/>
      <c r="I144" s="13"/>
      <c r="U144" s="16"/>
      <c r="W144" s="16"/>
      <c r="X144" s="16"/>
      <c r="Y144" s="16"/>
      <c r="Z144" s="16"/>
      <c r="AC144" s="16"/>
      <c r="AE144" s="16"/>
      <c r="AF144" s="22"/>
      <c r="AG144" s="18"/>
      <c r="AH144" s="7"/>
      <c r="AI144" s="7"/>
      <c r="AK144" s="16"/>
      <c r="AO144" s="23"/>
      <c r="AP144" s="17"/>
      <c r="AQ144" s="7"/>
      <c r="AR144"/>
      <c r="AS144" s="17"/>
      <c r="AW144" s="7"/>
      <c r="BB144" s="24"/>
      <c r="BC144"/>
      <c r="BG144"/>
    </row>
    <row r="145" spans="1:65" s="6" customFormat="1" x14ac:dyDescent="0.25">
      <c r="F145" s="21"/>
      <c r="G145" s="10"/>
      <c r="H145" s="7"/>
      <c r="I145" s="7"/>
      <c r="U145" s="16"/>
      <c r="W145" s="16"/>
      <c r="X145" s="16"/>
      <c r="Y145" s="16"/>
      <c r="Z145" s="16"/>
      <c r="AC145" s="16"/>
      <c r="AE145" s="16"/>
      <c r="AF145" s="22"/>
      <c r="AG145" s="18"/>
      <c r="AH145" s="7"/>
      <c r="AI145" s="7"/>
      <c r="AK145" s="16"/>
      <c r="AO145" s="23"/>
      <c r="AP145" s="17"/>
      <c r="AQ145" s="7"/>
      <c r="AR145"/>
      <c r="AS145" s="17"/>
      <c r="AW145" s="7"/>
      <c r="BB145" s="24"/>
      <c r="BC145"/>
      <c r="BG145"/>
    </row>
    <row r="146" spans="1:65" s="6" customFormat="1" x14ac:dyDescent="0.25">
      <c r="F146" s="21"/>
      <c r="G146" s="10"/>
      <c r="H146" s="7"/>
      <c r="I146" s="13"/>
      <c r="U146" s="16"/>
      <c r="W146" s="16"/>
      <c r="X146" s="16"/>
      <c r="Y146" s="16"/>
      <c r="Z146" s="16"/>
      <c r="AC146" s="16"/>
      <c r="AE146" s="16"/>
      <c r="AF146" s="22"/>
      <c r="AG146" s="18"/>
      <c r="AH146" s="7"/>
      <c r="AI146" s="7"/>
      <c r="AK146" s="16"/>
      <c r="AO146" s="23"/>
      <c r="AP146" s="17"/>
      <c r="AQ146" s="7"/>
      <c r="AR146"/>
      <c r="AS146" s="17"/>
      <c r="AV146"/>
      <c r="AW146" s="7"/>
      <c r="BB146" s="24"/>
      <c r="BC146"/>
      <c r="BG146"/>
    </row>
    <row r="147" spans="1:65" s="6" customFormat="1" x14ac:dyDescent="0.25">
      <c r="A147"/>
      <c r="B147"/>
      <c r="C147"/>
      <c r="D147"/>
      <c r="E147"/>
      <c r="F147"/>
      <c r="G147"/>
      <c r="H147" s="13"/>
      <c r="I147" s="13"/>
      <c r="J147"/>
      <c r="K147"/>
      <c r="L147"/>
      <c r="M147"/>
      <c r="N147"/>
      <c r="O147"/>
      <c r="P147"/>
      <c r="Q147"/>
      <c r="R147"/>
      <c r="S147"/>
      <c r="T147"/>
      <c r="U147" s="27"/>
      <c r="V147" s="14"/>
      <c r="W147" s="27"/>
      <c r="X147" s="27"/>
      <c r="Y147" s="27"/>
      <c r="Z147" s="27"/>
      <c r="AA147"/>
      <c r="AB147"/>
      <c r="AC147" s="27"/>
      <c r="AD147"/>
      <c r="AE147" s="27"/>
      <c r="AF147" s="27"/>
      <c r="AG147" s="28"/>
      <c r="AH147" s="15"/>
      <c r="AI147" s="15"/>
      <c r="AJ147"/>
      <c r="AK147" s="27"/>
      <c r="AL147"/>
      <c r="AM147"/>
      <c r="AN147"/>
      <c r="AO147" s="27"/>
      <c r="AP147" s="27"/>
      <c r="AQ147" s="15"/>
      <c r="AR147"/>
      <c r="AS147" s="27"/>
      <c r="AT147"/>
      <c r="AU147"/>
      <c r="AW147" s="13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</row>
    <row r="148" spans="1:65" s="6" customFormat="1" x14ac:dyDescent="0.25">
      <c r="F148" s="21"/>
      <c r="G148" s="10"/>
      <c r="H148" s="7"/>
      <c r="I148" s="7"/>
      <c r="U148" s="16"/>
      <c r="W148" s="16"/>
      <c r="X148" s="16"/>
      <c r="Y148" s="16"/>
      <c r="Z148" s="16"/>
      <c r="AC148" s="16"/>
      <c r="AE148" s="16"/>
      <c r="AF148" s="22"/>
      <c r="AG148" s="18"/>
      <c r="AH148" s="7"/>
      <c r="AI148" s="7"/>
      <c r="AK148" s="16"/>
      <c r="AO148" s="23"/>
      <c r="AP148" s="17"/>
      <c r="AQ148" s="7"/>
      <c r="AR148"/>
      <c r="AS148" s="17"/>
      <c r="AW148" s="7"/>
      <c r="BB148" s="24"/>
      <c r="BC148"/>
      <c r="BG148"/>
    </row>
    <row r="149" spans="1:65" s="6" customFormat="1" x14ac:dyDescent="0.25">
      <c r="F149" s="21"/>
      <c r="G149" s="10"/>
      <c r="H149" s="7"/>
      <c r="I149" s="13"/>
      <c r="U149" s="16"/>
      <c r="W149" s="16"/>
      <c r="X149" s="16"/>
      <c r="Y149" s="16"/>
      <c r="Z149" s="16"/>
      <c r="AC149" s="16"/>
      <c r="AE149" s="16"/>
      <c r="AF149" s="22"/>
      <c r="AG149" s="18"/>
      <c r="AH149" s="7"/>
      <c r="AI149" s="7"/>
      <c r="AK149" s="16"/>
      <c r="AO149" s="23"/>
      <c r="AP149" s="17"/>
      <c r="AQ149" s="7"/>
      <c r="AR149"/>
      <c r="AS149" s="17"/>
      <c r="AV149"/>
      <c r="AW149" s="7"/>
      <c r="BB149" s="24"/>
      <c r="BC149"/>
      <c r="BG149"/>
    </row>
    <row r="150" spans="1:65" s="6" customFormat="1" x14ac:dyDescent="0.25">
      <c r="F150" s="21"/>
      <c r="G150" s="10"/>
      <c r="H150" s="7"/>
      <c r="I150" s="13"/>
      <c r="U150" s="16"/>
      <c r="W150" s="16"/>
      <c r="X150" s="16"/>
      <c r="Y150" s="16"/>
      <c r="Z150" s="16"/>
      <c r="AC150" s="16"/>
      <c r="AE150" s="16"/>
      <c r="AF150" s="22"/>
      <c r="AG150" s="18"/>
      <c r="AH150" s="7"/>
      <c r="AI150" s="7"/>
      <c r="AK150" s="16"/>
      <c r="AO150" s="23"/>
      <c r="AP150" s="17"/>
      <c r="AQ150" s="7"/>
      <c r="AR150"/>
      <c r="AS150" s="17"/>
      <c r="AW150" s="7"/>
      <c r="BB150" s="24"/>
      <c r="BC150"/>
      <c r="BG150"/>
    </row>
    <row r="151" spans="1:65" s="6" customFormat="1" x14ac:dyDescent="0.25">
      <c r="A151"/>
      <c r="B151"/>
      <c r="C151"/>
      <c r="D151"/>
      <c r="E151"/>
      <c r="F151"/>
      <c r="G151"/>
      <c r="H151" s="13"/>
      <c r="I151" s="13"/>
      <c r="J151"/>
      <c r="K151"/>
      <c r="L151"/>
      <c r="M151"/>
      <c r="N151"/>
      <c r="O151"/>
      <c r="P151"/>
      <c r="Q151"/>
      <c r="R151"/>
      <c r="S151"/>
      <c r="T151"/>
      <c r="U151" s="27"/>
      <c r="V151" s="14"/>
      <c r="W151" s="27"/>
      <c r="X151" s="27"/>
      <c r="Y151" s="27"/>
      <c r="Z151" s="27"/>
      <c r="AA151"/>
      <c r="AB151"/>
      <c r="AC151" s="27"/>
      <c r="AD151"/>
      <c r="AE151" s="27"/>
      <c r="AF151" s="27"/>
      <c r="AG151" s="28"/>
      <c r="AH151" s="15"/>
      <c r="AI151" s="15"/>
      <c r="AJ151"/>
      <c r="AK151" s="27"/>
      <c r="AL151"/>
      <c r="AM151"/>
      <c r="AN151"/>
      <c r="AO151" s="27"/>
      <c r="AP151" s="27"/>
      <c r="AQ151" s="15"/>
      <c r="AR151"/>
      <c r="AS151" s="27"/>
      <c r="AT151"/>
      <c r="AU151"/>
      <c r="AV151"/>
      <c r="AW151" s="13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</row>
    <row r="152" spans="1:65" s="6" customFormat="1" x14ac:dyDescent="0.25">
      <c r="A152"/>
      <c r="B152"/>
      <c r="C152"/>
      <c r="D152"/>
      <c r="E152"/>
      <c r="F152"/>
      <c r="G152"/>
      <c r="H152" s="13"/>
      <c r="I152" s="13"/>
      <c r="J152"/>
      <c r="K152"/>
      <c r="L152"/>
      <c r="M152"/>
      <c r="N152"/>
      <c r="O152"/>
      <c r="P152"/>
      <c r="Q152"/>
      <c r="R152"/>
      <c r="S152"/>
      <c r="T152"/>
      <c r="U152" s="27"/>
      <c r="V152" s="14"/>
      <c r="W152" s="27"/>
      <c r="X152" s="27"/>
      <c r="Y152" s="27"/>
      <c r="Z152" s="27"/>
      <c r="AA152"/>
      <c r="AB152"/>
      <c r="AC152" s="27"/>
      <c r="AD152"/>
      <c r="AE152" s="27"/>
      <c r="AF152" s="27"/>
      <c r="AG152" s="28"/>
      <c r="AH152" s="15"/>
      <c r="AI152" s="15"/>
      <c r="AJ152"/>
      <c r="AK152" s="27"/>
      <c r="AL152"/>
      <c r="AM152"/>
      <c r="AN152"/>
      <c r="AO152" s="27"/>
      <c r="AP152" s="27"/>
      <c r="AQ152" s="15"/>
      <c r="AR152"/>
      <c r="AS152" s="27"/>
      <c r="AT152"/>
      <c r="AU152"/>
      <c r="AV152"/>
      <c r="AW152" s="13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</row>
    <row r="153" spans="1:65" s="6" customFormat="1" x14ac:dyDescent="0.25">
      <c r="F153" s="21"/>
      <c r="G153" s="10"/>
      <c r="H153" s="7"/>
      <c r="I153" s="13"/>
      <c r="U153" s="16"/>
      <c r="W153" s="16"/>
      <c r="X153" s="16"/>
      <c r="Y153" s="16"/>
      <c r="Z153" s="16"/>
      <c r="AC153" s="16"/>
      <c r="AE153" s="16"/>
      <c r="AF153" s="22"/>
      <c r="AG153" s="18"/>
      <c r="AH153" s="7"/>
      <c r="AI153" s="7"/>
      <c r="AK153" s="16"/>
      <c r="AO153" s="23"/>
      <c r="AP153" s="17"/>
      <c r="AQ153" s="7"/>
      <c r="AR153"/>
      <c r="AS153" s="17"/>
      <c r="AW153" s="7"/>
      <c r="BB153" s="24"/>
      <c r="BC153"/>
      <c r="BG153"/>
    </row>
    <row r="154" spans="1:65" s="6" customFormat="1" x14ac:dyDescent="0.25">
      <c r="F154" s="21"/>
      <c r="G154" s="10"/>
      <c r="H154" s="7"/>
      <c r="I154" s="7"/>
      <c r="U154" s="16"/>
      <c r="W154" s="16"/>
      <c r="X154" s="16"/>
      <c r="Y154" s="16"/>
      <c r="Z154" s="16"/>
      <c r="AC154" s="16"/>
      <c r="AE154" s="16"/>
      <c r="AF154" s="22"/>
      <c r="AG154" s="18"/>
      <c r="AH154" s="7"/>
      <c r="AI154" s="7"/>
      <c r="AK154" s="16"/>
      <c r="AO154" s="23"/>
      <c r="AP154" s="17"/>
      <c r="AQ154" s="7"/>
      <c r="AR154"/>
      <c r="AS154" s="17"/>
      <c r="AW154" s="7"/>
      <c r="BB154" s="24"/>
      <c r="BC154"/>
      <c r="BG154"/>
    </row>
    <row r="155" spans="1:65" s="6" customFormat="1" x14ac:dyDescent="0.25">
      <c r="F155" s="21"/>
      <c r="G155" s="10"/>
      <c r="H155" s="7"/>
      <c r="I155" s="13"/>
      <c r="U155" s="16"/>
      <c r="W155" s="16"/>
      <c r="X155" s="16"/>
      <c r="Y155" s="16"/>
      <c r="Z155" s="16"/>
      <c r="AC155" s="16"/>
      <c r="AE155" s="16"/>
      <c r="AF155" s="22"/>
      <c r="AG155" s="18"/>
      <c r="AH155" s="7"/>
      <c r="AI155" s="7"/>
      <c r="AK155" s="16"/>
      <c r="AO155" s="23"/>
      <c r="AP155" s="17"/>
      <c r="AQ155" s="7"/>
      <c r="AR155"/>
      <c r="AS155" s="17"/>
      <c r="AV155"/>
      <c r="AW155" s="7"/>
      <c r="BB155" s="24"/>
      <c r="BC155"/>
      <c r="BG155"/>
    </row>
    <row r="156" spans="1:65" s="6" customFormat="1" x14ac:dyDescent="0.25">
      <c r="A156"/>
      <c r="B156"/>
      <c r="C156"/>
      <c r="D156"/>
      <c r="E156"/>
      <c r="F156"/>
      <c r="G156"/>
      <c r="H156" s="13"/>
      <c r="I156" s="13"/>
      <c r="J156"/>
      <c r="K156"/>
      <c r="L156"/>
      <c r="M156"/>
      <c r="N156"/>
      <c r="O156"/>
      <c r="P156"/>
      <c r="Q156"/>
      <c r="R156"/>
      <c r="S156"/>
      <c r="T156"/>
      <c r="U156" s="27"/>
      <c r="V156" s="14"/>
      <c r="W156" s="27"/>
      <c r="X156" s="27"/>
      <c r="Y156" s="27"/>
      <c r="Z156" s="27"/>
      <c r="AA156"/>
      <c r="AB156"/>
      <c r="AC156" s="27"/>
      <c r="AD156"/>
      <c r="AE156" s="27"/>
      <c r="AF156" s="27"/>
      <c r="AG156" s="28"/>
      <c r="AH156" s="15"/>
      <c r="AI156" s="15"/>
      <c r="AJ156"/>
      <c r="AK156" s="27"/>
      <c r="AL156"/>
      <c r="AM156"/>
      <c r="AN156"/>
      <c r="AO156" s="27"/>
      <c r="AP156" s="27"/>
      <c r="AQ156" s="15"/>
      <c r="AR156"/>
      <c r="AS156" s="27"/>
      <c r="AT156"/>
      <c r="AU156"/>
      <c r="AW156" s="13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</row>
    <row r="157" spans="1:65" s="6" customFormat="1" x14ac:dyDescent="0.25">
      <c r="F157" s="21"/>
      <c r="G157" s="10"/>
      <c r="H157" s="7"/>
      <c r="I157" s="7"/>
      <c r="U157" s="16"/>
      <c r="W157" s="16"/>
      <c r="X157" s="16"/>
      <c r="Y157" s="16"/>
      <c r="Z157" s="16"/>
      <c r="AC157" s="16"/>
      <c r="AE157" s="16"/>
      <c r="AF157" s="22"/>
      <c r="AG157" s="18"/>
      <c r="AH157" s="7"/>
      <c r="AI157" s="7"/>
      <c r="AK157" s="16"/>
      <c r="AO157" s="23"/>
      <c r="AP157" s="17"/>
      <c r="AQ157" s="7"/>
      <c r="AR157"/>
      <c r="AS157" s="17"/>
      <c r="AW157" s="7"/>
      <c r="BB157" s="24"/>
      <c r="BC157"/>
      <c r="BG157"/>
    </row>
    <row r="158" spans="1:65" s="6" customFormat="1" x14ac:dyDescent="0.25">
      <c r="F158" s="21"/>
      <c r="G158" s="10"/>
      <c r="H158" s="7"/>
      <c r="I158" s="13"/>
      <c r="U158" s="16"/>
      <c r="W158" s="16"/>
      <c r="X158" s="16"/>
      <c r="Y158" s="16"/>
      <c r="Z158" s="16"/>
      <c r="AC158" s="16"/>
      <c r="AE158" s="16"/>
      <c r="AF158" s="22"/>
      <c r="AG158" s="18"/>
      <c r="AH158" s="7"/>
      <c r="AI158" s="7"/>
      <c r="AK158" s="16"/>
      <c r="AO158" s="23"/>
      <c r="AP158" s="17"/>
      <c r="AQ158" s="7"/>
      <c r="AR158"/>
      <c r="AS158" s="17"/>
      <c r="AV158"/>
      <c r="AW158" s="7"/>
      <c r="BB158" s="24"/>
      <c r="BC158"/>
      <c r="BG158"/>
    </row>
    <row r="159" spans="1:65" s="6" customFormat="1" x14ac:dyDescent="0.25">
      <c r="F159" s="21"/>
      <c r="G159" s="10"/>
      <c r="H159" s="7"/>
      <c r="I159" s="13"/>
      <c r="U159" s="16"/>
      <c r="W159" s="16"/>
      <c r="X159" s="16"/>
      <c r="Y159" s="16"/>
      <c r="Z159" s="16"/>
      <c r="AC159" s="16"/>
      <c r="AE159" s="16"/>
      <c r="AF159" s="22"/>
      <c r="AG159" s="18"/>
      <c r="AH159" s="7"/>
      <c r="AI159" s="7"/>
      <c r="AK159" s="16"/>
      <c r="AO159" s="23"/>
      <c r="AP159" s="17"/>
      <c r="AQ159" s="7"/>
      <c r="AR159"/>
      <c r="AS159" s="17"/>
      <c r="AW159" s="7"/>
      <c r="BB159" s="24"/>
      <c r="BC159"/>
      <c r="BG159"/>
    </row>
    <row r="160" spans="1:65" s="6" customFormat="1" x14ac:dyDescent="0.25">
      <c r="A160"/>
      <c r="B160"/>
      <c r="C160"/>
      <c r="D160"/>
      <c r="E160"/>
      <c r="F160"/>
      <c r="G160"/>
      <c r="H160" s="13"/>
      <c r="I160" s="13"/>
      <c r="J160"/>
      <c r="K160"/>
      <c r="L160"/>
      <c r="M160"/>
      <c r="N160"/>
      <c r="O160"/>
      <c r="P160"/>
      <c r="Q160"/>
      <c r="R160"/>
      <c r="S160"/>
      <c r="T160"/>
      <c r="U160" s="27"/>
      <c r="V160" s="14"/>
      <c r="W160" s="27"/>
      <c r="X160" s="27"/>
      <c r="Y160" s="27"/>
      <c r="Z160" s="27"/>
      <c r="AA160"/>
      <c r="AB160"/>
      <c r="AC160" s="27"/>
      <c r="AD160"/>
      <c r="AE160" s="27"/>
      <c r="AF160" s="27"/>
      <c r="AG160" s="28"/>
      <c r="AH160" s="15"/>
      <c r="AI160" s="15"/>
      <c r="AJ160"/>
      <c r="AK160" s="27"/>
      <c r="AL160"/>
      <c r="AM160"/>
      <c r="AN160"/>
      <c r="AO160" s="27"/>
      <c r="AP160" s="27"/>
      <c r="AQ160" s="15"/>
      <c r="AR160"/>
      <c r="AS160" s="27"/>
      <c r="AT160"/>
      <c r="AU160"/>
      <c r="AV160"/>
      <c r="AW160" s="13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</row>
    <row r="161" spans="1:65" s="6" customFormat="1" x14ac:dyDescent="0.25">
      <c r="A161"/>
      <c r="B161"/>
      <c r="C161"/>
      <c r="D161"/>
      <c r="E161"/>
      <c r="F161"/>
      <c r="G161"/>
      <c r="H161" s="13"/>
      <c r="I161" s="13"/>
      <c r="J161"/>
      <c r="K161"/>
      <c r="L161"/>
      <c r="M161"/>
      <c r="N161"/>
      <c r="O161"/>
      <c r="P161"/>
      <c r="Q161"/>
      <c r="R161"/>
      <c r="S161"/>
      <c r="T161"/>
      <c r="U161" s="27"/>
      <c r="V161" s="14"/>
      <c r="W161" s="27"/>
      <c r="X161" s="27"/>
      <c r="Y161" s="27"/>
      <c r="Z161" s="27"/>
      <c r="AA161"/>
      <c r="AB161"/>
      <c r="AC161" s="27"/>
      <c r="AD161"/>
      <c r="AE161" s="27"/>
      <c r="AF161" s="27"/>
      <c r="AG161" s="28"/>
      <c r="AH161" s="15"/>
      <c r="AI161" s="15"/>
      <c r="AJ161"/>
      <c r="AK161" s="27"/>
      <c r="AL161"/>
      <c r="AM161"/>
      <c r="AN161"/>
      <c r="AO161" s="27"/>
      <c r="AP161" s="27"/>
      <c r="AQ161" s="15"/>
      <c r="AR161"/>
      <c r="AS161" s="27"/>
      <c r="AT161"/>
      <c r="AU161"/>
      <c r="AV161"/>
      <c r="AW161" s="13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</row>
    <row r="162" spans="1:65" s="6" customFormat="1" x14ac:dyDescent="0.25">
      <c r="F162" s="21"/>
      <c r="G162" s="10"/>
      <c r="H162" s="7"/>
      <c r="I162" s="13"/>
      <c r="U162" s="16"/>
      <c r="W162" s="16"/>
      <c r="X162" s="16"/>
      <c r="Y162" s="16"/>
      <c r="Z162" s="16"/>
      <c r="AC162" s="16"/>
      <c r="AE162" s="16"/>
      <c r="AF162" s="22"/>
      <c r="AG162" s="18"/>
      <c r="AH162" s="7"/>
      <c r="AI162" s="7"/>
      <c r="AK162" s="16"/>
      <c r="AO162" s="23"/>
      <c r="AP162" s="17"/>
      <c r="AQ162" s="7"/>
      <c r="AR162"/>
      <c r="AS162" s="17"/>
      <c r="AW162" s="7"/>
      <c r="BB162" s="24"/>
      <c r="BC162"/>
      <c r="BG162"/>
    </row>
    <row r="163" spans="1:65" s="6" customFormat="1" x14ac:dyDescent="0.25">
      <c r="F163" s="21"/>
      <c r="G163" s="10"/>
      <c r="H163" s="7"/>
      <c r="I163" s="7"/>
      <c r="U163" s="16"/>
      <c r="W163" s="16"/>
      <c r="X163" s="16"/>
      <c r="Y163" s="16"/>
      <c r="Z163" s="16"/>
      <c r="AC163" s="16"/>
      <c r="AE163" s="16"/>
      <c r="AF163" s="22"/>
      <c r="AG163" s="18"/>
      <c r="AH163" s="7"/>
      <c r="AI163" s="7"/>
      <c r="AK163" s="16"/>
      <c r="AO163" s="23"/>
      <c r="AP163" s="17"/>
      <c r="AQ163" s="7"/>
      <c r="AR163"/>
      <c r="AS163" s="17"/>
      <c r="AW163" s="7"/>
      <c r="BB163" s="24"/>
      <c r="BC163"/>
      <c r="BG163"/>
    </row>
    <row r="164" spans="1:65" s="6" customFormat="1" x14ac:dyDescent="0.25">
      <c r="F164" s="21"/>
      <c r="G164" s="10"/>
      <c r="H164" s="7"/>
      <c r="I164" s="13"/>
      <c r="U164" s="16"/>
      <c r="W164" s="16"/>
      <c r="X164" s="16"/>
      <c r="Y164" s="16"/>
      <c r="Z164" s="16"/>
      <c r="AC164" s="16"/>
      <c r="AE164" s="16"/>
      <c r="AF164" s="22"/>
      <c r="AG164" s="18"/>
      <c r="AH164" s="7"/>
      <c r="AI164" s="7"/>
      <c r="AK164" s="16"/>
      <c r="AO164" s="23"/>
      <c r="AP164" s="17"/>
      <c r="AQ164" s="7"/>
      <c r="AR164"/>
      <c r="AS164" s="17"/>
      <c r="AV164"/>
      <c r="AW164" s="7"/>
      <c r="BB164" s="24"/>
      <c r="BC164"/>
      <c r="BG164"/>
    </row>
    <row r="165" spans="1:65" s="6" customFormat="1" x14ac:dyDescent="0.25">
      <c r="A165"/>
      <c r="B165"/>
      <c r="C165"/>
      <c r="D165"/>
      <c r="E165"/>
      <c r="F165"/>
      <c r="G165"/>
      <c r="H165" s="13"/>
      <c r="I165" s="13"/>
      <c r="J165"/>
      <c r="K165"/>
      <c r="L165"/>
      <c r="M165"/>
      <c r="N165"/>
      <c r="O165"/>
      <c r="P165"/>
      <c r="Q165"/>
      <c r="R165"/>
      <c r="S165"/>
      <c r="T165"/>
      <c r="U165" s="27"/>
      <c r="V165" s="14"/>
      <c r="W165" s="27"/>
      <c r="X165" s="27"/>
      <c r="Y165" s="27"/>
      <c r="Z165" s="27"/>
      <c r="AA165"/>
      <c r="AB165"/>
      <c r="AC165" s="27"/>
      <c r="AD165"/>
      <c r="AE165" s="27"/>
      <c r="AF165" s="27"/>
      <c r="AG165" s="28"/>
      <c r="AH165" s="15"/>
      <c r="AI165" s="15"/>
      <c r="AJ165"/>
      <c r="AK165" s="27"/>
      <c r="AL165"/>
      <c r="AM165"/>
      <c r="AN165"/>
      <c r="AO165" s="27"/>
      <c r="AP165" s="27"/>
      <c r="AQ165" s="15"/>
      <c r="AR165"/>
      <c r="AS165" s="27"/>
      <c r="AT165"/>
      <c r="AU165"/>
      <c r="AW165" s="13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</row>
    <row r="166" spans="1:65" s="6" customFormat="1" x14ac:dyDescent="0.25">
      <c r="F166" s="21"/>
      <c r="G166" s="10"/>
      <c r="H166" s="7"/>
      <c r="I166" s="7"/>
      <c r="U166" s="16"/>
      <c r="W166" s="16"/>
      <c r="X166" s="16"/>
      <c r="Y166" s="16"/>
      <c r="Z166" s="16"/>
      <c r="AC166" s="16"/>
      <c r="AE166" s="16"/>
      <c r="AF166" s="22"/>
      <c r="AG166" s="18"/>
      <c r="AH166" s="7"/>
      <c r="AI166" s="7"/>
      <c r="AK166" s="16"/>
      <c r="AO166" s="23"/>
      <c r="AP166" s="17"/>
      <c r="AQ166" s="7"/>
      <c r="AR166"/>
      <c r="AS166" s="17"/>
      <c r="AW166" s="7"/>
      <c r="BB166" s="24"/>
      <c r="BC166"/>
      <c r="BG166"/>
    </row>
    <row r="167" spans="1:65" s="6" customFormat="1" x14ac:dyDescent="0.25">
      <c r="F167" s="21"/>
      <c r="G167" s="10"/>
      <c r="H167" s="7"/>
      <c r="I167" s="13"/>
      <c r="U167" s="16"/>
      <c r="W167" s="16"/>
      <c r="X167" s="16"/>
      <c r="Y167" s="16"/>
      <c r="Z167" s="16"/>
      <c r="AC167" s="16"/>
      <c r="AE167" s="16"/>
      <c r="AF167" s="22"/>
      <c r="AG167" s="18"/>
      <c r="AH167" s="7"/>
      <c r="AI167" s="7"/>
      <c r="AK167" s="16"/>
      <c r="AO167" s="23"/>
      <c r="AP167" s="17"/>
      <c r="AQ167" s="7"/>
      <c r="AR167"/>
      <c r="AS167" s="17"/>
      <c r="AV167"/>
      <c r="AW167" s="7"/>
      <c r="BB167" s="24"/>
      <c r="BC167"/>
      <c r="BG167"/>
    </row>
    <row r="168" spans="1:65" s="6" customFormat="1" x14ac:dyDescent="0.25">
      <c r="F168" s="21"/>
      <c r="G168" s="10"/>
      <c r="H168" s="7"/>
      <c r="I168" s="13"/>
      <c r="U168" s="16"/>
      <c r="W168" s="16"/>
      <c r="X168" s="16"/>
      <c r="Y168" s="16"/>
      <c r="Z168" s="16"/>
      <c r="AC168" s="16"/>
      <c r="AE168" s="16"/>
      <c r="AF168" s="22"/>
      <c r="AG168" s="18"/>
      <c r="AH168" s="7"/>
      <c r="AI168" s="7"/>
      <c r="AK168" s="16"/>
      <c r="AO168" s="23"/>
      <c r="AP168" s="17"/>
      <c r="AQ168" s="7"/>
      <c r="AR168"/>
      <c r="AS168" s="17"/>
      <c r="AW168" s="7"/>
      <c r="BB168" s="24"/>
      <c r="BC168"/>
      <c r="BG168"/>
    </row>
    <row r="169" spans="1:65" s="6" customFormat="1" x14ac:dyDescent="0.25">
      <c r="A169"/>
      <c r="B169"/>
      <c r="C169"/>
      <c r="D169"/>
      <c r="E169"/>
      <c r="F169"/>
      <c r="G169"/>
      <c r="H169" s="13"/>
      <c r="I169" s="13"/>
      <c r="J169"/>
      <c r="K169"/>
      <c r="L169"/>
      <c r="M169"/>
      <c r="N169"/>
      <c r="O169"/>
      <c r="P169"/>
      <c r="Q169"/>
      <c r="R169"/>
      <c r="S169"/>
      <c r="T169"/>
      <c r="U169" s="27"/>
      <c r="V169" s="14"/>
      <c r="W169" s="27"/>
      <c r="X169" s="27"/>
      <c r="Y169" s="27"/>
      <c r="Z169" s="27"/>
      <c r="AA169"/>
      <c r="AB169"/>
      <c r="AC169" s="27"/>
      <c r="AD169"/>
      <c r="AE169" s="27"/>
      <c r="AF169" s="27"/>
      <c r="AG169" s="28"/>
      <c r="AH169" s="15"/>
      <c r="AI169" s="15"/>
      <c r="AJ169"/>
      <c r="AK169" s="27"/>
      <c r="AL169"/>
      <c r="AM169"/>
      <c r="AN169"/>
      <c r="AO169" s="27"/>
      <c r="AP169" s="27"/>
      <c r="AQ169" s="15"/>
      <c r="AR169"/>
      <c r="AS169" s="27"/>
      <c r="AT169"/>
      <c r="AU169"/>
      <c r="AV169"/>
      <c r="AW169" s="13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</row>
    <row r="170" spans="1:65" s="6" customFormat="1" x14ac:dyDescent="0.25">
      <c r="A170"/>
      <c r="B170"/>
      <c r="C170"/>
      <c r="D170"/>
      <c r="E170"/>
      <c r="F170"/>
      <c r="G170"/>
      <c r="H170" s="13"/>
      <c r="I170" s="13"/>
      <c r="J170"/>
      <c r="K170"/>
      <c r="L170"/>
      <c r="M170"/>
      <c r="N170"/>
      <c r="O170"/>
      <c r="P170"/>
      <c r="Q170"/>
      <c r="R170"/>
      <c r="S170"/>
      <c r="T170"/>
      <c r="U170" s="27"/>
      <c r="V170" s="14"/>
      <c r="W170" s="27"/>
      <c r="X170" s="27"/>
      <c r="Y170" s="27"/>
      <c r="Z170" s="27"/>
      <c r="AA170"/>
      <c r="AB170"/>
      <c r="AC170" s="27"/>
      <c r="AD170"/>
      <c r="AE170" s="27"/>
      <c r="AF170" s="27"/>
      <c r="AG170" s="28"/>
      <c r="AH170" s="15"/>
      <c r="AI170" s="15"/>
      <c r="AJ170"/>
      <c r="AK170" s="27"/>
      <c r="AL170"/>
      <c r="AM170"/>
      <c r="AN170"/>
      <c r="AO170" s="27"/>
      <c r="AP170" s="27"/>
      <c r="AQ170" s="15"/>
      <c r="AR170"/>
      <c r="AS170" s="27"/>
      <c r="AT170"/>
      <c r="AU170"/>
      <c r="AV170"/>
      <c r="AW170" s="13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</row>
    <row r="171" spans="1:65" s="6" customFormat="1" x14ac:dyDescent="0.25">
      <c r="F171" s="21"/>
      <c r="G171" s="10"/>
      <c r="H171" s="7"/>
      <c r="I171" s="13"/>
      <c r="U171" s="16"/>
      <c r="W171" s="16"/>
      <c r="X171" s="16"/>
      <c r="Y171" s="16"/>
      <c r="Z171" s="16"/>
      <c r="AC171" s="16"/>
      <c r="AE171" s="16"/>
      <c r="AF171" s="22"/>
      <c r="AG171" s="18"/>
      <c r="AH171" s="7"/>
      <c r="AI171" s="7"/>
      <c r="AK171" s="16"/>
      <c r="AO171" s="23"/>
      <c r="AP171" s="17"/>
      <c r="AQ171" s="7"/>
      <c r="AR171"/>
      <c r="AS171" s="17"/>
      <c r="AW171" s="7"/>
      <c r="BB171" s="24"/>
      <c r="BC171"/>
      <c r="BG171"/>
    </row>
    <row r="172" spans="1:65" s="6" customFormat="1" x14ac:dyDescent="0.25">
      <c r="F172" s="21"/>
      <c r="G172" s="10"/>
      <c r="H172" s="7"/>
      <c r="I172" s="7"/>
      <c r="U172" s="16"/>
      <c r="W172" s="16"/>
      <c r="X172" s="16"/>
      <c r="Y172" s="16"/>
      <c r="Z172" s="16"/>
      <c r="AC172" s="16"/>
      <c r="AE172" s="16"/>
      <c r="AF172" s="22"/>
      <c r="AG172" s="18"/>
      <c r="AH172" s="7"/>
      <c r="AI172" s="7"/>
      <c r="AK172" s="16"/>
      <c r="AO172" s="23"/>
      <c r="AP172" s="17"/>
      <c r="AQ172" s="7"/>
      <c r="AR172"/>
      <c r="AS172" s="17"/>
      <c r="AW172" s="7"/>
      <c r="BB172" s="24"/>
      <c r="BC172"/>
      <c r="BG172"/>
    </row>
    <row r="173" spans="1:65" s="6" customFormat="1" x14ac:dyDescent="0.25">
      <c r="F173" s="21"/>
      <c r="G173" s="10"/>
      <c r="H173" s="7"/>
      <c r="I173" s="13"/>
      <c r="U173" s="16"/>
      <c r="W173" s="16"/>
      <c r="X173" s="16"/>
      <c r="Y173" s="16"/>
      <c r="Z173" s="16"/>
      <c r="AC173" s="16"/>
      <c r="AE173" s="16"/>
      <c r="AF173" s="22"/>
      <c r="AG173" s="18"/>
      <c r="AH173" s="7"/>
      <c r="AI173" s="7"/>
      <c r="AK173" s="16"/>
      <c r="AO173" s="23"/>
      <c r="AP173" s="17"/>
      <c r="AQ173" s="7"/>
      <c r="AR173"/>
      <c r="AS173" s="17"/>
      <c r="AV173"/>
      <c r="AW173" s="7"/>
      <c r="BB173" s="24"/>
      <c r="BC173"/>
      <c r="BG173"/>
    </row>
    <row r="174" spans="1:65" s="6" customFormat="1" x14ac:dyDescent="0.25">
      <c r="A174"/>
      <c r="B174"/>
      <c r="C174"/>
      <c r="D174"/>
      <c r="E174"/>
      <c r="F174"/>
      <c r="G174"/>
      <c r="H174" s="13"/>
      <c r="I174" s="13"/>
      <c r="J174"/>
      <c r="K174"/>
      <c r="L174"/>
      <c r="M174"/>
      <c r="N174"/>
      <c r="O174"/>
      <c r="P174"/>
      <c r="Q174"/>
      <c r="R174"/>
      <c r="S174"/>
      <c r="T174"/>
      <c r="U174" s="27"/>
      <c r="V174" s="14"/>
      <c r="W174" s="27"/>
      <c r="X174" s="27"/>
      <c r="Y174" s="27"/>
      <c r="Z174" s="27"/>
      <c r="AA174"/>
      <c r="AB174"/>
      <c r="AC174" s="27"/>
      <c r="AD174"/>
      <c r="AE174" s="27"/>
      <c r="AF174" s="27"/>
      <c r="AG174" s="28"/>
      <c r="AH174" s="15"/>
      <c r="AI174" s="15"/>
      <c r="AJ174"/>
      <c r="AK174" s="27"/>
      <c r="AL174"/>
      <c r="AM174"/>
      <c r="AN174"/>
      <c r="AO174" s="27"/>
      <c r="AP174" s="27"/>
      <c r="AQ174" s="15"/>
      <c r="AR174"/>
      <c r="AS174" s="27"/>
      <c r="AT174"/>
      <c r="AU174"/>
      <c r="AW174" s="13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</row>
    <row r="175" spans="1:65" s="6" customFormat="1" x14ac:dyDescent="0.25">
      <c r="F175" s="21"/>
      <c r="G175" s="10"/>
      <c r="H175" s="7"/>
      <c r="I175" s="7"/>
      <c r="U175" s="16"/>
      <c r="W175" s="16"/>
      <c r="X175" s="16"/>
      <c r="Y175" s="16"/>
      <c r="Z175" s="16"/>
      <c r="AC175" s="16"/>
      <c r="AE175" s="16"/>
      <c r="AF175" s="22"/>
      <c r="AG175" s="18"/>
      <c r="AH175" s="7"/>
      <c r="AI175" s="7"/>
      <c r="AK175" s="16"/>
      <c r="AO175" s="23"/>
      <c r="AP175" s="17"/>
      <c r="AQ175" s="7"/>
      <c r="AR175"/>
      <c r="AS175" s="17"/>
      <c r="AW175" s="7"/>
      <c r="BB175" s="24"/>
      <c r="BC175"/>
      <c r="BG175"/>
    </row>
    <row r="176" spans="1:65" s="6" customFormat="1" x14ac:dyDescent="0.25">
      <c r="F176" s="21"/>
      <c r="G176" s="10"/>
      <c r="H176" s="7"/>
      <c r="I176" s="13"/>
      <c r="U176" s="16"/>
      <c r="W176" s="16"/>
      <c r="X176" s="16"/>
      <c r="Y176" s="16"/>
      <c r="Z176" s="16"/>
      <c r="AC176" s="16"/>
      <c r="AE176" s="16"/>
      <c r="AF176" s="22"/>
      <c r="AG176" s="18"/>
      <c r="AH176" s="7"/>
      <c r="AI176" s="7"/>
      <c r="AK176" s="16"/>
      <c r="AO176" s="23"/>
      <c r="AP176" s="17"/>
      <c r="AQ176" s="7"/>
      <c r="AR176"/>
      <c r="AS176" s="17"/>
      <c r="AV176"/>
      <c r="AW176" s="7"/>
      <c r="BB176" s="24"/>
      <c r="BC176"/>
      <c r="BG176"/>
    </row>
    <row r="177" spans="1:65" s="6" customFormat="1" x14ac:dyDescent="0.25">
      <c r="F177" s="21"/>
      <c r="G177" s="10"/>
      <c r="H177" s="7"/>
      <c r="I177" s="13"/>
      <c r="U177" s="16"/>
      <c r="W177" s="16"/>
      <c r="X177" s="16"/>
      <c r="Y177" s="16"/>
      <c r="Z177" s="16"/>
      <c r="AC177" s="16"/>
      <c r="AE177" s="16"/>
      <c r="AF177" s="22"/>
      <c r="AG177" s="18"/>
      <c r="AH177" s="7"/>
      <c r="AI177" s="7"/>
      <c r="AK177" s="16"/>
      <c r="AO177" s="23"/>
      <c r="AP177" s="17"/>
      <c r="AQ177" s="7"/>
      <c r="AR177"/>
      <c r="AS177" s="17"/>
      <c r="AW177" s="7"/>
      <c r="BB177" s="24"/>
      <c r="BC177"/>
      <c r="BG177"/>
    </row>
    <row r="178" spans="1:65" s="6" customFormat="1" x14ac:dyDescent="0.25">
      <c r="A178"/>
      <c r="B178"/>
      <c r="C178"/>
      <c r="D178"/>
      <c r="E178"/>
      <c r="F178"/>
      <c r="G178"/>
      <c r="H178" s="13"/>
      <c r="I178" s="13"/>
      <c r="J178"/>
      <c r="K178"/>
      <c r="L178"/>
      <c r="M178"/>
      <c r="N178"/>
      <c r="O178"/>
      <c r="P178"/>
      <c r="Q178"/>
      <c r="R178"/>
      <c r="S178"/>
      <c r="T178"/>
      <c r="U178" s="27"/>
      <c r="V178" s="14"/>
      <c r="W178" s="27"/>
      <c r="X178" s="27"/>
      <c r="Y178" s="27"/>
      <c r="Z178" s="27"/>
      <c r="AA178"/>
      <c r="AB178"/>
      <c r="AC178" s="27"/>
      <c r="AD178"/>
      <c r="AE178" s="27"/>
      <c r="AF178" s="27"/>
      <c r="AG178" s="28"/>
      <c r="AH178" s="15"/>
      <c r="AI178" s="15"/>
      <c r="AJ178"/>
      <c r="AK178" s="27"/>
      <c r="AL178"/>
      <c r="AM178"/>
      <c r="AN178"/>
      <c r="AO178" s="27"/>
      <c r="AP178" s="27"/>
      <c r="AQ178" s="15"/>
      <c r="AR178"/>
      <c r="AS178" s="27"/>
      <c r="AT178"/>
      <c r="AU178"/>
      <c r="AV178"/>
      <c r="AW178" s="13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</row>
    <row r="179" spans="1:65" s="6" customFormat="1" x14ac:dyDescent="0.25">
      <c r="A179"/>
      <c r="B179"/>
      <c r="C179"/>
      <c r="D179"/>
      <c r="E179"/>
      <c r="F179"/>
      <c r="G179"/>
      <c r="H179" s="13"/>
      <c r="I179" s="13"/>
      <c r="J179"/>
      <c r="K179"/>
      <c r="L179"/>
      <c r="M179"/>
      <c r="N179"/>
      <c r="O179"/>
      <c r="P179"/>
      <c r="Q179"/>
      <c r="R179"/>
      <c r="S179"/>
      <c r="T179"/>
      <c r="U179" s="27"/>
      <c r="V179" s="14"/>
      <c r="W179" s="27"/>
      <c r="X179" s="27"/>
      <c r="Y179" s="27"/>
      <c r="Z179" s="27"/>
      <c r="AA179"/>
      <c r="AB179"/>
      <c r="AC179" s="27"/>
      <c r="AD179"/>
      <c r="AE179" s="27"/>
      <c r="AF179" s="27"/>
      <c r="AG179" s="28"/>
      <c r="AH179" s="15"/>
      <c r="AI179" s="15"/>
      <c r="AJ179"/>
      <c r="AK179" s="27"/>
      <c r="AL179"/>
      <c r="AM179"/>
      <c r="AN179"/>
      <c r="AO179" s="27"/>
      <c r="AP179" s="27"/>
      <c r="AQ179" s="15"/>
      <c r="AR179"/>
      <c r="AS179" s="27"/>
      <c r="AT179"/>
      <c r="AU179"/>
      <c r="AV179"/>
      <c r="AW179" s="13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</row>
    <row r="180" spans="1:65" s="6" customFormat="1" x14ac:dyDescent="0.25">
      <c r="F180" s="21"/>
      <c r="G180" s="10"/>
      <c r="H180" s="7"/>
      <c r="I180" s="13"/>
      <c r="U180" s="16"/>
      <c r="W180" s="16"/>
      <c r="X180" s="16"/>
      <c r="Y180" s="16"/>
      <c r="Z180" s="16"/>
      <c r="AC180" s="16"/>
      <c r="AE180" s="16"/>
      <c r="AF180" s="22"/>
      <c r="AG180" s="18"/>
      <c r="AH180" s="7"/>
      <c r="AI180" s="7"/>
      <c r="AK180" s="16"/>
      <c r="AO180" s="23"/>
      <c r="AP180" s="17"/>
      <c r="AQ180" s="7"/>
      <c r="AR180"/>
      <c r="AS180" s="17"/>
      <c r="AW180" s="7"/>
      <c r="BB180" s="24"/>
      <c r="BC180"/>
      <c r="BG180"/>
    </row>
    <row r="181" spans="1:65" s="6" customFormat="1" x14ac:dyDescent="0.25">
      <c r="F181" s="21"/>
      <c r="G181" s="10"/>
      <c r="H181" s="7"/>
      <c r="I181" s="7"/>
      <c r="U181" s="16"/>
      <c r="W181" s="16"/>
      <c r="X181" s="16"/>
      <c r="Y181" s="16"/>
      <c r="Z181" s="16"/>
      <c r="AC181" s="16"/>
      <c r="AE181" s="16"/>
      <c r="AF181" s="22"/>
      <c r="AG181" s="18"/>
      <c r="AH181" s="7"/>
      <c r="AI181" s="7"/>
      <c r="AK181" s="16"/>
      <c r="AO181" s="23"/>
      <c r="AP181" s="17"/>
      <c r="AQ181" s="7"/>
      <c r="AR181"/>
      <c r="AS181" s="17"/>
      <c r="AW181" s="7"/>
      <c r="BB181" s="24"/>
      <c r="BC181"/>
      <c r="BG181"/>
    </row>
    <row r="182" spans="1:65" s="6" customFormat="1" x14ac:dyDescent="0.25">
      <c r="F182" s="21"/>
      <c r="G182" s="10"/>
      <c r="H182" s="7"/>
      <c r="I182" s="13"/>
      <c r="U182" s="16"/>
      <c r="W182" s="16"/>
      <c r="X182" s="16"/>
      <c r="Y182" s="16"/>
      <c r="Z182" s="16"/>
      <c r="AC182" s="16"/>
      <c r="AE182" s="16"/>
      <c r="AF182" s="22"/>
      <c r="AG182" s="18"/>
      <c r="AH182" s="7"/>
      <c r="AI182" s="7"/>
      <c r="AK182" s="16"/>
      <c r="AO182" s="23"/>
      <c r="AP182" s="17"/>
      <c r="AQ182" s="7"/>
      <c r="AR182"/>
      <c r="AS182" s="17"/>
      <c r="AV182"/>
      <c r="AW182" s="7"/>
      <c r="BB182" s="24"/>
      <c r="BC182"/>
      <c r="BG182"/>
    </row>
    <row r="183" spans="1:65" s="6" customFormat="1" x14ac:dyDescent="0.25">
      <c r="A183"/>
      <c r="B183"/>
      <c r="C183"/>
      <c r="D183"/>
      <c r="E183"/>
      <c r="F183"/>
      <c r="G183"/>
      <c r="H183" s="13"/>
      <c r="I183" s="13"/>
      <c r="J183"/>
      <c r="K183"/>
      <c r="L183"/>
      <c r="M183"/>
      <c r="N183"/>
      <c r="O183"/>
      <c r="P183"/>
      <c r="Q183"/>
      <c r="R183"/>
      <c r="S183"/>
      <c r="T183"/>
      <c r="U183" s="27"/>
      <c r="V183" s="14"/>
      <c r="W183" s="27"/>
      <c r="X183" s="27"/>
      <c r="Y183" s="27"/>
      <c r="Z183" s="27"/>
      <c r="AA183"/>
      <c r="AB183"/>
      <c r="AC183" s="27"/>
      <c r="AD183"/>
      <c r="AE183" s="27"/>
      <c r="AF183" s="27"/>
      <c r="AG183" s="28"/>
      <c r="AH183" s="15"/>
      <c r="AI183" s="15"/>
      <c r="AJ183"/>
      <c r="AK183" s="27"/>
      <c r="AL183"/>
      <c r="AM183"/>
      <c r="AN183"/>
      <c r="AO183" s="27"/>
      <c r="AP183" s="27"/>
      <c r="AQ183" s="15"/>
      <c r="AR183"/>
      <c r="AS183" s="27"/>
      <c r="AT183"/>
      <c r="AU183"/>
      <c r="AW183" s="1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</row>
    <row r="184" spans="1:65" s="6" customFormat="1" x14ac:dyDescent="0.25">
      <c r="F184" s="21"/>
      <c r="G184" s="10"/>
      <c r="H184" s="7"/>
      <c r="I184" s="7"/>
      <c r="U184" s="16"/>
      <c r="W184" s="16"/>
      <c r="X184" s="16"/>
      <c r="Y184" s="16"/>
      <c r="Z184" s="16"/>
      <c r="AC184" s="16"/>
      <c r="AE184" s="16"/>
      <c r="AF184" s="22"/>
      <c r="AG184" s="18"/>
      <c r="AH184" s="7"/>
      <c r="AI184" s="7"/>
      <c r="AK184" s="16"/>
      <c r="AO184" s="23"/>
      <c r="AP184" s="17"/>
      <c r="AQ184" s="7"/>
      <c r="AR184"/>
      <c r="AS184" s="17"/>
      <c r="AW184" s="7"/>
      <c r="BB184" s="24"/>
      <c r="BC184"/>
      <c r="BG184"/>
    </row>
    <row r="185" spans="1:65" s="6" customFormat="1" x14ac:dyDescent="0.25">
      <c r="F185" s="21"/>
      <c r="G185" s="10"/>
      <c r="H185" s="7"/>
      <c r="I185" s="13"/>
      <c r="U185" s="16"/>
      <c r="W185" s="16"/>
      <c r="X185" s="16"/>
      <c r="Y185" s="16"/>
      <c r="Z185" s="16"/>
      <c r="AC185" s="16"/>
      <c r="AE185" s="16"/>
      <c r="AF185" s="22"/>
      <c r="AG185" s="18"/>
      <c r="AH185" s="7"/>
      <c r="AI185" s="7"/>
      <c r="AK185" s="16"/>
      <c r="AO185" s="23"/>
      <c r="AP185" s="17"/>
      <c r="AQ185" s="7"/>
      <c r="AR185"/>
      <c r="AS185" s="17"/>
      <c r="AV185"/>
      <c r="AW185" s="7"/>
      <c r="BB185" s="24"/>
      <c r="BC185"/>
      <c r="BG185"/>
    </row>
    <row r="186" spans="1:65" s="6" customFormat="1" x14ac:dyDescent="0.25">
      <c r="F186" s="21"/>
      <c r="G186" s="10"/>
      <c r="H186" s="7"/>
      <c r="I186" s="13"/>
      <c r="U186" s="16"/>
      <c r="W186" s="16"/>
      <c r="X186" s="16"/>
      <c r="Y186" s="16"/>
      <c r="Z186" s="16"/>
      <c r="AC186" s="16"/>
      <c r="AE186" s="16"/>
      <c r="AF186" s="22"/>
      <c r="AG186" s="18"/>
      <c r="AH186" s="7"/>
      <c r="AI186" s="7"/>
      <c r="AK186" s="16"/>
      <c r="AO186" s="23"/>
      <c r="AP186" s="17"/>
      <c r="AQ186" s="7"/>
      <c r="AR186"/>
      <c r="AS186" s="17"/>
      <c r="AW186" s="7"/>
      <c r="BB186" s="24"/>
      <c r="BC186"/>
      <c r="BG186"/>
    </row>
    <row r="187" spans="1:65" s="6" customFormat="1" x14ac:dyDescent="0.25">
      <c r="A187"/>
      <c r="B187"/>
      <c r="C187"/>
      <c r="D187"/>
      <c r="E187"/>
      <c r="F187"/>
      <c r="G187"/>
      <c r="H187" s="13"/>
      <c r="I187" s="13"/>
      <c r="J187"/>
      <c r="K187"/>
      <c r="L187"/>
      <c r="M187"/>
      <c r="N187"/>
      <c r="O187"/>
      <c r="P187"/>
      <c r="Q187"/>
      <c r="R187"/>
      <c r="S187"/>
      <c r="T187"/>
      <c r="U187" s="27"/>
      <c r="V187" s="14"/>
      <c r="W187" s="27"/>
      <c r="X187" s="27"/>
      <c r="Y187" s="27"/>
      <c r="Z187" s="27"/>
      <c r="AA187"/>
      <c r="AB187"/>
      <c r="AC187" s="27"/>
      <c r="AD187"/>
      <c r="AE187" s="27"/>
      <c r="AF187" s="27"/>
      <c r="AG187" s="28"/>
      <c r="AH187" s="15"/>
      <c r="AI187" s="15"/>
      <c r="AJ187"/>
      <c r="AK187" s="27"/>
      <c r="AL187"/>
      <c r="AM187"/>
      <c r="AN187"/>
      <c r="AO187" s="27"/>
      <c r="AP187" s="27"/>
      <c r="AQ187" s="15"/>
      <c r="AR187"/>
      <c r="AS187" s="27"/>
      <c r="AT187"/>
      <c r="AU187"/>
      <c r="AV187"/>
      <c r="AW187" s="13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</row>
    <row r="188" spans="1:65" s="6" customFormat="1" x14ac:dyDescent="0.25">
      <c r="A188"/>
      <c r="B188"/>
      <c r="C188"/>
      <c r="D188"/>
      <c r="E188"/>
      <c r="F188"/>
      <c r="G188"/>
      <c r="H188" s="13"/>
      <c r="I188" s="13"/>
      <c r="J188"/>
      <c r="K188"/>
      <c r="L188"/>
      <c r="M188"/>
      <c r="N188"/>
      <c r="O188"/>
      <c r="P188"/>
      <c r="Q188"/>
      <c r="R188"/>
      <c r="S188"/>
      <c r="T188"/>
      <c r="U188" s="27"/>
      <c r="V188" s="14"/>
      <c r="W188" s="27"/>
      <c r="X188" s="27"/>
      <c r="Y188" s="27"/>
      <c r="Z188" s="27"/>
      <c r="AA188"/>
      <c r="AB188"/>
      <c r="AC188" s="27"/>
      <c r="AD188"/>
      <c r="AE188" s="27"/>
      <c r="AF188" s="27"/>
      <c r="AG188" s="28"/>
      <c r="AH188" s="15"/>
      <c r="AI188" s="15"/>
      <c r="AJ188"/>
      <c r="AK188" s="27"/>
      <c r="AL188"/>
      <c r="AM188"/>
      <c r="AN188"/>
      <c r="AO188" s="27"/>
      <c r="AP188" s="27"/>
      <c r="AQ188" s="15"/>
      <c r="AR188"/>
      <c r="AS188" s="27"/>
      <c r="AT188"/>
      <c r="AU188"/>
      <c r="AV188"/>
      <c r="AW188" s="13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</row>
    <row r="189" spans="1:65" s="6" customFormat="1" x14ac:dyDescent="0.25">
      <c r="F189" s="21"/>
      <c r="G189" s="10"/>
      <c r="H189" s="7"/>
      <c r="I189" s="13"/>
      <c r="U189" s="16"/>
      <c r="W189" s="16"/>
      <c r="X189" s="16"/>
      <c r="Y189" s="16"/>
      <c r="Z189" s="16"/>
      <c r="AC189" s="16"/>
      <c r="AE189" s="16"/>
      <c r="AF189" s="22"/>
      <c r="AG189" s="18"/>
      <c r="AH189" s="7"/>
      <c r="AI189" s="7"/>
      <c r="AK189" s="16"/>
      <c r="AO189" s="23"/>
      <c r="AP189" s="17"/>
      <c r="AQ189" s="7"/>
      <c r="AR189"/>
      <c r="AS189" s="17"/>
      <c r="AW189" s="7"/>
      <c r="BB189" s="24"/>
      <c r="BC189"/>
      <c r="BG189"/>
    </row>
    <row r="190" spans="1:65" s="6" customFormat="1" x14ac:dyDescent="0.25">
      <c r="F190" s="21"/>
      <c r="G190" s="10"/>
      <c r="H190" s="7"/>
      <c r="I190" s="7"/>
      <c r="U190" s="16"/>
      <c r="W190" s="16"/>
      <c r="X190" s="16"/>
      <c r="Y190" s="16"/>
      <c r="Z190" s="16"/>
      <c r="AC190" s="16"/>
      <c r="AE190" s="16"/>
      <c r="AF190" s="22"/>
      <c r="AG190" s="18"/>
      <c r="AH190" s="7"/>
      <c r="AI190" s="7"/>
      <c r="AK190" s="16"/>
      <c r="AO190" s="23"/>
      <c r="AP190" s="17"/>
      <c r="AQ190" s="7"/>
      <c r="AR190"/>
      <c r="AS190" s="17"/>
      <c r="AW190" s="7"/>
      <c r="BB190" s="24"/>
      <c r="BC190"/>
      <c r="BG190"/>
    </row>
    <row r="191" spans="1:65" s="6" customFormat="1" x14ac:dyDescent="0.25">
      <c r="F191" s="21"/>
      <c r="G191" s="10"/>
      <c r="H191" s="7"/>
      <c r="I191" s="13"/>
      <c r="U191" s="16"/>
      <c r="W191" s="16"/>
      <c r="X191" s="16"/>
      <c r="Y191" s="16"/>
      <c r="Z191" s="16"/>
      <c r="AC191" s="16"/>
      <c r="AE191" s="16"/>
      <c r="AF191" s="22"/>
      <c r="AG191" s="18"/>
      <c r="AH191" s="7"/>
      <c r="AI191" s="7"/>
      <c r="AK191" s="16"/>
      <c r="AO191" s="23"/>
      <c r="AP191" s="17"/>
      <c r="AQ191" s="7"/>
      <c r="AR191"/>
      <c r="AS191" s="17"/>
      <c r="AV191"/>
      <c r="AW191" s="7"/>
      <c r="BB191" s="24"/>
      <c r="BC191"/>
      <c r="BG191"/>
    </row>
    <row r="192" spans="1:65" s="6" customFormat="1" x14ac:dyDescent="0.25">
      <c r="A192"/>
      <c r="B192"/>
      <c r="C192"/>
      <c r="D192"/>
      <c r="E192"/>
      <c r="F192"/>
      <c r="G192"/>
      <c r="H192" s="13"/>
      <c r="I192" s="13"/>
      <c r="J192"/>
      <c r="K192"/>
      <c r="L192"/>
      <c r="M192"/>
      <c r="N192"/>
      <c r="O192"/>
      <c r="P192"/>
      <c r="Q192"/>
      <c r="R192"/>
      <c r="S192"/>
      <c r="T192"/>
      <c r="U192" s="27"/>
      <c r="V192" s="14"/>
      <c r="W192" s="27"/>
      <c r="X192" s="27"/>
      <c r="Y192" s="27"/>
      <c r="Z192" s="27"/>
      <c r="AA192"/>
      <c r="AB192"/>
      <c r="AC192" s="27"/>
      <c r="AD192"/>
      <c r="AE192" s="27"/>
      <c r="AF192" s="27"/>
      <c r="AG192" s="28"/>
      <c r="AH192" s="15"/>
      <c r="AI192" s="15"/>
      <c r="AJ192"/>
      <c r="AK192" s="27"/>
      <c r="AL192"/>
      <c r="AM192"/>
      <c r="AN192"/>
      <c r="AO192" s="27"/>
      <c r="AP192" s="27"/>
      <c r="AQ192" s="15"/>
      <c r="AR192"/>
      <c r="AS192" s="27"/>
      <c r="AT192"/>
      <c r="AU192"/>
      <c r="AW192" s="13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</row>
    <row r="193" spans="1:65" s="6" customFormat="1" x14ac:dyDescent="0.25">
      <c r="F193" s="21"/>
      <c r="G193" s="10"/>
      <c r="H193" s="7"/>
      <c r="I193" s="7"/>
      <c r="U193" s="16"/>
      <c r="W193" s="16"/>
      <c r="X193" s="16"/>
      <c r="Y193" s="16"/>
      <c r="Z193" s="16"/>
      <c r="AC193" s="16"/>
      <c r="AE193" s="16"/>
      <c r="AF193" s="22"/>
      <c r="AG193" s="18"/>
      <c r="AH193" s="7"/>
      <c r="AI193" s="7"/>
      <c r="AK193" s="16"/>
      <c r="AO193" s="23"/>
      <c r="AP193" s="17"/>
      <c r="AQ193" s="7"/>
      <c r="AR193"/>
      <c r="AS193" s="17"/>
      <c r="AW193" s="7"/>
      <c r="BB193" s="24"/>
      <c r="BC193"/>
      <c r="BG193"/>
    </row>
    <row r="194" spans="1:65" s="6" customFormat="1" x14ac:dyDescent="0.25">
      <c r="F194" s="21"/>
      <c r="G194" s="10"/>
      <c r="H194" s="7"/>
      <c r="I194" s="13"/>
      <c r="U194" s="16"/>
      <c r="W194" s="16"/>
      <c r="X194" s="16"/>
      <c r="Y194" s="16"/>
      <c r="Z194" s="16"/>
      <c r="AC194" s="16"/>
      <c r="AE194" s="16"/>
      <c r="AF194" s="22"/>
      <c r="AG194" s="18"/>
      <c r="AH194" s="7"/>
      <c r="AI194" s="7"/>
      <c r="AK194" s="16"/>
      <c r="AO194" s="23"/>
      <c r="AP194" s="17"/>
      <c r="AQ194" s="7"/>
      <c r="AR194"/>
      <c r="AS194" s="17"/>
      <c r="AV194"/>
      <c r="AW194" s="7"/>
      <c r="BB194" s="24"/>
      <c r="BC194"/>
      <c r="BG194"/>
    </row>
    <row r="195" spans="1:65" s="6" customFormat="1" x14ac:dyDescent="0.25">
      <c r="F195" s="21"/>
      <c r="G195" s="10"/>
      <c r="H195" s="7"/>
      <c r="I195" s="13"/>
      <c r="U195" s="16"/>
      <c r="W195" s="16"/>
      <c r="X195" s="16"/>
      <c r="Y195" s="16"/>
      <c r="Z195" s="16"/>
      <c r="AC195" s="16"/>
      <c r="AE195" s="16"/>
      <c r="AF195" s="22"/>
      <c r="AG195" s="18"/>
      <c r="AH195" s="7"/>
      <c r="AI195" s="7"/>
      <c r="AK195" s="16"/>
      <c r="AO195" s="23"/>
      <c r="AP195" s="17"/>
      <c r="AQ195" s="7"/>
      <c r="AR195"/>
      <c r="AS195" s="17"/>
      <c r="AW195" s="7"/>
      <c r="BB195" s="24"/>
      <c r="BC195"/>
      <c r="BG195"/>
    </row>
    <row r="196" spans="1:65" s="6" customFormat="1" x14ac:dyDescent="0.25">
      <c r="A196"/>
      <c r="B196"/>
      <c r="C196"/>
      <c r="D196"/>
      <c r="E196"/>
      <c r="F196"/>
      <c r="G196"/>
      <c r="H196" s="13"/>
      <c r="I196" s="13"/>
      <c r="J196"/>
      <c r="K196"/>
      <c r="L196"/>
      <c r="M196"/>
      <c r="N196"/>
      <c r="O196"/>
      <c r="P196"/>
      <c r="Q196"/>
      <c r="R196"/>
      <c r="S196"/>
      <c r="T196"/>
      <c r="U196" s="27"/>
      <c r="V196" s="14"/>
      <c r="W196" s="27"/>
      <c r="X196" s="27"/>
      <c r="Y196" s="27"/>
      <c r="Z196" s="27"/>
      <c r="AA196"/>
      <c r="AB196"/>
      <c r="AC196" s="27"/>
      <c r="AD196"/>
      <c r="AE196" s="27"/>
      <c r="AF196" s="27"/>
      <c r="AG196" s="28"/>
      <c r="AH196" s="15"/>
      <c r="AI196" s="15"/>
      <c r="AJ196"/>
      <c r="AK196" s="27"/>
      <c r="AL196"/>
      <c r="AM196"/>
      <c r="AN196"/>
      <c r="AO196" s="27"/>
      <c r="AP196" s="27"/>
      <c r="AQ196" s="15"/>
      <c r="AR196"/>
      <c r="AS196" s="27"/>
      <c r="AT196"/>
      <c r="AU196"/>
      <c r="AV196"/>
      <c r="AW196" s="13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</row>
    <row r="197" spans="1:65" s="6" customFormat="1" x14ac:dyDescent="0.25">
      <c r="A197"/>
      <c r="B197"/>
      <c r="C197"/>
      <c r="D197"/>
      <c r="E197"/>
      <c r="F197"/>
      <c r="G197"/>
      <c r="H197" s="13"/>
      <c r="I197" s="13"/>
      <c r="J197"/>
      <c r="K197"/>
      <c r="L197"/>
      <c r="M197"/>
      <c r="N197"/>
      <c r="O197"/>
      <c r="P197"/>
      <c r="Q197"/>
      <c r="R197"/>
      <c r="S197"/>
      <c r="T197"/>
      <c r="U197" s="27"/>
      <c r="V197" s="14"/>
      <c r="W197" s="27"/>
      <c r="X197" s="27"/>
      <c r="Y197" s="27"/>
      <c r="Z197" s="27"/>
      <c r="AA197"/>
      <c r="AB197"/>
      <c r="AC197" s="27"/>
      <c r="AD197"/>
      <c r="AE197" s="27"/>
      <c r="AF197" s="27"/>
      <c r="AG197" s="28"/>
      <c r="AH197" s="15"/>
      <c r="AI197" s="15"/>
      <c r="AJ197"/>
      <c r="AK197" s="27"/>
      <c r="AL197"/>
      <c r="AM197"/>
      <c r="AN197"/>
      <c r="AO197" s="27"/>
      <c r="AP197" s="27"/>
      <c r="AQ197" s="15"/>
      <c r="AR197"/>
      <c r="AS197" s="27"/>
      <c r="AT197"/>
      <c r="AU197"/>
      <c r="AV197"/>
      <c r="AW197" s="13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</row>
    <row r="198" spans="1:65" s="6" customFormat="1" x14ac:dyDescent="0.25">
      <c r="F198" s="21"/>
      <c r="G198" s="10"/>
      <c r="H198" s="7"/>
      <c r="I198" s="13"/>
      <c r="U198" s="16"/>
      <c r="W198" s="16"/>
      <c r="X198" s="16"/>
      <c r="Y198" s="16"/>
      <c r="Z198" s="16"/>
      <c r="AC198" s="16"/>
      <c r="AE198" s="16"/>
      <c r="AF198" s="22"/>
      <c r="AG198" s="18"/>
      <c r="AH198" s="7"/>
      <c r="AI198" s="7"/>
      <c r="AK198" s="16"/>
      <c r="AO198" s="23"/>
      <c r="AP198" s="17"/>
      <c r="AQ198" s="7"/>
      <c r="AR198"/>
      <c r="AS198" s="17"/>
      <c r="AW198" s="7"/>
      <c r="BB198" s="24"/>
      <c r="BC198"/>
      <c r="BG198"/>
    </row>
    <row r="199" spans="1:65" s="6" customFormat="1" x14ac:dyDescent="0.25">
      <c r="F199" s="21"/>
      <c r="G199" s="10"/>
      <c r="H199" s="7"/>
      <c r="I199" s="7"/>
      <c r="U199" s="16"/>
      <c r="W199" s="16"/>
      <c r="X199" s="16"/>
      <c r="Y199" s="16"/>
      <c r="Z199" s="16"/>
      <c r="AC199" s="16"/>
      <c r="AE199" s="16"/>
      <c r="AF199" s="22"/>
      <c r="AG199" s="18"/>
      <c r="AH199" s="7"/>
      <c r="AI199" s="7"/>
      <c r="AK199" s="16"/>
      <c r="AO199" s="23"/>
      <c r="AP199" s="17"/>
      <c r="AQ199" s="7"/>
      <c r="AR199"/>
      <c r="AS199" s="17"/>
      <c r="AW199" s="7"/>
      <c r="BB199" s="24"/>
      <c r="BC199"/>
      <c r="BG199"/>
    </row>
    <row r="200" spans="1:65" s="6" customFormat="1" x14ac:dyDescent="0.25">
      <c r="F200" s="21"/>
      <c r="G200" s="10"/>
      <c r="H200" s="7"/>
      <c r="I200" s="13"/>
      <c r="U200" s="16"/>
      <c r="W200" s="16"/>
      <c r="X200" s="16"/>
      <c r="Y200" s="16"/>
      <c r="Z200" s="16"/>
      <c r="AC200" s="16"/>
      <c r="AE200" s="16"/>
      <c r="AF200" s="22"/>
      <c r="AG200" s="18"/>
      <c r="AH200" s="7"/>
      <c r="AI200" s="7"/>
      <c r="AK200" s="16"/>
      <c r="AO200" s="23"/>
      <c r="AP200" s="17"/>
      <c r="AQ200" s="7"/>
      <c r="AR200"/>
      <c r="AS200" s="17"/>
      <c r="AV200"/>
      <c r="AW200" s="7"/>
      <c r="BB200" s="24"/>
      <c r="BC200"/>
      <c r="BG200"/>
    </row>
    <row r="201" spans="1:65" s="6" customFormat="1" x14ac:dyDescent="0.25">
      <c r="A201"/>
      <c r="B201"/>
      <c r="C201"/>
      <c r="D201"/>
      <c r="E201"/>
      <c r="F201"/>
      <c r="G201"/>
      <c r="H201" s="13"/>
      <c r="I201" s="13"/>
      <c r="J201"/>
      <c r="K201"/>
      <c r="L201"/>
      <c r="M201"/>
      <c r="N201"/>
      <c r="O201"/>
      <c r="P201"/>
      <c r="Q201"/>
      <c r="R201"/>
      <c r="S201"/>
      <c r="T201"/>
      <c r="U201" s="27"/>
      <c r="V201" s="14"/>
      <c r="W201" s="27"/>
      <c r="X201" s="27"/>
      <c r="Y201" s="27"/>
      <c r="Z201" s="27"/>
      <c r="AA201"/>
      <c r="AB201"/>
      <c r="AC201" s="27"/>
      <c r="AD201"/>
      <c r="AE201" s="27"/>
      <c r="AF201" s="27"/>
      <c r="AG201" s="28"/>
      <c r="AH201" s="15"/>
      <c r="AI201" s="15"/>
      <c r="AJ201"/>
      <c r="AK201" s="27"/>
      <c r="AL201"/>
      <c r="AM201"/>
      <c r="AN201"/>
      <c r="AO201" s="27"/>
      <c r="AP201" s="27"/>
      <c r="AQ201" s="15"/>
      <c r="AR201"/>
      <c r="AS201" s="27"/>
      <c r="AT201"/>
      <c r="AU201"/>
      <c r="AW201" s="13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</row>
    <row r="202" spans="1:65" s="6" customFormat="1" x14ac:dyDescent="0.25">
      <c r="F202" s="21"/>
      <c r="G202" s="10"/>
      <c r="H202" s="7"/>
      <c r="I202" s="7"/>
      <c r="U202" s="16"/>
      <c r="W202" s="16"/>
      <c r="X202" s="16"/>
      <c r="Y202" s="16"/>
      <c r="Z202" s="16"/>
      <c r="AC202" s="16"/>
      <c r="AE202" s="16"/>
      <c r="AF202" s="22"/>
      <c r="AG202" s="18"/>
      <c r="AH202" s="7"/>
      <c r="AI202" s="7"/>
      <c r="AK202" s="16"/>
      <c r="AO202" s="23"/>
      <c r="AP202" s="17"/>
      <c r="AQ202" s="7"/>
      <c r="AR202"/>
      <c r="AS202" s="17"/>
      <c r="AW202" s="7"/>
      <c r="BB202" s="24"/>
      <c r="BC202"/>
      <c r="BG202"/>
    </row>
    <row r="203" spans="1:65" s="6" customFormat="1" x14ac:dyDescent="0.25">
      <c r="F203" s="21"/>
      <c r="G203" s="10"/>
      <c r="H203" s="7"/>
      <c r="I203" s="13"/>
      <c r="U203" s="16"/>
      <c r="W203" s="16"/>
      <c r="X203" s="16"/>
      <c r="Y203" s="16"/>
      <c r="Z203" s="16"/>
      <c r="AC203" s="16"/>
      <c r="AE203" s="16"/>
      <c r="AF203" s="22"/>
      <c r="AG203" s="18"/>
      <c r="AH203" s="7"/>
      <c r="AI203" s="7"/>
      <c r="AK203" s="16"/>
      <c r="AO203" s="23"/>
      <c r="AP203" s="17"/>
      <c r="AQ203" s="7"/>
      <c r="AR203"/>
      <c r="AS203" s="17"/>
      <c r="AV203"/>
      <c r="AW203" s="7"/>
      <c r="BB203" s="24"/>
      <c r="BC203"/>
      <c r="BG203"/>
    </row>
    <row r="204" spans="1:65" s="6" customFormat="1" x14ac:dyDescent="0.25">
      <c r="F204" s="21"/>
      <c r="G204" s="10"/>
      <c r="H204" s="7"/>
      <c r="I204" s="13"/>
      <c r="U204" s="16"/>
      <c r="W204" s="16"/>
      <c r="X204" s="16"/>
      <c r="Y204" s="16"/>
      <c r="Z204" s="16"/>
      <c r="AC204" s="16"/>
      <c r="AE204" s="16"/>
      <c r="AF204" s="22"/>
      <c r="AG204" s="18"/>
      <c r="AH204" s="7"/>
      <c r="AI204" s="7"/>
      <c r="AK204" s="16"/>
      <c r="AO204" s="23"/>
      <c r="AP204" s="17"/>
      <c r="AQ204" s="7"/>
      <c r="AR204"/>
      <c r="AS204" s="17"/>
      <c r="AW204" s="7"/>
      <c r="BB204" s="24"/>
      <c r="BC204"/>
      <c r="BG204"/>
    </row>
    <row r="205" spans="1:65" s="6" customFormat="1" x14ac:dyDescent="0.25">
      <c r="A205"/>
      <c r="B205"/>
      <c r="C205"/>
      <c r="D205"/>
      <c r="E205"/>
      <c r="F205"/>
      <c r="G205"/>
      <c r="H205" s="13"/>
      <c r="I205" s="13"/>
      <c r="J205"/>
      <c r="K205"/>
      <c r="L205"/>
      <c r="M205"/>
      <c r="N205"/>
      <c r="O205"/>
      <c r="P205"/>
      <c r="Q205"/>
      <c r="R205"/>
      <c r="S205"/>
      <c r="T205"/>
      <c r="U205" s="27"/>
      <c r="V205" s="14"/>
      <c r="W205" s="27"/>
      <c r="X205" s="27"/>
      <c r="Y205" s="27"/>
      <c r="Z205" s="27"/>
      <c r="AA205"/>
      <c r="AB205"/>
      <c r="AC205" s="27"/>
      <c r="AD205"/>
      <c r="AE205" s="27"/>
      <c r="AF205" s="27"/>
      <c r="AG205" s="28"/>
      <c r="AH205" s="15"/>
      <c r="AI205" s="15"/>
      <c r="AJ205"/>
      <c r="AK205" s="27"/>
      <c r="AL205"/>
      <c r="AM205"/>
      <c r="AN205"/>
      <c r="AO205" s="27"/>
      <c r="AP205" s="27"/>
      <c r="AQ205" s="15"/>
      <c r="AR205"/>
      <c r="AS205" s="27"/>
      <c r="AT205"/>
      <c r="AU205"/>
      <c r="AV205"/>
      <c r="AW205" s="13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</row>
    <row r="206" spans="1:65" s="6" customFormat="1" x14ac:dyDescent="0.25">
      <c r="A206"/>
      <c r="B206"/>
      <c r="C206"/>
      <c r="D206"/>
      <c r="E206"/>
      <c r="F206"/>
      <c r="G206"/>
      <c r="H206" s="13"/>
      <c r="I206" s="13"/>
      <c r="J206"/>
      <c r="K206"/>
      <c r="L206"/>
      <c r="M206"/>
      <c r="N206"/>
      <c r="O206"/>
      <c r="P206"/>
      <c r="Q206"/>
      <c r="R206"/>
      <c r="S206"/>
      <c r="T206"/>
      <c r="U206" s="27"/>
      <c r="V206" s="14"/>
      <c r="W206" s="27"/>
      <c r="X206" s="27"/>
      <c r="Y206" s="27"/>
      <c r="Z206" s="27"/>
      <c r="AA206"/>
      <c r="AB206"/>
      <c r="AC206" s="27"/>
      <c r="AD206"/>
      <c r="AE206" s="27"/>
      <c r="AF206" s="27"/>
      <c r="AG206" s="28"/>
      <c r="AH206" s="15"/>
      <c r="AI206" s="15"/>
      <c r="AJ206"/>
      <c r="AK206" s="27"/>
      <c r="AL206"/>
      <c r="AM206"/>
      <c r="AN206"/>
      <c r="AO206" s="27"/>
      <c r="AP206" s="27"/>
      <c r="AQ206" s="15"/>
      <c r="AR206"/>
      <c r="AS206" s="27"/>
      <c r="AT206"/>
      <c r="AU206"/>
      <c r="AV206"/>
      <c r="AW206" s="13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</row>
    <row r="207" spans="1:65" s="6" customFormat="1" x14ac:dyDescent="0.25">
      <c r="F207" s="21"/>
      <c r="G207" s="10"/>
      <c r="H207" s="7"/>
      <c r="I207" s="13"/>
      <c r="U207" s="16"/>
      <c r="W207" s="16"/>
      <c r="X207" s="16"/>
      <c r="Y207" s="16"/>
      <c r="Z207" s="16"/>
      <c r="AC207" s="16"/>
      <c r="AE207" s="16"/>
      <c r="AF207" s="22"/>
      <c r="AG207" s="18"/>
      <c r="AH207" s="7"/>
      <c r="AI207" s="7"/>
      <c r="AK207" s="16"/>
      <c r="AO207" s="23"/>
      <c r="AP207" s="17"/>
      <c r="AQ207" s="7"/>
      <c r="AR207"/>
      <c r="AS207" s="17"/>
      <c r="AW207" s="7"/>
      <c r="BB207" s="24"/>
      <c r="BC207"/>
      <c r="BG207"/>
    </row>
    <row r="208" spans="1:65" s="6" customFormat="1" x14ac:dyDescent="0.25">
      <c r="F208" s="21"/>
      <c r="G208" s="10"/>
      <c r="H208" s="7"/>
      <c r="I208" s="7"/>
      <c r="U208" s="16"/>
      <c r="W208" s="16"/>
      <c r="X208" s="16"/>
      <c r="Y208" s="16"/>
      <c r="Z208" s="16"/>
      <c r="AC208" s="16"/>
      <c r="AE208" s="16"/>
      <c r="AF208" s="22"/>
      <c r="AG208" s="18"/>
      <c r="AH208" s="7"/>
      <c r="AI208" s="7"/>
      <c r="AK208" s="16"/>
      <c r="AO208" s="23"/>
      <c r="AP208" s="17"/>
      <c r="AQ208" s="7"/>
      <c r="AR208"/>
      <c r="AS208" s="17"/>
      <c r="AW208" s="7"/>
      <c r="BB208" s="24"/>
      <c r="BC208"/>
      <c r="BG208"/>
    </row>
    <row r="209" spans="1:65" s="6" customFormat="1" x14ac:dyDescent="0.25">
      <c r="F209" s="21"/>
      <c r="G209" s="10"/>
      <c r="H209" s="7"/>
      <c r="I209" s="13"/>
      <c r="U209" s="16"/>
      <c r="W209" s="16"/>
      <c r="X209" s="16"/>
      <c r="Y209" s="16"/>
      <c r="Z209" s="16"/>
      <c r="AC209" s="16"/>
      <c r="AE209" s="16"/>
      <c r="AF209" s="22"/>
      <c r="AG209" s="18"/>
      <c r="AH209" s="7"/>
      <c r="AI209" s="7"/>
      <c r="AK209" s="16"/>
      <c r="AO209" s="23"/>
      <c r="AP209" s="17"/>
      <c r="AQ209" s="7"/>
      <c r="AR209"/>
      <c r="AS209" s="17"/>
      <c r="AV209"/>
      <c r="AW209" s="7"/>
      <c r="BB209" s="24"/>
      <c r="BC209"/>
      <c r="BG209"/>
    </row>
    <row r="210" spans="1:65" s="6" customFormat="1" x14ac:dyDescent="0.25">
      <c r="A210"/>
      <c r="B210"/>
      <c r="C210"/>
      <c r="D210"/>
      <c r="E210"/>
      <c r="F210"/>
      <c r="G210"/>
      <c r="H210" s="13"/>
      <c r="I210" s="13"/>
      <c r="J210"/>
      <c r="K210"/>
      <c r="L210"/>
      <c r="M210"/>
      <c r="N210"/>
      <c r="O210"/>
      <c r="P210"/>
      <c r="Q210"/>
      <c r="R210"/>
      <c r="S210"/>
      <c r="T210"/>
      <c r="U210" s="27"/>
      <c r="V210" s="14"/>
      <c r="W210" s="27"/>
      <c r="X210" s="27"/>
      <c r="Y210" s="27"/>
      <c r="Z210" s="27"/>
      <c r="AA210"/>
      <c r="AB210"/>
      <c r="AC210" s="27"/>
      <c r="AD210"/>
      <c r="AE210" s="27"/>
      <c r="AF210" s="27"/>
      <c r="AG210" s="28"/>
      <c r="AH210" s="15"/>
      <c r="AI210" s="15"/>
      <c r="AJ210"/>
      <c r="AK210" s="27"/>
      <c r="AL210"/>
      <c r="AM210"/>
      <c r="AN210"/>
      <c r="AO210" s="27"/>
      <c r="AP210" s="27"/>
      <c r="AQ210" s="15"/>
      <c r="AR210"/>
      <c r="AS210" s="27"/>
      <c r="AT210"/>
      <c r="AU210"/>
      <c r="AW210" s="13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</row>
    <row r="211" spans="1:65" s="6" customFormat="1" x14ac:dyDescent="0.25">
      <c r="F211" s="21"/>
      <c r="G211" s="10"/>
      <c r="H211" s="7"/>
      <c r="I211" s="7"/>
      <c r="U211" s="16"/>
      <c r="W211" s="16"/>
      <c r="X211" s="16"/>
      <c r="Y211" s="16"/>
      <c r="Z211" s="16"/>
      <c r="AC211" s="16"/>
      <c r="AE211" s="16"/>
      <c r="AF211" s="22"/>
      <c r="AG211" s="18"/>
      <c r="AH211" s="7"/>
      <c r="AI211" s="7"/>
      <c r="AK211" s="16"/>
      <c r="AO211" s="23"/>
      <c r="AP211" s="17"/>
      <c r="AQ211" s="7"/>
      <c r="AR211"/>
      <c r="AS211" s="17"/>
      <c r="AW211" s="7"/>
      <c r="BB211" s="24"/>
      <c r="BC211"/>
      <c r="BG211"/>
    </row>
    <row r="212" spans="1:65" s="6" customFormat="1" x14ac:dyDescent="0.25">
      <c r="F212" s="21"/>
      <c r="G212" s="10"/>
      <c r="H212" s="7"/>
      <c r="I212" s="13"/>
      <c r="U212" s="16"/>
      <c r="W212" s="16"/>
      <c r="X212" s="16"/>
      <c r="Y212" s="16"/>
      <c r="Z212" s="16"/>
      <c r="AC212" s="16"/>
      <c r="AE212" s="16"/>
      <c r="AF212" s="22"/>
      <c r="AG212" s="18"/>
      <c r="AH212" s="7"/>
      <c r="AI212" s="7"/>
      <c r="AK212" s="16"/>
      <c r="AO212" s="23"/>
      <c r="AP212" s="17"/>
      <c r="AQ212" s="7"/>
      <c r="AR212"/>
      <c r="AS212" s="17"/>
      <c r="AV212"/>
      <c r="AW212" s="7"/>
      <c r="BB212" s="24"/>
      <c r="BC212"/>
      <c r="BG212"/>
    </row>
    <row r="213" spans="1:65" s="6" customFormat="1" x14ac:dyDescent="0.25">
      <c r="H213" s="7"/>
      <c r="I213" s="13"/>
      <c r="U213" s="16"/>
      <c r="W213" s="16"/>
      <c r="X213" s="16"/>
      <c r="Y213" s="16"/>
      <c r="Z213" s="16"/>
      <c r="AC213" s="16"/>
      <c r="AE213" s="16"/>
      <c r="AF213" s="16"/>
      <c r="AG213" s="18"/>
      <c r="AH213" s="7"/>
      <c r="AI213" s="7"/>
      <c r="AK213" s="16"/>
      <c r="AO213" s="16"/>
      <c r="AP213" s="16"/>
      <c r="AQ213" s="7"/>
      <c r="AR213"/>
      <c r="AS213" s="16"/>
      <c r="AW213" s="7"/>
      <c r="BC213"/>
      <c r="BG213"/>
    </row>
    <row r="214" spans="1:65" s="6" customFormat="1" x14ac:dyDescent="0.25">
      <c r="A214"/>
      <c r="B214"/>
      <c r="C214"/>
      <c r="D214"/>
      <c r="E214"/>
      <c r="F214"/>
      <c r="G214"/>
      <c r="H214" s="13"/>
      <c r="I214" s="13"/>
      <c r="J214"/>
      <c r="K214"/>
      <c r="L214"/>
      <c r="M214"/>
      <c r="N214"/>
      <c r="O214"/>
      <c r="P214"/>
      <c r="Q214"/>
      <c r="R214"/>
      <c r="S214"/>
      <c r="T214"/>
      <c r="U214" s="27"/>
      <c r="V214" s="14"/>
      <c r="W214" s="27"/>
      <c r="X214" s="27"/>
      <c r="Y214" s="27"/>
      <c r="Z214" s="27"/>
      <c r="AA214"/>
      <c r="AB214"/>
      <c r="AC214" s="27"/>
      <c r="AD214"/>
      <c r="AE214" s="27"/>
      <c r="AF214" s="27"/>
      <c r="AG214" s="28"/>
      <c r="AH214" s="15"/>
      <c r="AI214" s="15"/>
      <c r="AJ214"/>
      <c r="AK214" s="27"/>
      <c r="AL214"/>
      <c r="AM214"/>
      <c r="AN214"/>
      <c r="AO214" s="27"/>
      <c r="AP214" s="27"/>
      <c r="AQ214" s="15"/>
      <c r="AR214"/>
      <c r="AS214" s="27"/>
      <c r="AT214"/>
      <c r="AU214"/>
      <c r="AV214"/>
      <c r="AW214" s="13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</row>
    <row r="215" spans="1:65" s="6" customFormat="1" x14ac:dyDescent="0.25">
      <c r="A215"/>
      <c r="B215"/>
      <c r="C215"/>
      <c r="D215"/>
      <c r="E215"/>
      <c r="F215"/>
      <c r="G215"/>
      <c r="H215" s="13"/>
      <c r="I215" s="13"/>
      <c r="J215"/>
      <c r="K215"/>
      <c r="L215"/>
      <c r="M215"/>
      <c r="N215"/>
      <c r="O215"/>
      <c r="P215"/>
      <c r="Q215"/>
      <c r="R215"/>
      <c r="S215"/>
      <c r="T215"/>
      <c r="U215" s="27"/>
      <c r="V215" s="14"/>
      <c r="W215" s="27"/>
      <c r="X215" s="27"/>
      <c r="Y215" s="27"/>
      <c r="Z215" s="27"/>
      <c r="AA215"/>
      <c r="AB215"/>
      <c r="AC215" s="27"/>
      <c r="AD215"/>
      <c r="AE215" s="27"/>
      <c r="AF215" s="27"/>
      <c r="AG215" s="28"/>
      <c r="AH215" s="15"/>
      <c r="AI215" s="15"/>
      <c r="AJ215"/>
      <c r="AK215" s="27"/>
      <c r="AL215"/>
      <c r="AM215"/>
      <c r="AN215"/>
      <c r="AO215" s="27"/>
      <c r="AP215" s="27"/>
      <c r="AQ215" s="15"/>
      <c r="AR215"/>
      <c r="AS215" s="27"/>
      <c r="AT215"/>
      <c r="AU215"/>
      <c r="AV215"/>
      <c r="AW215" s="13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</row>
    <row r="216" spans="1:65" s="6" customFormat="1" x14ac:dyDescent="0.25">
      <c r="F216" s="21"/>
      <c r="G216" s="10"/>
      <c r="H216" s="7"/>
      <c r="I216" s="13"/>
      <c r="U216" s="16"/>
      <c r="W216" s="16"/>
      <c r="X216" s="16"/>
      <c r="Y216" s="16"/>
      <c r="Z216" s="16"/>
      <c r="AC216" s="16"/>
      <c r="AE216" s="16"/>
      <c r="AF216" s="22"/>
      <c r="AG216" s="18"/>
      <c r="AH216" s="7"/>
      <c r="AI216" s="7"/>
      <c r="AK216" s="16"/>
      <c r="AO216" s="23"/>
      <c r="AP216" s="17"/>
      <c r="AQ216" s="7"/>
      <c r="AR216"/>
      <c r="AS216" s="17"/>
      <c r="AW216" s="7"/>
      <c r="BB216" s="24"/>
      <c r="BC216"/>
      <c r="BG216"/>
    </row>
    <row r="217" spans="1:65" s="6" customFormat="1" x14ac:dyDescent="0.25">
      <c r="F217" s="21"/>
      <c r="G217" s="10"/>
      <c r="H217" s="7"/>
      <c r="I217" s="7"/>
      <c r="U217" s="16"/>
      <c r="W217" s="16"/>
      <c r="X217" s="16"/>
      <c r="Y217" s="16"/>
      <c r="Z217" s="16"/>
      <c r="AC217" s="16"/>
      <c r="AE217" s="16"/>
      <c r="AF217" s="22"/>
      <c r="AG217" s="18"/>
      <c r="AH217" s="7"/>
      <c r="AI217" s="7"/>
      <c r="AK217" s="16"/>
      <c r="AO217" s="23"/>
      <c r="AP217" s="17"/>
      <c r="AQ217" s="7"/>
      <c r="AR217"/>
      <c r="AS217" s="17"/>
      <c r="AW217" s="7"/>
      <c r="BB217" s="24"/>
      <c r="BC217"/>
      <c r="BG217"/>
    </row>
    <row r="218" spans="1:65" s="6" customFormat="1" x14ac:dyDescent="0.25">
      <c r="F218" s="21"/>
      <c r="G218" s="10"/>
      <c r="H218" s="7"/>
      <c r="I218" s="13"/>
      <c r="U218" s="16"/>
      <c r="W218" s="16"/>
      <c r="X218" s="16"/>
      <c r="Y218" s="16"/>
      <c r="Z218" s="16"/>
      <c r="AC218" s="16"/>
      <c r="AE218" s="16"/>
      <c r="AF218" s="22"/>
      <c r="AG218" s="18"/>
      <c r="AH218" s="7"/>
      <c r="AI218" s="7"/>
      <c r="AK218" s="16"/>
      <c r="AO218" s="23"/>
      <c r="AP218" s="17"/>
      <c r="AQ218" s="7"/>
      <c r="AR218"/>
      <c r="AS218" s="17"/>
      <c r="AV218"/>
      <c r="AW218" s="7"/>
      <c r="BB218" s="24"/>
      <c r="BC218"/>
      <c r="BG218"/>
    </row>
    <row r="219" spans="1:65" s="6" customFormat="1" x14ac:dyDescent="0.25">
      <c r="A219"/>
      <c r="B219"/>
      <c r="C219"/>
      <c r="D219"/>
      <c r="E219"/>
      <c r="F219"/>
      <c r="G219"/>
      <c r="H219" s="13"/>
      <c r="I219" s="13"/>
      <c r="J219"/>
      <c r="K219"/>
      <c r="L219"/>
      <c r="M219"/>
      <c r="N219"/>
      <c r="O219"/>
      <c r="P219"/>
      <c r="Q219"/>
      <c r="R219"/>
      <c r="S219"/>
      <c r="T219"/>
      <c r="U219" s="27"/>
      <c r="V219" s="14"/>
      <c r="W219" s="27"/>
      <c r="X219" s="27"/>
      <c r="Y219" s="27"/>
      <c r="Z219" s="27"/>
      <c r="AA219"/>
      <c r="AB219"/>
      <c r="AC219" s="27"/>
      <c r="AD219"/>
      <c r="AE219" s="27"/>
      <c r="AF219" s="27"/>
      <c r="AG219" s="28"/>
      <c r="AH219" s="15"/>
      <c r="AI219" s="15"/>
      <c r="AJ219"/>
      <c r="AK219" s="27"/>
      <c r="AL219"/>
      <c r="AM219"/>
      <c r="AN219"/>
      <c r="AO219" s="27"/>
      <c r="AP219" s="27"/>
      <c r="AQ219" s="15"/>
      <c r="AR219"/>
      <c r="AS219" s="27"/>
      <c r="AT219"/>
      <c r="AU219"/>
      <c r="AW219" s="13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</row>
    <row r="220" spans="1:65" s="6" customFormat="1" x14ac:dyDescent="0.25">
      <c r="F220" s="21"/>
      <c r="G220" s="10"/>
      <c r="H220" s="7"/>
      <c r="I220" s="7"/>
      <c r="U220" s="16"/>
      <c r="W220" s="16"/>
      <c r="X220" s="16"/>
      <c r="Y220" s="16"/>
      <c r="Z220" s="16"/>
      <c r="AC220" s="16"/>
      <c r="AE220" s="16"/>
      <c r="AF220" s="22"/>
      <c r="AG220" s="18"/>
      <c r="AH220" s="7"/>
      <c r="AI220" s="7"/>
      <c r="AK220" s="16"/>
      <c r="AO220" s="23"/>
      <c r="AP220" s="17"/>
      <c r="AQ220" s="7"/>
      <c r="AR220"/>
      <c r="AS220" s="17"/>
      <c r="AW220" s="7"/>
      <c r="BB220" s="24"/>
      <c r="BC220"/>
      <c r="BG220"/>
    </row>
    <row r="221" spans="1:65" s="6" customFormat="1" x14ac:dyDescent="0.25">
      <c r="F221" s="21"/>
      <c r="G221" s="10"/>
      <c r="H221" s="7"/>
      <c r="I221" s="13"/>
      <c r="U221" s="16"/>
      <c r="W221" s="16"/>
      <c r="X221" s="16"/>
      <c r="Y221" s="16"/>
      <c r="Z221" s="16"/>
      <c r="AC221" s="16"/>
      <c r="AE221" s="16"/>
      <c r="AF221" s="22"/>
      <c r="AG221" s="18"/>
      <c r="AH221" s="7"/>
      <c r="AI221" s="7"/>
      <c r="AK221" s="16"/>
      <c r="AO221" s="23"/>
      <c r="AP221" s="17"/>
      <c r="AQ221" s="7"/>
      <c r="AR221"/>
      <c r="AS221" s="17"/>
      <c r="AV221"/>
      <c r="AW221" s="7"/>
      <c r="BB221" s="24"/>
      <c r="BC221"/>
      <c r="BG221"/>
    </row>
    <row r="222" spans="1:65" s="6" customFormat="1" x14ac:dyDescent="0.25">
      <c r="F222" s="21"/>
      <c r="G222" s="10"/>
      <c r="H222" s="7"/>
      <c r="I222" s="13"/>
      <c r="U222" s="16"/>
      <c r="W222" s="16"/>
      <c r="X222" s="16"/>
      <c r="Y222" s="16"/>
      <c r="Z222" s="16"/>
      <c r="AC222" s="16"/>
      <c r="AE222" s="16"/>
      <c r="AF222" s="22"/>
      <c r="AG222" s="18"/>
      <c r="AH222" s="7"/>
      <c r="AI222" s="7"/>
      <c r="AK222" s="16"/>
      <c r="AO222" s="23"/>
      <c r="AP222" s="17"/>
      <c r="AQ222" s="7"/>
      <c r="AR222"/>
      <c r="AS222" s="17"/>
      <c r="AW222" s="7"/>
      <c r="BB222" s="24"/>
      <c r="BC222"/>
      <c r="BG222"/>
    </row>
    <row r="223" spans="1:65" s="6" customFormat="1" x14ac:dyDescent="0.25">
      <c r="A223"/>
      <c r="B223"/>
      <c r="C223"/>
      <c r="D223"/>
      <c r="E223"/>
      <c r="F223"/>
      <c r="G223"/>
      <c r="H223" s="13"/>
      <c r="I223" s="13"/>
      <c r="J223"/>
      <c r="K223"/>
      <c r="L223"/>
      <c r="M223"/>
      <c r="N223"/>
      <c r="O223"/>
      <c r="P223"/>
      <c r="Q223"/>
      <c r="R223"/>
      <c r="S223"/>
      <c r="T223"/>
      <c r="U223" s="27"/>
      <c r="V223" s="14"/>
      <c r="W223" s="27"/>
      <c r="X223" s="27"/>
      <c r="Y223" s="27"/>
      <c r="Z223" s="27"/>
      <c r="AA223"/>
      <c r="AB223"/>
      <c r="AC223" s="27"/>
      <c r="AD223"/>
      <c r="AE223" s="27"/>
      <c r="AF223" s="27"/>
      <c r="AG223" s="28"/>
      <c r="AH223" s="15"/>
      <c r="AI223" s="15"/>
      <c r="AJ223"/>
      <c r="AK223" s="27"/>
      <c r="AL223"/>
      <c r="AM223"/>
      <c r="AN223"/>
      <c r="AO223" s="27"/>
      <c r="AP223" s="27"/>
      <c r="AQ223" s="15"/>
      <c r="AR223"/>
      <c r="AS223" s="27"/>
      <c r="AT223"/>
      <c r="AU223"/>
      <c r="AV223"/>
      <c r="AW223" s="1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</row>
    <row r="224" spans="1:65" s="6" customFormat="1" x14ac:dyDescent="0.25">
      <c r="A224"/>
      <c r="B224"/>
      <c r="C224"/>
      <c r="D224"/>
      <c r="E224"/>
      <c r="F224"/>
      <c r="G224"/>
      <c r="H224" s="13"/>
      <c r="I224" s="13"/>
      <c r="J224"/>
      <c r="K224"/>
      <c r="L224"/>
      <c r="M224"/>
      <c r="N224"/>
      <c r="O224"/>
      <c r="P224"/>
      <c r="Q224"/>
      <c r="R224"/>
      <c r="S224"/>
      <c r="T224"/>
      <c r="U224" s="27"/>
      <c r="V224" s="14"/>
      <c r="W224" s="27"/>
      <c r="X224" s="27"/>
      <c r="Y224" s="27"/>
      <c r="Z224" s="27"/>
      <c r="AA224"/>
      <c r="AB224"/>
      <c r="AC224" s="27"/>
      <c r="AD224"/>
      <c r="AE224" s="27"/>
      <c r="AF224" s="27"/>
      <c r="AG224" s="28"/>
      <c r="AH224" s="15"/>
      <c r="AI224" s="15"/>
      <c r="AJ224"/>
      <c r="AK224" s="27"/>
      <c r="AL224"/>
      <c r="AM224"/>
      <c r="AN224"/>
      <c r="AO224" s="27"/>
      <c r="AP224" s="27"/>
      <c r="AQ224" s="15"/>
      <c r="AR224"/>
      <c r="AS224" s="27"/>
      <c r="AT224"/>
      <c r="AU224"/>
      <c r="AV224"/>
      <c r="AW224" s="13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</row>
    <row r="225" spans="1:65" s="6" customFormat="1" x14ac:dyDescent="0.25">
      <c r="F225" s="21"/>
      <c r="G225" s="10"/>
      <c r="H225" s="7"/>
      <c r="I225" s="13"/>
      <c r="U225" s="16"/>
      <c r="W225" s="16"/>
      <c r="X225" s="16"/>
      <c r="Y225" s="16"/>
      <c r="Z225" s="16"/>
      <c r="AC225" s="16"/>
      <c r="AE225" s="16"/>
      <c r="AF225" s="22"/>
      <c r="AG225" s="18"/>
      <c r="AH225" s="7"/>
      <c r="AI225" s="7"/>
      <c r="AK225" s="16"/>
      <c r="AO225" s="23"/>
      <c r="AP225" s="17"/>
      <c r="AQ225" s="7"/>
      <c r="AR225"/>
      <c r="AS225" s="17"/>
      <c r="AW225" s="7"/>
      <c r="BB225" s="24"/>
      <c r="BC225"/>
      <c r="BG225"/>
    </row>
    <row r="226" spans="1:65" s="6" customFormat="1" x14ac:dyDescent="0.25">
      <c r="F226" s="21"/>
      <c r="G226" s="10"/>
      <c r="H226" s="7"/>
      <c r="I226" s="7"/>
      <c r="U226" s="16"/>
      <c r="W226" s="16"/>
      <c r="X226" s="16"/>
      <c r="Y226" s="16"/>
      <c r="Z226" s="16"/>
      <c r="AC226" s="16"/>
      <c r="AE226" s="16"/>
      <c r="AF226" s="22"/>
      <c r="AG226" s="18"/>
      <c r="AH226" s="7"/>
      <c r="AI226" s="7"/>
      <c r="AK226" s="16"/>
      <c r="AO226" s="23"/>
      <c r="AP226" s="17"/>
      <c r="AQ226" s="7"/>
      <c r="AR226"/>
      <c r="AS226" s="17"/>
      <c r="AW226" s="7"/>
      <c r="BB226" s="24"/>
      <c r="BC226"/>
      <c r="BG226"/>
    </row>
    <row r="227" spans="1:65" s="6" customFormat="1" x14ac:dyDescent="0.25">
      <c r="F227" s="21"/>
      <c r="G227" s="10"/>
      <c r="H227" s="7"/>
      <c r="I227" s="13"/>
      <c r="U227" s="16"/>
      <c r="W227" s="16"/>
      <c r="X227" s="16"/>
      <c r="Y227" s="16"/>
      <c r="Z227" s="16"/>
      <c r="AC227" s="16"/>
      <c r="AE227" s="16"/>
      <c r="AF227" s="22"/>
      <c r="AG227" s="18"/>
      <c r="AH227" s="7"/>
      <c r="AI227" s="7"/>
      <c r="AK227" s="16"/>
      <c r="AO227" s="23"/>
      <c r="AP227" s="17"/>
      <c r="AQ227" s="7"/>
      <c r="AR227"/>
      <c r="AS227" s="17"/>
      <c r="AV227"/>
      <c r="AW227" s="7"/>
      <c r="BB227" s="24"/>
      <c r="BC227"/>
      <c r="BG227"/>
    </row>
    <row r="228" spans="1:65" s="6" customFormat="1" x14ac:dyDescent="0.25">
      <c r="A228"/>
      <c r="B228"/>
      <c r="C228"/>
      <c r="D228"/>
      <c r="E228"/>
      <c r="F228"/>
      <c r="G228"/>
      <c r="H228" s="13"/>
      <c r="I228" s="13"/>
      <c r="J228"/>
      <c r="K228"/>
      <c r="L228"/>
      <c r="M228"/>
      <c r="N228"/>
      <c r="O228"/>
      <c r="P228"/>
      <c r="Q228"/>
      <c r="R228"/>
      <c r="S228"/>
      <c r="T228"/>
      <c r="U228" s="27"/>
      <c r="V228" s="14"/>
      <c r="W228" s="27"/>
      <c r="X228" s="27"/>
      <c r="Y228" s="27"/>
      <c r="Z228" s="27"/>
      <c r="AA228"/>
      <c r="AB228"/>
      <c r="AC228" s="27"/>
      <c r="AD228"/>
      <c r="AE228" s="27"/>
      <c r="AF228" s="27"/>
      <c r="AG228" s="28"/>
      <c r="AH228" s="15"/>
      <c r="AI228" s="15"/>
      <c r="AJ228"/>
      <c r="AK228" s="27"/>
      <c r="AL228"/>
      <c r="AM228"/>
      <c r="AN228"/>
      <c r="AO228" s="27"/>
      <c r="AP228" s="27"/>
      <c r="AQ228" s="15"/>
      <c r="AR228"/>
      <c r="AS228" s="27"/>
      <c r="AT228"/>
      <c r="AU228"/>
      <c r="AW228" s="13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</row>
    <row r="229" spans="1:65" s="6" customFormat="1" x14ac:dyDescent="0.25">
      <c r="F229" s="21"/>
      <c r="G229" s="10"/>
      <c r="H229" s="7"/>
      <c r="I229" s="7"/>
      <c r="U229" s="16"/>
      <c r="W229" s="16"/>
      <c r="X229" s="16"/>
      <c r="Y229" s="16"/>
      <c r="Z229" s="16"/>
      <c r="AC229" s="16"/>
      <c r="AE229" s="16"/>
      <c r="AF229" s="22"/>
      <c r="AG229" s="18"/>
      <c r="AH229" s="7"/>
      <c r="AI229" s="7"/>
      <c r="AK229" s="16"/>
      <c r="AO229" s="23"/>
      <c r="AP229" s="17"/>
      <c r="AQ229" s="7"/>
      <c r="AR229"/>
      <c r="AS229" s="17"/>
      <c r="AW229" s="7"/>
      <c r="BB229" s="24"/>
      <c r="BC229"/>
      <c r="BG229"/>
    </row>
    <row r="230" spans="1:65" s="6" customFormat="1" x14ac:dyDescent="0.25">
      <c r="F230" s="21"/>
      <c r="G230" s="10"/>
      <c r="H230" s="7"/>
      <c r="I230" s="13"/>
      <c r="U230" s="16"/>
      <c r="W230" s="16"/>
      <c r="X230" s="16"/>
      <c r="Y230" s="16"/>
      <c r="Z230" s="16"/>
      <c r="AC230" s="16"/>
      <c r="AE230" s="16"/>
      <c r="AF230" s="22"/>
      <c r="AG230" s="18"/>
      <c r="AH230" s="7"/>
      <c r="AI230" s="7"/>
      <c r="AK230" s="16"/>
      <c r="AO230" s="23"/>
      <c r="AP230" s="17"/>
      <c r="AQ230" s="7"/>
      <c r="AR230"/>
      <c r="AS230" s="17"/>
      <c r="AV230"/>
      <c r="AW230" s="7"/>
      <c r="BB230" s="24"/>
      <c r="BC230"/>
      <c r="BG230"/>
    </row>
    <row r="231" spans="1:65" s="6" customFormat="1" x14ac:dyDescent="0.25">
      <c r="F231" s="21"/>
      <c r="G231" s="10"/>
      <c r="H231" s="7"/>
      <c r="I231" s="13"/>
      <c r="U231" s="16"/>
      <c r="W231" s="16"/>
      <c r="X231" s="16"/>
      <c r="Y231" s="16"/>
      <c r="Z231" s="16"/>
      <c r="AC231" s="16"/>
      <c r="AE231" s="16"/>
      <c r="AF231" s="22"/>
      <c r="AG231" s="18"/>
      <c r="AH231" s="7"/>
      <c r="AI231" s="7"/>
      <c r="AK231" s="16"/>
      <c r="AO231" s="23"/>
      <c r="AP231" s="17"/>
      <c r="AQ231" s="7"/>
      <c r="AR231"/>
      <c r="AS231" s="17"/>
      <c r="AW231" s="7"/>
      <c r="BB231" s="24"/>
      <c r="BC231"/>
      <c r="BG231"/>
    </row>
    <row r="232" spans="1:65" s="6" customFormat="1" x14ac:dyDescent="0.25">
      <c r="A232"/>
      <c r="B232"/>
      <c r="C232"/>
      <c r="D232"/>
      <c r="E232"/>
      <c r="F232"/>
      <c r="G232"/>
      <c r="H232" s="13"/>
      <c r="I232" s="13"/>
      <c r="J232"/>
      <c r="K232"/>
      <c r="L232"/>
      <c r="M232"/>
      <c r="N232"/>
      <c r="O232"/>
      <c r="P232"/>
      <c r="Q232"/>
      <c r="R232"/>
      <c r="S232"/>
      <c r="T232"/>
      <c r="U232" s="27"/>
      <c r="V232" s="14"/>
      <c r="W232" s="27"/>
      <c r="X232" s="27"/>
      <c r="Y232" s="27"/>
      <c r="Z232" s="27"/>
      <c r="AA232"/>
      <c r="AB232"/>
      <c r="AC232" s="27"/>
      <c r="AD232"/>
      <c r="AE232" s="27"/>
      <c r="AF232" s="27"/>
      <c r="AG232" s="28"/>
      <c r="AH232" s="15"/>
      <c r="AI232" s="15"/>
      <c r="AJ232"/>
      <c r="AK232" s="27"/>
      <c r="AL232"/>
      <c r="AM232"/>
      <c r="AN232"/>
      <c r="AO232" s="27"/>
      <c r="AP232" s="27"/>
      <c r="AQ232" s="15"/>
      <c r="AR232"/>
      <c r="AS232" s="27"/>
      <c r="AT232"/>
      <c r="AU232"/>
      <c r="AV232"/>
      <c r="AW232" s="13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</row>
    <row r="233" spans="1:65" s="6" customFormat="1" x14ac:dyDescent="0.25">
      <c r="A233"/>
      <c r="B233"/>
      <c r="C233"/>
      <c r="D233"/>
      <c r="E233"/>
      <c r="F233"/>
      <c r="G233"/>
      <c r="H233" s="13"/>
      <c r="I233" s="13"/>
      <c r="J233"/>
      <c r="K233"/>
      <c r="L233"/>
      <c r="M233"/>
      <c r="N233"/>
      <c r="O233"/>
      <c r="P233"/>
      <c r="Q233"/>
      <c r="R233"/>
      <c r="S233"/>
      <c r="T233"/>
      <c r="U233" s="27"/>
      <c r="V233" s="14"/>
      <c r="W233" s="27"/>
      <c r="X233" s="27"/>
      <c r="Y233" s="27"/>
      <c r="Z233" s="27"/>
      <c r="AA233"/>
      <c r="AB233"/>
      <c r="AC233" s="27"/>
      <c r="AD233"/>
      <c r="AE233" s="27"/>
      <c r="AF233" s="27"/>
      <c r="AG233" s="28"/>
      <c r="AH233" s="15"/>
      <c r="AI233" s="15"/>
      <c r="AJ233"/>
      <c r="AK233" s="27"/>
      <c r="AL233"/>
      <c r="AM233"/>
      <c r="AN233"/>
      <c r="AO233" s="27"/>
      <c r="AP233" s="27"/>
      <c r="AQ233" s="15"/>
      <c r="AR233"/>
      <c r="AS233" s="27"/>
      <c r="AT233"/>
      <c r="AU233"/>
      <c r="AV233"/>
      <c r="AW233" s="1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</row>
    <row r="234" spans="1:65" s="6" customFormat="1" x14ac:dyDescent="0.25">
      <c r="F234" s="21"/>
      <c r="G234" s="10"/>
      <c r="H234" s="7"/>
      <c r="I234" s="13"/>
      <c r="U234" s="16"/>
      <c r="W234" s="16"/>
      <c r="X234" s="16"/>
      <c r="Y234" s="16"/>
      <c r="Z234" s="16"/>
      <c r="AC234" s="16"/>
      <c r="AE234" s="16"/>
      <c r="AF234" s="22"/>
      <c r="AG234" s="18"/>
      <c r="AH234" s="7"/>
      <c r="AI234" s="7"/>
      <c r="AK234" s="16"/>
      <c r="AO234" s="23"/>
      <c r="AP234" s="17"/>
      <c r="AQ234" s="7"/>
      <c r="AR234"/>
      <c r="AS234" s="17"/>
      <c r="AW234" s="7"/>
      <c r="BB234" s="24"/>
      <c r="BC234"/>
      <c r="BG234"/>
    </row>
    <row r="235" spans="1:65" s="6" customFormat="1" x14ac:dyDescent="0.25">
      <c r="F235" s="21"/>
      <c r="G235" s="10"/>
      <c r="H235" s="7"/>
      <c r="I235" s="7"/>
      <c r="U235" s="16"/>
      <c r="W235" s="16"/>
      <c r="X235" s="16"/>
      <c r="Y235" s="16"/>
      <c r="Z235" s="16"/>
      <c r="AC235" s="16"/>
      <c r="AE235" s="16"/>
      <c r="AF235" s="22"/>
      <c r="AG235" s="18"/>
      <c r="AH235" s="7"/>
      <c r="AI235" s="7"/>
      <c r="AK235" s="16"/>
      <c r="AO235" s="23"/>
      <c r="AP235" s="17"/>
      <c r="AQ235" s="7"/>
      <c r="AR235"/>
      <c r="AS235" s="17"/>
      <c r="AW235" s="7"/>
      <c r="BB235" s="24"/>
      <c r="BC235"/>
      <c r="BG235"/>
    </row>
    <row r="236" spans="1:65" s="6" customFormat="1" x14ac:dyDescent="0.25">
      <c r="F236" s="21"/>
      <c r="G236" s="10"/>
      <c r="H236" s="7"/>
      <c r="I236" s="13"/>
      <c r="U236" s="16"/>
      <c r="W236" s="16"/>
      <c r="X236" s="16"/>
      <c r="Y236" s="16"/>
      <c r="Z236" s="16"/>
      <c r="AC236" s="16"/>
      <c r="AE236" s="16"/>
      <c r="AF236" s="22"/>
      <c r="AG236" s="18"/>
      <c r="AH236" s="7"/>
      <c r="AI236" s="7"/>
      <c r="AK236" s="16"/>
      <c r="AO236" s="23"/>
      <c r="AP236" s="17"/>
      <c r="AQ236" s="7"/>
      <c r="AR236"/>
      <c r="AS236" s="17"/>
      <c r="AV236"/>
      <c r="AW236" s="7"/>
      <c r="BB236" s="24"/>
      <c r="BC236"/>
      <c r="BG236"/>
    </row>
    <row r="237" spans="1:65" s="6" customFormat="1" x14ac:dyDescent="0.25">
      <c r="A237"/>
      <c r="B237"/>
      <c r="C237"/>
      <c r="D237"/>
      <c r="E237"/>
      <c r="F237"/>
      <c r="G237"/>
      <c r="H237" s="13"/>
      <c r="I237" s="13"/>
      <c r="J237"/>
      <c r="K237"/>
      <c r="L237"/>
      <c r="M237"/>
      <c r="N237"/>
      <c r="O237"/>
      <c r="P237"/>
      <c r="Q237"/>
      <c r="R237"/>
      <c r="S237"/>
      <c r="T237"/>
      <c r="U237" s="27"/>
      <c r="V237" s="14"/>
      <c r="W237" s="27"/>
      <c r="X237" s="27"/>
      <c r="Y237" s="27"/>
      <c r="Z237" s="27"/>
      <c r="AA237"/>
      <c r="AB237"/>
      <c r="AC237" s="27"/>
      <c r="AD237"/>
      <c r="AE237" s="27"/>
      <c r="AF237" s="27"/>
      <c r="AG237" s="28"/>
      <c r="AH237" s="15"/>
      <c r="AI237" s="15"/>
      <c r="AJ237"/>
      <c r="AK237" s="27"/>
      <c r="AL237"/>
      <c r="AM237"/>
      <c r="AN237"/>
      <c r="AO237" s="27"/>
      <c r="AP237" s="27"/>
      <c r="AQ237" s="15"/>
      <c r="AR237"/>
      <c r="AS237" s="27"/>
      <c r="AT237"/>
      <c r="AU237"/>
      <c r="AW237" s="13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</row>
    <row r="238" spans="1:65" s="6" customFormat="1" x14ac:dyDescent="0.25">
      <c r="F238" s="21"/>
      <c r="G238" s="10"/>
      <c r="H238" s="7"/>
      <c r="I238" s="7"/>
      <c r="U238" s="16"/>
      <c r="W238" s="16"/>
      <c r="X238" s="16"/>
      <c r="Y238" s="16"/>
      <c r="Z238" s="16"/>
      <c r="AC238" s="16"/>
      <c r="AE238" s="16"/>
      <c r="AF238" s="22"/>
      <c r="AG238" s="18"/>
      <c r="AH238" s="7"/>
      <c r="AI238" s="7"/>
      <c r="AK238" s="16"/>
      <c r="AO238" s="23"/>
      <c r="AP238" s="17"/>
      <c r="AQ238" s="7"/>
      <c r="AR238"/>
      <c r="AS238" s="17"/>
      <c r="AW238" s="7"/>
      <c r="BB238" s="24"/>
      <c r="BC238"/>
      <c r="BG238"/>
    </row>
    <row r="239" spans="1:65" s="6" customFormat="1" x14ac:dyDescent="0.25">
      <c r="F239" s="21"/>
      <c r="G239" s="10"/>
      <c r="H239" s="7"/>
      <c r="I239" s="13"/>
      <c r="U239" s="16"/>
      <c r="W239" s="16"/>
      <c r="X239" s="16"/>
      <c r="Y239" s="16"/>
      <c r="Z239" s="16"/>
      <c r="AC239" s="16"/>
      <c r="AE239" s="16"/>
      <c r="AF239" s="22"/>
      <c r="AG239" s="18"/>
      <c r="AH239" s="7"/>
      <c r="AI239" s="7"/>
      <c r="AK239" s="16"/>
      <c r="AO239" s="23"/>
      <c r="AP239" s="17"/>
      <c r="AQ239" s="7"/>
      <c r="AR239"/>
      <c r="AS239" s="17"/>
      <c r="AV239"/>
      <c r="AW239" s="7"/>
      <c r="BB239" s="24"/>
      <c r="BC239"/>
      <c r="BG239"/>
    </row>
    <row r="240" spans="1:65" s="6" customFormat="1" x14ac:dyDescent="0.25">
      <c r="F240" s="21"/>
      <c r="G240" s="10"/>
      <c r="H240" s="7"/>
      <c r="I240" s="13"/>
      <c r="U240" s="16"/>
      <c r="W240" s="16"/>
      <c r="X240" s="16"/>
      <c r="Y240" s="16"/>
      <c r="Z240" s="16"/>
      <c r="AC240" s="16"/>
      <c r="AE240" s="16"/>
      <c r="AF240" s="22"/>
      <c r="AG240" s="18"/>
      <c r="AH240" s="7"/>
      <c r="AI240" s="7"/>
      <c r="AK240" s="16"/>
      <c r="AO240" s="23"/>
      <c r="AP240" s="17"/>
      <c r="AQ240" s="7"/>
      <c r="AR240"/>
      <c r="AS240" s="17"/>
      <c r="AW240" s="7"/>
      <c r="BB240" s="24"/>
      <c r="BC240"/>
      <c r="BG240"/>
    </row>
    <row r="241" spans="1:65" s="6" customFormat="1" x14ac:dyDescent="0.25">
      <c r="A241"/>
      <c r="B241"/>
      <c r="C241"/>
      <c r="D241"/>
      <c r="E241"/>
      <c r="F241"/>
      <c r="G241"/>
      <c r="H241" s="13"/>
      <c r="I241" s="13"/>
      <c r="J241"/>
      <c r="K241"/>
      <c r="L241"/>
      <c r="M241"/>
      <c r="N241"/>
      <c r="O241"/>
      <c r="P241"/>
      <c r="Q241"/>
      <c r="R241"/>
      <c r="S241"/>
      <c r="T241"/>
      <c r="U241" s="27"/>
      <c r="V241" s="14"/>
      <c r="W241" s="27"/>
      <c r="X241" s="27"/>
      <c r="Y241" s="27"/>
      <c r="Z241" s="27"/>
      <c r="AA241"/>
      <c r="AB241"/>
      <c r="AC241" s="27"/>
      <c r="AD241"/>
      <c r="AE241" s="27"/>
      <c r="AF241" s="27"/>
      <c r="AG241" s="28"/>
      <c r="AH241" s="15"/>
      <c r="AI241" s="15"/>
      <c r="AJ241"/>
      <c r="AK241" s="27"/>
      <c r="AL241"/>
      <c r="AM241"/>
      <c r="AN241"/>
      <c r="AO241" s="27"/>
      <c r="AP241" s="27"/>
      <c r="AQ241" s="15"/>
      <c r="AR241"/>
      <c r="AS241" s="27"/>
      <c r="AT241"/>
      <c r="AU241"/>
      <c r="AV241"/>
      <c r="AW241" s="13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</row>
    <row r="242" spans="1:65" s="6" customFormat="1" x14ac:dyDescent="0.25">
      <c r="A242"/>
      <c r="B242"/>
      <c r="C242"/>
      <c r="D242"/>
      <c r="E242"/>
      <c r="F242"/>
      <c r="G242"/>
      <c r="H242" s="13"/>
      <c r="I242" s="13"/>
      <c r="J242"/>
      <c r="K242"/>
      <c r="L242"/>
      <c r="M242"/>
      <c r="N242"/>
      <c r="O242"/>
      <c r="P242"/>
      <c r="Q242"/>
      <c r="R242"/>
      <c r="S242"/>
      <c r="T242"/>
      <c r="U242" s="27"/>
      <c r="V242" s="14"/>
      <c r="W242" s="27"/>
      <c r="X242" s="27"/>
      <c r="Y242" s="27"/>
      <c r="Z242" s="27"/>
      <c r="AA242"/>
      <c r="AB242"/>
      <c r="AC242" s="27"/>
      <c r="AD242"/>
      <c r="AE242" s="27"/>
      <c r="AF242" s="27"/>
      <c r="AG242" s="28"/>
      <c r="AH242" s="15"/>
      <c r="AI242" s="15"/>
      <c r="AJ242"/>
      <c r="AK242" s="27"/>
      <c r="AL242"/>
      <c r="AM242"/>
      <c r="AN242"/>
      <c r="AO242" s="27"/>
      <c r="AP242" s="27"/>
      <c r="AQ242" s="15"/>
      <c r="AR242"/>
      <c r="AS242" s="27"/>
      <c r="AT242"/>
      <c r="AU242"/>
      <c r="AV242"/>
      <c r="AW242" s="13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</row>
    <row r="243" spans="1:65" s="6" customFormat="1" x14ac:dyDescent="0.25">
      <c r="F243" s="21"/>
      <c r="G243" s="10"/>
      <c r="H243" s="7"/>
      <c r="I243" s="13"/>
      <c r="U243" s="16"/>
      <c r="W243" s="16"/>
      <c r="X243" s="16"/>
      <c r="Y243" s="16"/>
      <c r="Z243" s="16"/>
      <c r="AC243" s="16"/>
      <c r="AE243" s="16"/>
      <c r="AF243" s="22"/>
      <c r="AG243" s="18"/>
      <c r="AH243" s="7"/>
      <c r="AI243" s="7"/>
      <c r="AK243" s="16"/>
      <c r="AO243" s="23"/>
      <c r="AP243" s="17"/>
      <c r="AQ243" s="7"/>
      <c r="AR243"/>
      <c r="AS243" s="17"/>
      <c r="AW243" s="7"/>
      <c r="BB243" s="24"/>
      <c r="BC243"/>
      <c r="BG243"/>
    </row>
    <row r="244" spans="1:65" s="6" customFormat="1" x14ac:dyDescent="0.25">
      <c r="F244" s="21"/>
      <c r="G244" s="10"/>
      <c r="H244" s="7"/>
      <c r="I244" s="7"/>
      <c r="U244" s="16"/>
      <c r="W244" s="16"/>
      <c r="X244" s="16"/>
      <c r="Y244" s="16"/>
      <c r="Z244" s="16"/>
      <c r="AC244" s="16"/>
      <c r="AE244" s="16"/>
      <c r="AF244" s="22"/>
      <c r="AG244" s="18"/>
      <c r="AH244" s="7"/>
      <c r="AI244" s="7"/>
      <c r="AK244" s="16"/>
      <c r="AO244" s="23"/>
      <c r="AP244" s="17"/>
      <c r="AQ244" s="7"/>
      <c r="AR244"/>
      <c r="AS244" s="17"/>
      <c r="AW244" s="7"/>
      <c r="BB244" s="24"/>
      <c r="BC244"/>
      <c r="BG244"/>
    </row>
    <row r="245" spans="1:65" s="6" customFormat="1" x14ac:dyDescent="0.25">
      <c r="F245" s="21"/>
      <c r="G245" s="10"/>
      <c r="H245" s="7"/>
      <c r="I245" s="13"/>
      <c r="U245" s="16"/>
      <c r="W245" s="16"/>
      <c r="X245" s="16"/>
      <c r="Y245" s="16"/>
      <c r="Z245" s="16"/>
      <c r="AC245" s="16"/>
      <c r="AE245" s="16"/>
      <c r="AF245" s="22"/>
      <c r="AG245" s="18"/>
      <c r="AH245" s="7"/>
      <c r="AI245" s="7"/>
      <c r="AK245" s="16"/>
      <c r="AO245" s="23"/>
      <c r="AP245" s="17"/>
      <c r="AQ245" s="7"/>
      <c r="AR245"/>
      <c r="AS245" s="17"/>
      <c r="AV245"/>
      <c r="AW245" s="7"/>
      <c r="BB245" s="24"/>
      <c r="BC245"/>
      <c r="BG245"/>
    </row>
    <row r="246" spans="1:65" s="6" customFormat="1" x14ac:dyDescent="0.25">
      <c r="A246"/>
      <c r="B246"/>
      <c r="C246"/>
      <c r="D246"/>
      <c r="E246"/>
      <c r="F246"/>
      <c r="G246"/>
      <c r="H246" s="13"/>
      <c r="I246" s="13"/>
      <c r="J246"/>
      <c r="K246"/>
      <c r="L246"/>
      <c r="M246"/>
      <c r="N246"/>
      <c r="O246"/>
      <c r="P246"/>
      <c r="Q246"/>
      <c r="R246"/>
      <c r="S246"/>
      <c r="T246"/>
      <c r="U246" s="27"/>
      <c r="V246" s="14"/>
      <c r="W246" s="27"/>
      <c r="X246" s="27"/>
      <c r="Y246" s="27"/>
      <c r="Z246" s="27"/>
      <c r="AA246"/>
      <c r="AB246"/>
      <c r="AC246" s="27"/>
      <c r="AD246"/>
      <c r="AE246" s="27"/>
      <c r="AF246" s="27"/>
      <c r="AG246" s="28"/>
      <c r="AH246" s="15"/>
      <c r="AI246" s="15"/>
      <c r="AJ246"/>
      <c r="AK246" s="27"/>
      <c r="AL246"/>
      <c r="AM246"/>
      <c r="AN246"/>
      <c r="AO246" s="27"/>
      <c r="AP246" s="27"/>
      <c r="AQ246" s="15"/>
      <c r="AR246"/>
      <c r="AS246" s="27"/>
      <c r="AT246"/>
      <c r="AU246"/>
      <c r="AW246" s="13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</row>
    <row r="247" spans="1:65" s="6" customFormat="1" x14ac:dyDescent="0.25">
      <c r="F247" s="21"/>
      <c r="G247" s="10"/>
      <c r="H247" s="7"/>
      <c r="I247" s="7"/>
      <c r="U247" s="16"/>
      <c r="W247" s="16"/>
      <c r="X247" s="16"/>
      <c r="Y247" s="16"/>
      <c r="Z247" s="16"/>
      <c r="AC247" s="16"/>
      <c r="AE247" s="16"/>
      <c r="AF247" s="22"/>
      <c r="AG247" s="18"/>
      <c r="AH247" s="7"/>
      <c r="AI247" s="7"/>
      <c r="AK247" s="16"/>
      <c r="AO247" s="23"/>
      <c r="AP247" s="17"/>
      <c r="AQ247" s="7"/>
      <c r="AR247"/>
      <c r="AS247" s="17"/>
      <c r="AW247" s="7"/>
      <c r="BB247" s="24"/>
      <c r="BC247"/>
      <c r="BG247"/>
    </row>
    <row r="248" spans="1:65" s="6" customFormat="1" x14ac:dyDescent="0.25">
      <c r="F248" s="21"/>
      <c r="G248" s="10"/>
      <c r="H248" s="7"/>
      <c r="I248" s="13"/>
      <c r="U248" s="16"/>
      <c r="W248" s="16"/>
      <c r="X248" s="16"/>
      <c r="Y248" s="16"/>
      <c r="Z248" s="16"/>
      <c r="AC248" s="16"/>
      <c r="AE248" s="16"/>
      <c r="AF248" s="22"/>
      <c r="AG248" s="18"/>
      <c r="AH248" s="7"/>
      <c r="AI248" s="7"/>
      <c r="AK248" s="16"/>
      <c r="AO248" s="23"/>
      <c r="AP248" s="17"/>
      <c r="AQ248" s="7"/>
      <c r="AR248"/>
      <c r="AS248" s="17"/>
      <c r="AV248"/>
      <c r="AW248" s="7"/>
      <c r="BB248" s="24"/>
      <c r="BC248"/>
      <c r="BG248"/>
    </row>
    <row r="249" spans="1:65" s="6" customFormat="1" x14ac:dyDescent="0.25">
      <c r="F249" s="21"/>
      <c r="G249" s="10"/>
      <c r="H249" s="7"/>
      <c r="I249" s="13"/>
      <c r="U249" s="16"/>
      <c r="W249" s="16"/>
      <c r="X249" s="16"/>
      <c r="Y249" s="16"/>
      <c r="Z249" s="16"/>
      <c r="AC249" s="16"/>
      <c r="AE249" s="16"/>
      <c r="AF249" s="22"/>
      <c r="AG249" s="18"/>
      <c r="AH249" s="7"/>
      <c r="AI249" s="7"/>
      <c r="AK249" s="16"/>
      <c r="AO249" s="23"/>
      <c r="AP249" s="17"/>
      <c r="AQ249" s="7"/>
      <c r="AR249"/>
      <c r="AS249" s="17"/>
      <c r="AW249" s="7"/>
      <c r="BB249" s="24"/>
      <c r="BC249"/>
      <c r="BG249"/>
    </row>
    <row r="250" spans="1:65" s="6" customFormat="1" x14ac:dyDescent="0.25">
      <c r="A250"/>
      <c r="B250"/>
      <c r="C250"/>
      <c r="D250"/>
      <c r="E250"/>
      <c r="F250"/>
      <c r="G250"/>
      <c r="H250" s="13"/>
      <c r="I250" s="13"/>
      <c r="J250"/>
      <c r="K250"/>
      <c r="L250"/>
      <c r="M250"/>
      <c r="N250"/>
      <c r="O250"/>
      <c r="P250"/>
      <c r="Q250"/>
      <c r="R250"/>
      <c r="S250"/>
      <c r="T250"/>
      <c r="U250" s="27"/>
      <c r="V250" s="14"/>
      <c r="W250" s="27"/>
      <c r="X250" s="27"/>
      <c r="Y250" s="27"/>
      <c r="Z250" s="27"/>
      <c r="AA250"/>
      <c r="AB250"/>
      <c r="AC250" s="27"/>
      <c r="AD250"/>
      <c r="AE250" s="27"/>
      <c r="AF250" s="27"/>
      <c r="AG250" s="28"/>
      <c r="AH250" s="15"/>
      <c r="AI250" s="15"/>
      <c r="AJ250"/>
      <c r="AK250" s="27"/>
      <c r="AL250"/>
      <c r="AM250"/>
      <c r="AN250"/>
      <c r="AO250" s="27"/>
      <c r="AP250" s="27"/>
      <c r="AQ250" s="15"/>
      <c r="AR250"/>
      <c r="AS250" s="27"/>
      <c r="AT250"/>
      <c r="AU250"/>
      <c r="AV250"/>
      <c r="AW250" s="13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</row>
    <row r="251" spans="1:65" s="6" customFormat="1" x14ac:dyDescent="0.25">
      <c r="A251"/>
      <c r="B251"/>
      <c r="C251"/>
      <c r="D251"/>
      <c r="E251"/>
      <c r="F251"/>
      <c r="G251"/>
      <c r="H251" s="13"/>
      <c r="I251" s="13"/>
      <c r="J251"/>
      <c r="K251"/>
      <c r="L251"/>
      <c r="M251"/>
      <c r="N251"/>
      <c r="O251"/>
      <c r="P251"/>
      <c r="Q251"/>
      <c r="R251"/>
      <c r="S251"/>
      <c r="T251"/>
      <c r="U251" s="27"/>
      <c r="V251" s="14"/>
      <c r="W251" s="27"/>
      <c r="X251" s="27"/>
      <c r="Y251" s="27"/>
      <c r="Z251" s="27"/>
      <c r="AA251"/>
      <c r="AB251"/>
      <c r="AC251" s="27"/>
      <c r="AD251"/>
      <c r="AE251" s="27"/>
      <c r="AF251" s="27"/>
      <c r="AG251" s="28"/>
      <c r="AH251" s="15"/>
      <c r="AI251" s="15"/>
      <c r="AJ251"/>
      <c r="AK251" s="27"/>
      <c r="AL251"/>
      <c r="AM251"/>
      <c r="AN251"/>
      <c r="AO251" s="27"/>
      <c r="AP251" s="27"/>
      <c r="AQ251" s="15"/>
      <c r="AR251"/>
      <c r="AS251" s="27"/>
      <c r="AT251"/>
      <c r="AU251"/>
      <c r="AV251"/>
      <c r="AW251" s="13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</row>
    <row r="252" spans="1:65" s="6" customFormat="1" x14ac:dyDescent="0.25">
      <c r="F252" s="21"/>
      <c r="G252" s="10"/>
      <c r="H252" s="7"/>
      <c r="I252" s="13"/>
      <c r="U252" s="16"/>
      <c r="W252" s="16"/>
      <c r="X252" s="16"/>
      <c r="Y252" s="16"/>
      <c r="Z252" s="16"/>
      <c r="AC252" s="16"/>
      <c r="AE252" s="16"/>
      <c r="AF252" s="22"/>
      <c r="AG252" s="18"/>
      <c r="AH252" s="7"/>
      <c r="AI252" s="7"/>
      <c r="AK252" s="16"/>
      <c r="AO252" s="23"/>
      <c r="AP252" s="17"/>
      <c r="AQ252" s="7"/>
      <c r="AR252"/>
      <c r="AS252" s="17"/>
      <c r="AW252" s="7"/>
      <c r="BB252" s="24"/>
      <c r="BC252"/>
      <c r="BG252"/>
    </row>
    <row r="253" spans="1:65" s="6" customFormat="1" x14ac:dyDescent="0.25">
      <c r="F253" s="21"/>
      <c r="G253" s="10"/>
      <c r="H253" s="7"/>
      <c r="I253" s="7"/>
      <c r="U253" s="16"/>
      <c r="W253" s="16"/>
      <c r="X253" s="16"/>
      <c r="Y253" s="16"/>
      <c r="Z253" s="16"/>
      <c r="AC253" s="16"/>
      <c r="AE253" s="16"/>
      <c r="AF253" s="22"/>
      <c r="AG253" s="18"/>
      <c r="AH253" s="7"/>
      <c r="AI253" s="7"/>
      <c r="AK253" s="16"/>
      <c r="AO253" s="23"/>
      <c r="AP253" s="17"/>
      <c r="AQ253" s="7"/>
      <c r="AR253"/>
      <c r="AS253" s="17"/>
      <c r="AW253" s="7"/>
      <c r="BB253" s="24"/>
      <c r="BC253"/>
      <c r="BG253"/>
    </row>
    <row r="254" spans="1:65" s="6" customFormat="1" x14ac:dyDescent="0.25">
      <c r="F254" s="21"/>
      <c r="G254" s="10"/>
      <c r="H254" s="7"/>
      <c r="I254" s="13"/>
      <c r="U254" s="16"/>
      <c r="W254" s="16"/>
      <c r="X254" s="16"/>
      <c r="Y254" s="16"/>
      <c r="Z254" s="16"/>
      <c r="AC254" s="16"/>
      <c r="AE254" s="16"/>
      <c r="AF254" s="22"/>
      <c r="AG254" s="18"/>
      <c r="AH254" s="7"/>
      <c r="AI254" s="7"/>
      <c r="AK254" s="16"/>
      <c r="AO254" s="23"/>
      <c r="AP254" s="17"/>
      <c r="AQ254" s="7"/>
      <c r="AR254"/>
      <c r="AS254" s="17"/>
      <c r="AV254"/>
      <c r="AW254" s="7"/>
      <c r="BB254" s="24"/>
      <c r="BC254"/>
      <c r="BG254"/>
    </row>
    <row r="255" spans="1:65" s="6" customFormat="1" x14ac:dyDescent="0.25">
      <c r="A255"/>
      <c r="B255"/>
      <c r="C255"/>
      <c r="D255"/>
      <c r="E255"/>
      <c r="F255"/>
      <c r="G255"/>
      <c r="H255" s="13"/>
      <c r="I255" s="13"/>
      <c r="J255"/>
      <c r="K255"/>
      <c r="L255"/>
      <c r="M255"/>
      <c r="N255"/>
      <c r="O255"/>
      <c r="P255"/>
      <c r="Q255"/>
      <c r="R255"/>
      <c r="S255"/>
      <c r="T255"/>
      <c r="U255" s="27"/>
      <c r="V255" s="14"/>
      <c r="W255" s="27"/>
      <c r="X255" s="27"/>
      <c r="Y255" s="27"/>
      <c r="Z255" s="27"/>
      <c r="AA255"/>
      <c r="AB255"/>
      <c r="AC255" s="27"/>
      <c r="AD255"/>
      <c r="AE255" s="27"/>
      <c r="AF255" s="27"/>
      <c r="AG255" s="28"/>
      <c r="AH255" s="15"/>
      <c r="AI255" s="15"/>
      <c r="AJ255"/>
      <c r="AK255" s="27"/>
      <c r="AL255"/>
      <c r="AM255"/>
      <c r="AN255"/>
      <c r="AO255" s="27"/>
      <c r="AP255" s="27"/>
      <c r="AQ255" s="15"/>
      <c r="AR255"/>
      <c r="AS255" s="27"/>
      <c r="AT255"/>
      <c r="AU255"/>
      <c r="AW255" s="13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</row>
    <row r="256" spans="1:65" s="6" customFormat="1" x14ac:dyDescent="0.25">
      <c r="F256" s="21"/>
      <c r="G256" s="10"/>
      <c r="H256" s="7"/>
      <c r="I256" s="7"/>
      <c r="U256" s="16"/>
      <c r="W256" s="16"/>
      <c r="X256" s="16"/>
      <c r="Y256" s="16"/>
      <c r="Z256" s="16"/>
      <c r="AC256" s="16"/>
      <c r="AE256" s="16"/>
      <c r="AF256" s="22"/>
      <c r="AG256" s="18"/>
      <c r="AH256" s="7"/>
      <c r="AI256" s="7"/>
      <c r="AK256" s="16"/>
      <c r="AO256" s="23"/>
      <c r="AP256" s="17"/>
      <c r="AQ256" s="7"/>
      <c r="AR256"/>
      <c r="AS256" s="17"/>
      <c r="AW256" s="7"/>
      <c r="BB256" s="24"/>
      <c r="BC256"/>
      <c r="BG256"/>
    </row>
    <row r="257" spans="1:65" s="6" customFormat="1" x14ac:dyDescent="0.25">
      <c r="F257" s="21"/>
      <c r="G257" s="10"/>
      <c r="H257" s="7"/>
      <c r="I257" s="13"/>
      <c r="U257" s="16"/>
      <c r="W257" s="16"/>
      <c r="X257" s="16"/>
      <c r="Y257" s="16"/>
      <c r="Z257" s="16"/>
      <c r="AC257" s="16"/>
      <c r="AE257" s="16"/>
      <c r="AF257" s="22"/>
      <c r="AG257" s="18"/>
      <c r="AH257" s="7"/>
      <c r="AI257" s="7"/>
      <c r="AK257" s="16"/>
      <c r="AO257" s="23"/>
      <c r="AP257" s="17"/>
      <c r="AQ257" s="7"/>
      <c r="AR257"/>
      <c r="AS257" s="17"/>
      <c r="AV257"/>
      <c r="AW257" s="7"/>
      <c r="BB257" s="24"/>
      <c r="BC257"/>
      <c r="BG257"/>
    </row>
    <row r="258" spans="1:65" s="6" customFormat="1" x14ac:dyDescent="0.25">
      <c r="F258" s="21"/>
      <c r="G258" s="10"/>
      <c r="H258" s="7"/>
      <c r="I258" s="13"/>
      <c r="U258" s="16"/>
      <c r="W258" s="16"/>
      <c r="X258" s="16"/>
      <c r="Y258" s="16"/>
      <c r="Z258" s="16"/>
      <c r="AC258" s="16"/>
      <c r="AE258" s="16"/>
      <c r="AF258" s="22"/>
      <c r="AG258" s="18"/>
      <c r="AH258" s="7"/>
      <c r="AI258" s="7"/>
      <c r="AK258" s="16"/>
      <c r="AO258" s="23"/>
      <c r="AP258" s="17"/>
      <c r="AQ258" s="7"/>
      <c r="AR258"/>
      <c r="AS258" s="17"/>
      <c r="AW258" s="7"/>
      <c r="BB258" s="24"/>
      <c r="BC258"/>
      <c r="BG258"/>
    </row>
    <row r="259" spans="1:65" s="6" customFormat="1" x14ac:dyDescent="0.25">
      <c r="A259"/>
      <c r="B259"/>
      <c r="C259"/>
      <c r="D259"/>
      <c r="E259"/>
      <c r="F259"/>
      <c r="G259"/>
      <c r="H259" s="13"/>
      <c r="I259" s="13"/>
      <c r="J259"/>
      <c r="K259"/>
      <c r="L259"/>
      <c r="M259"/>
      <c r="N259"/>
      <c r="O259"/>
      <c r="P259"/>
      <c r="Q259"/>
      <c r="R259"/>
      <c r="S259"/>
      <c r="T259"/>
      <c r="U259" s="27"/>
      <c r="V259" s="14"/>
      <c r="W259" s="27"/>
      <c r="X259" s="27"/>
      <c r="Y259" s="27"/>
      <c r="Z259" s="27"/>
      <c r="AA259"/>
      <c r="AB259"/>
      <c r="AC259" s="27"/>
      <c r="AD259"/>
      <c r="AE259" s="27"/>
      <c r="AF259" s="27"/>
      <c r="AG259" s="28"/>
      <c r="AH259" s="15"/>
      <c r="AI259" s="15"/>
      <c r="AJ259"/>
      <c r="AK259" s="27"/>
      <c r="AL259"/>
      <c r="AM259"/>
      <c r="AN259"/>
      <c r="AO259" s="27"/>
      <c r="AP259" s="27"/>
      <c r="AQ259" s="15"/>
      <c r="AR259"/>
      <c r="AS259" s="27"/>
      <c r="AT259"/>
      <c r="AU259"/>
      <c r="AV259"/>
      <c r="AW259" s="13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</row>
    <row r="260" spans="1:65" s="6" customFormat="1" x14ac:dyDescent="0.25">
      <c r="A260"/>
      <c r="B260"/>
      <c r="C260"/>
      <c r="D260"/>
      <c r="E260"/>
      <c r="F260"/>
      <c r="G260"/>
      <c r="H260" s="13"/>
      <c r="I260" s="13"/>
      <c r="J260"/>
      <c r="K260"/>
      <c r="L260"/>
      <c r="M260"/>
      <c r="N260"/>
      <c r="O260"/>
      <c r="P260"/>
      <c r="Q260"/>
      <c r="R260"/>
      <c r="S260"/>
      <c r="T260"/>
      <c r="U260" s="27"/>
      <c r="V260" s="14"/>
      <c r="W260" s="27"/>
      <c r="X260" s="27"/>
      <c r="Y260" s="27"/>
      <c r="Z260" s="27"/>
      <c r="AA260"/>
      <c r="AB260"/>
      <c r="AC260" s="27"/>
      <c r="AD260"/>
      <c r="AE260" s="27"/>
      <c r="AF260" s="27"/>
      <c r="AG260" s="28"/>
      <c r="AH260" s="15"/>
      <c r="AI260" s="15"/>
      <c r="AJ260"/>
      <c r="AK260" s="27"/>
      <c r="AL260"/>
      <c r="AM260"/>
      <c r="AN260"/>
      <c r="AO260" s="27"/>
      <c r="AP260" s="27"/>
      <c r="AQ260" s="15"/>
      <c r="AR260"/>
      <c r="AS260" s="27"/>
      <c r="AT260"/>
      <c r="AU260"/>
      <c r="AV260"/>
      <c r="AW260" s="13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</row>
    <row r="261" spans="1:65" s="6" customFormat="1" x14ac:dyDescent="0.25">
      <c r="F261" s="21"/>
      <c r="G261" s="10"/>
      <c r="H261" s="7"/>
      <c r="I261" s="13"/>
      <c r="U261" s="16"/>
      <c r="W261" s="16"/>
      <c r="X261" s="16"/>
      <c r="Y261" s="16"/>
      <c r="Z261" s="16"/>
      <c r="AC261" s="16"/>
      <c r="AE261" s="16"/>
      <c r="AF261" s="22"/>
      <c r="AG261" s="18"/>
      <c r="AH261" s="7"/>
      <c r="AI261" s="7"/>
      <c r="AK261" s="16"/>
      <c r="AO261" s="23"/>
      <c r="AP261" s="17"/>
      <c r="AQ261" s="7"/>
      <c r="AR261"/>
      <c r="AS261" s="17"/>
      <c r="AW261" s="7"/>
      <c r="BB261" s="24"/>
      <c r="BC261"/>
      <c r="BG261"/>
    </row>
    <row r="262" spans="1:65" s="6" customFormat="1" x14ac:dyDescent="0.25">
      <c r="F262" s="21"/>
      <c r="G262" s="10"/>
      <c r="H262" s="7"/>
      <c r="I262" s="7"/>
      <c r="U262" s="16"/>
      <c r="W262" s="16"/>
      <c r="X262" s="16"/>
      <c r="Y262" s="16"/>
      <c r="Z262" s="16"/>
      <c r="AC262" s="16"/>
      <c r="AE262" s="16"/>
      <c r="AF262" s="22"/>
      <c r="AG262" s="18"/>
      <c r="AH262" s="7"/>
      <c r="AI262" s="7"/>
      <c r="AK262" s="16"/>
      <c r="AO262" s="23"/>
      <c r="AP262" s="17"/>
      <c r="AQ262" s="7"/>
      <c r="AR262"/>
      <c r="AS262" s="17"/>
      <c r="AW262" s="7"/>
      <c r="BB262" s="24"/>
      <c r="BC262"/>
      <c r="BG262"/>
    </row>
    <row r="263" spans="1:65" s="6" customFormat="1" x14ac:dyDescent="0.25">
      <c r="F263" s="21"/>
      <c r="G263" s="10"/>
      <c r="H263" s="7"/>
      <c r="I263" s="13"/>
      <c r="U263" s="16"/>
      <c r="W263" s="16"/>
      <c r="X263" s="16"/>
      <c r="Y263" s="16"/>
      <c r="Z263" s="16"/>
      <c r="AC263" s="16"/>
      <c r="AE263" s="16"/>
      <c r="AF263" s="22"/>
      <c r="AG263" s="18"/>
      <c r="AH263" s="7"/>
      <c r="AI263" s="7"/>
      <c r="AK263" s="16"/>
      <c r="AO263" s="23"/>
      <c r="AP263" s="17"/>
      <c r="AQ263" s="7"/>
      <c r="AR263"/>
      <c r="AS263" s="17"/>
      <c r="AV263"/>
      <c r="AW263" s="7"/>
      <c r="BB263" s="24"/>
      <c r="BC263"/>
      <c r="BG263"/>
    </row>
    <row r="264" spans="1:65" s="6" customFormat="1" x14ac:dyDescent="0.25">
      <c r="A264"/>
      <c r="B264"/>
      <c r="C264"/>
      <c r="D264"/>
      <c r="E264"/>
      <c r="F264"/>
      <c r="G264"/>
      <c r="H264" s="13"/>
      <c r="I264" s="13"/>
      <c r="J264"/>
      <c r="K264"/>
      <c r="L264"/>
      <c r="M264"/>
      <c r="N264"/>
      <c r="O264"/>
      <c r="P264"/>
      <c r="Q264"/>
      <c r="R264"/>
      <c r="S264"/>
      <c r="T264"/>
      <c r="U264" s="27"/>
      <c r="V264" s="14"/>
      <c r="W264" s="27"/>
      <c r="X264" s="27"/>
      <c r="Y264" s="27"/>
      <c r="Z264" s="27"/>
      <c r="AA264"/>
      <c r="AB264"/>
      <c r="AC264" s="27"/>
      <c r="AD264"/>
      <c r="AE264" s="27"/>
      <c r="AF264" s="27"/>
      <c r="AG264" s="28"/>
      <c r="AH264" s="15"/>
      <c r="AI264" s="15"/>
      <c r="AJ264"/>
      <c r="AK264" s="27"/>
      <c r="AL264"/>
      <c r="AM264"/>
      <c r="AN264"/>
      <c r="AO264" s="27"/>
      <c r="AP264" s="27"/>
      <c r="AQ264" s="15"/>
      <c r="AR264"/>
      <c r="AS264" s="27"/>
      <c r="AT264"/>
      <c r="AU264"/>
      <c r="AW264" s="13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</row>
    <row r="265" spans="1:65" s="6" customFormat="1" x14ac:dyDescent="0.25">
      <c r="F265" s="21"/>
      <c r="G265" s="10"/>
      <c r="H265" s="7"/>
      <c r="I265" s="7"/>
      <c r="U265" s="16"/>
      <c r="W265" s="16"/>
      <c r="X265" s="16"/>
      <c r="Y265" s="16"/>
      <c r="Z265" s="16"/>
      <c r="AC265" s="16"/>
      <c r="AE265" s="16"/>
      <c r="AF265" s="22"/>
      <c r="AG265" s="18"/>
      <c r="AH265" s="7"/>
      <c r="AI265" s="7"/>
      <c r="AK265" s="16"/>
      <c r="AO265" s="23"/>
      <c r="AP265" s="17"/>
      <c r="AQ265" s="7"/>
      <c r="AR265"/>
      <c r="AS265" s="17"/>
      <c r="AW265" s="7"/>
      <c r="BB265" s="24"/>
      <c r="BC265"/>
      <c r="BG265"/>
    </row>
    <row r="266" spans="1:65" s="6" customFormat="1" x14ac:dyDescent="0.25">
      <c r="F266" s="21"/>
      <c r="G266" s="10"/>
      <c r="H266" s="7"/>
      <c r="I266" s="13"/>
      <c r="U266" s="16"/>
      <c r="W266" s="16"/>
      <c r="X266" s="16"/>
      <c r="Y266" s="16"/>
      <c r="Z266" s="16"/>
      <c r="AC266" s="16"/>
      <c r="AE266" s="16"/>
      <c r="AF266" s="22"/>
      <c r="AG266" s="18"/>
      <c r="AH266" s="7"/>
      <c r="AI266" s="7"/>
      <c r="AK266" s="16"/>
      <c r="AO266" s="23"/>
      <c r="AP266" s="17"/>
      <c r="AQ266" s="7"/>
      <c r="AR266"/>
      <c r="AS266" s="17"/>
      <c r="AV266"/>
      <c r="AW266" s="7"/>
      <c r="BB266" s="24"/>
      <c r="BC266"/>
      <c r="BG266"/>
    </row>
    <row r="267" spans="1:65" s="6" customFormat="1" x14ac:dyDescent="0.25">
      <c r="F267" s="21"/>
      <c r="G267" s="10"/>
      <c r="H267" s="7"/>
      <c r="I267" s="13"/>
      <c r="U267" s="16"/>
      <c r="W267" s="16"/>
      <c r="X267" s="16"/>
      <c r="Y267" s="16"/>
      <c r="Z267" s="16"/>
      <c r="AC267" s="16"/>
      <c r="AE267" s="16"/>
      <c r="AF267" s="22"/>
      <c r="AG267" s="18"/>
      <c r="AH267" s="7"/>
      <c r="AI267" s="7"/>
      <c r="AK267" s="16"/>
      <c r="AO267" s="23"/>
      <c r="AP267" s="17"/>
      <c r="AQ267" s="7"/>
      <c r="AR267"/>
      <c r="AS267" s="17"/>
      <c r="AW267" s="7"/>
      <c r="BB267" s="24"/>
      <c r="BC267"/>
      <c r="BG267"/>
    </row>
    <row r="268" spans="1:65" s="6" customFormat="1" x14ac:dyDescent="0.25">
      <c r="A268"/>
      <c r="B268"/>
      <c r="C268"/>
      <c r="D268"/>
      <c r="E268"/>
      <c r="F268"/>
      <c r="G268"/>
      <c r="H268" s="13"/>
      <c r="I268" s="13"/>
      <c r="J268"/>
      <c r="K268"/>
      <c r="L268"/>
      <c r="M268"/>
      <c r="N268"/>
      <c r="O268"/>
      <c r="P268"/>
      <c r="Q268"/>
      <c r="R268"/>
      <c r="S268"/>
      <c r="T268"/>
      <c r="U268" s="27"/>
      <c r="V268" s="14"/>
      <c r="W268" s="27"/>
      <c r="X268" s="27"/>
      <c r="Y268" s="27"/>
      <c r="Z268" s="27"/>
      <c r="AA268"/>
      <c r="AB268"/>
      <c r="AC268" s="27"/>
      <c r="AD268"/>
      <c r="AE268" s="27"/>
      <c r="AF268" s="27"/>
      <c r="AG268" s="28"/>
      <c r="AH268" s="15"/>
      <c r="AI268" s="15"/>
      <c r="AJ268"/>
      <c r="AK268" s="27"/>
      <c r="AL268"/>
      <c r="AM268"/>
      <c r="AN268"/>
      <c r="AO268" s="27"/>
      <c r="AP268" s="27"/>
      <c r="AQ268" s="15"/>
      <c r="AR268"/>
      <c r="AS268" s="27"/>
      <c r="AT268"/>
      <c r="AU268"/>
      <c r="AV268"/>
      <c r="AW268" s="13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</row>
    <row r="269" spans="1:65" s="6" customFormat="1" x14ac:dyDescent="0.25">
      <c r="A269"/>
      <c r="B269"/>
      <c r="C269"/>
      <c r="D269"/>
      <c r="E269"/>
      <c r="F269"/>
      <c r="G269"/>
      <c r="H269" s="13"/>
      <c r="I269" s="13"/>
      <c r="J269"/>
      <c r="K269"/>
      <c r="L269"/>
      <c r="M269"/>
      <c r="N269"/>
      <c r="O269"/>
      <c r="P269"/>
      <c r="Q269"/>
      <c r="R269"/>
      <c r="S269"/>
      <c r="T269"/>
      <c r="U269" s="27"/>
      <c r="V269" s="14"/>
      <c r="W269" s="27"/>
      <c r="X269" s="27"/>
      <c r="Y269" s="27"/>
      <c r="Z269" s="27"/>
      <c r="AA269"/>
      <c r="AB269"/>
      <c r="AC269" s="27"/>
      <c r="AD269"/>
      <c r="AE269" s="27"/>
      <c r="AF269" s="27"/>
      <c r="AG269" s="28"/>
      <c r="AH269" s="15"/>
      <c r="AI269" s="15"/>
      <c r="AJ269"/>
      <c r="AK269" s="27"/>
      <c r="AL269"/>
      <c r="AM269"/>
      <c r="AN269"/>
      <c r="AO269" s="27"/>
      <c r="AP269" s="27"/>
      <c r="AQ269" s="15"/>
      <c r="AR269"/>
      <c r="AS269" s="27"/>
      <c r="AT269"/>
      <c r="AU269"/>
      <c r="AV269"/>
      <c r="AW269" s="13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</row>
    <row r="270" spans="1:65" s="6" customFormat="1" x14ac:dyDescent="0.25">
      <c r="F270" s="21"/>
      <c r="G270" s="10"/>
      <c r="H270" s="7"/>
      <c r="I270" s="13"/>
      <c r="U270" s="16"/>
      <c r="W270" s="16"/>
      <c r="X270" s="16"/>
      <c r="Y270" s="16"/>
      <c r="Z270" s="16"/>
      <c r="AC270" s="16"/>
      <c r="AE270" s="16"/>
      <c r="AF270" s="22"/>
      <c r="AG270" s="18"/>
      <c r="AH270" s="7"/>
      <c r="AI270" s="7"/>
      <c r="AK270" s="16"/>
      <c r="AO270" s="23"/>
      <c r="AP270" s="17"/>
      <c r="AQ270" s="7"/>
      <c r="AR270"/>
      <c r="AS270" s="17"/>
      <c r="AW270" s="7"/>
      <c r="BB270" s="24"/>
      <c r="BC270"/>
      <c r="BG270"/>
    </row>
    <row r="271" spans="1:65" s="6" customFormat="1" x14ac:dyDescent="0.25">
      <c r="F271" s="21"/>
      <c r="G271" s="10"/>
      <c r="H271" s="7"/>
      <c r="I271" s="7"/>
      <c r="U271" s="16"/>
      <c r="W271" s="16"/>
      <c r="X271" s="16"/>
      <c r="Y271" s="16"/>
      <c r="Z271" s="16"/>
      <c r="AC271" s="16"/>
      <c r="AE271" s="16"/>
      <c r="AF271" s="22"/>
      <c r="AG271" s="18"/>
      <c r="AH271" s="7"/>
      <c r="AI271" s="7"/>
      <c r="AK271" s="16"/>
      <c r="AO271" s="23"/>
      <c r="AP271" s="17"/>
      <c r="AQ271" s="7"/>
      <c r="AR271"/>
      <c r="AS271" s="17"/>
      <c r="AW271" s="7"/>
      <c r="BB271" s="24"/>
      <c r="BC271"/>
      <c r="BG271"/>
    </row>
    <row r="272" spans="1:65" s="6" customFormat="1" x14ac:dyDescent="0.25">
      <c r="F272" s="21"/>
      <c r="G272" s="10"/>
      <c r="H272" s="7"/>
      <c r="I272" s="13"/>
      <c r="U272" s="16"/>
      <c r="W272" s="16"/>
      <c r="X272" s="16"/>
      <c r="Y272" s="16"/>
      <c r="Z272" s="16"/>
      <c r="AC272" s="16"/>
      <c r="AE272" s="16"/>
      <c r="AF272" s="22"/>
      <c r="AG272" s="18"/>
      <c r="AH272" s="7"/>
      <c r="AI272" s="7"/>
      <c r="AK272" s="16"/>
      <c r="AO272" s="23"/>
      <c r="AP272" s="17"/>
      <c r="AQ272" s="7"/>
      <c r="AR272"/>
      <c r="AS272" s="17"/>
      <c r="AV272"/>
      <c r="AW272" s="7"/>
      <c r="BB272" s="24"/>
      <c r="BC272"/>
      <c r="BG272"/>
    </row>
    <row r="273" spans="1:65" s="6" customFormat="1" x14ac:dyDescent="0.25">
      <c r="A273"/>
      <c r="B273"/>
      <c r="C273"/>
      <c r="D273"/>
      <c r="E273"/>
      <c r="F273"/>
      <c r="G273"/>
      <c r="H273" s="13"/>
      <c r="I273" s="13"/>
      <c r="J273"/>
      <c r="K273"/>
      <c r="L273"/>
      <c r="M273"/>
      <c r="N273"/>
      <c r="O273"/>
      <c r="P273"/>
      <c r="Q273"/>
      <c r="R273"/>
      <c r="S273"/>
      <c r="T273"/>
      <c r="U273" s="27"/>
      <c r="V273" s="14"/>
      <c r="W273" s="27"/>
      <c r="X273" s="27"/>
      <c r="Y273" s="27"/>
      <c r="Z273" s="27"/>
      <c r="AA273"/>
      <c r="AB273"/>
      <c r="AC273" s="27"/>
      <c r="AD273"/>
      <c r="AE273" s="27"/>
      <c r="AF273" s="27"/>
      <c r="AG273" s="28"/>
      <c r="AH273" s="15"/>
      <c r="AI273" s="15"/>
      <c r="AJ273"/>
      <c r="AK273" s="27"/>
      <c r="AL273"/>
      <c r="AM273"/>
      <c r="AN273"/>
      <c r="AO273" s="27"/>
      <c r="AP273" s="27"/>
      <c r="AQ273" s="15"/>
      <c r="AR273"/>
      <c r="AS273" s="27"/>
      <c r="AT273"/>
      <c r="AU273"/>
      <c r="AW273" s="1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</row>
    <row r="274" spans="1:65" s="6" customFormat="1" x14ac:dyDescent="0.25">
      <c r="F274" s="21"/>
      <c r="G274" s="10"/>
      <c r="H274" s="7"/>
      <c r="I274" s="7"/>
      <c r="U274" s="16"/>
      <c r="W274" s="16"/>
      <c r="X274" s="16"/>
      <c r="Y274" s="16"/>
      <c r="Z274" s="16"/>
      <c r="AC274" s="16"/>
      <c r="AE274" s="16"/>
      <c r="AF274" s="22"/>
      <c r="AG274" s="18"/>
      <c r="AH274" s="7"/>
      <c r="AI274" s="7"/>
      <c r="AK274" s="16"/>
      <c r="AO274" s="23"/>
      <c r="AP274" s="17"/>
      <c r="AQ274" s="7"/>
      <c r="AR274"/>
      <c r="AS274" s="17"/>
      <c r="AW274" s="7"/>
      <c r="BB274" s="24"/>
      <c r="BC274"/>
      <c r="BG274"/>
    </row>
    <row r="275" spans="1:65" s="6" customFormat="1" x14ac:dyDescent="0.25">
      <c r="F275" s="21"/>
      <c r="G275" s="10"/>
      <c r="H275" s="7"/>
      <c r="I275" s="13"/>
      <c r="U275" s="16"/>
      <c r="W275" s="16"/>
      <c r="X275" s="16"/>
      <c r="Y275" s="16"/>
      <c r="Z275" s="16"/>
      <c r="AC275" s="16"/>
      <c r="AE275" s="16"/>
      <c r="AF275" s="22"/>
      <c r="AG275" s="18"/>
      <c r="AH275" s="7"/>
      <c r="AI275" s="7"/>
      <c r="AK275" s="16"/>
      <c r="AO275" s="23"/>
      <c r="AP275" s="17"/>
      <c r="AQ275" s="7"/>
      <c r="AR275"/>
      <c r="AS275" s="17"/>
      <c r="AV275"/>
      <c r="AW275" s="7"/>
      <c r="BB275" s="24"/>
      <c r="BC275"/>
      <c r="BG275"/>
    </row>
    <row r="276" spans="1:65" s="6" customFormat="1" x14ac:dyDescent="0.25">
      <c r="F276" s="21"/>
      <c r="G276" s="10"/>
      <c r="H276" s="7"/>
      <c r="I276" s="13"/>
      <c r="U276" s="16"/>
      <c r="W276" s="16"/>
      <c r="X276" s="16"/>
      <c r="Y276" s="16"/>
      <c r="Z276" s="16"/>
      <c r="AC276" s="16"/>
      <c r="AE276" s="16"/>
      <c r="AF276" s="22"/>
      <c r="AG276" s="18"/>
      <c r="AH276" s="7"/>
      <c r="AI276" s="7"/>
      <c r="AK276" s="16"/>
      <c r="AO276" s="23"/>
      <c r="AP276" s="17"/>
      <c r="AQ276" s="7"/>
      <c r="AR276"/>
      <c r="AS276" s="17"/>
      <c r="AW276" s="7"/>
      <c r="BB276" s="24"/>
      <c r="BC276"/>
      <c r="BG276"/>
    </row>
    <row r="277" spans="1:65" s="6" customFormat="1" x14ac:dyDescent="0.25">
      <c r="A277"/>
      <c r="B277"/>
      <c r="C277"/>
      <c r="D277"/>
      <c r="E277"/>
      <c r="F277"/>
      <c r="G277"/>
      <c r="H277" s="13"/>
      <c r="I277" s="13"/>
      <c r="J277"/>
      <c r="K277"/>
      <c r="L277"/>
      <c r="M277"/>
      <c r="N277"/>
      <c r="O277"/>
      <c r="P277"/>
      <c r="Q277"/>
      <c r="R277"/>
      <c r="S277"/>
      <c r="T277"/>
      <c r="U277" s="27"/>
      <c r="V277" s="14"/>
      <c r="W277" s="27"/>
      <c r="X277" s="27"/>
      <c r="Y277" s="27"/>
      <c r="Z277" s="27"/>
      <c r="AA277"/>
      <c r="AB277"/>
      <c r="AC277" s="27"/>
      <c r="AD277"/>
      <c r="AE277" s="27"/>
      <c r="AF277" s="27"/>
      <c r="AG277" s="28"/>
      <c r="AH277" s="15"/>
      <c r="AI277" s="15"/>
      <c r="AJ277"/>
      <c r="AK277" s="27"/>
      <c r="AL277"/>
      <c r="AM277"/>
      <c r="AN277"/>
      <c r="AO277" s="27"/>
      <c r="AP277" s="27"/>
      <c r="AQ277" s="15"/>
      <c r="AR277"/>
      <c r="AS277" s="27"/>
      <c r="AT277"/>
      <c r="AU277"/>
      <c r="AV277"/>
      <c r="AW277" s="13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</row>
    <row r="278" spans="1:65" s="6" customFormat="1" x14ac:dyDescent="0.25">
      <c r="A278"/>
      <c r="B278"/>
      <c r="C278"/>
      <c r="D278"/>
      <c r="E278"/>
      <c r="F278"/>
      <c r="G278"/>
      <c r="H278" s="13"/>
      <c r="I278" s="13"/>
      <c r="J278"/>
      <c r="K278"/>
      <c r="L278"/>
      <c r="M278"/>
      <c r="N278"/>
      <c r="O278"/>
      <c r="P278"/>
      <c r="Q278"/>
      <c r="R278"/>
      <c r="S278"/>
      <c r="T278"/>
      <c r="U278" s="27"/>
      <c r="V278" s="14"/>
      <c r="W278" s="27"/>
      <c r="X278" s="27"/>
      <c r="Y278" s="27"/>
      <c r="Z278" s="27"/>
      <c r="AA278"/>
      <c r="AB278"/>
      <c r="AC278" s="27"/>
      <c r="AD278"/>
      <c r="AE278" s="27"/>
      <c r="AF278" s="27"/>
      <c r="AG278" s="28"/>
      <c r="AH278" s="15"/>
      <c r="AI278" s="15"/>
      <c r="AJ278"/>
      <c r="AK278" s="27"/>
      <c r="AL278"/>
      <c r="AM278"/>
      <c r="AN278"/>
      <c r="AO278" s="27"/>
      <c r="AP278" s="27"/>
      <c r="AQ278" s="15"/>
      <c r="AR278"/>
      <c r="AS278" s="27"/>
      <c r="AT278"/>
      <c r="AU278"/>
      <c r="AV278"/>
      <c r="AW278" s="13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</row>
    <row r="279" spans="1:65" s="6" customFormat="1" x14ac:dyDescent="0.25">
      <c r="F279" s="21"/>
      <c r="G279" s="10"/>
      <c r="H279" s="7"/>
      <c r="I279" s="13"/>
      <c r="U279" s="16"/>
      <c r="W279" s="16"/>
      <c r="X279" s="16"/>
      <c r="Y279" s="16"/>
      <c r="Z279" s="16"/>
      <c r="AC279" s="16"/>
      <c r="AE279" s="16"/>
      <c r="AF279" s="22"/>
      <c r="AG279" s="18"/>
      <c r="AH279" s="7"/>
      <c r="AI279" s="7"/>
      <c r="AK279" s="16"/>
      <c r="AO279" s="23"/>
      <c r="AP279" s="17"/>
      <c r="AQ279" s="7"/>
      <c r="AR279"/>
      <c r="AS279" s="17"/>
      <c r="AW279" s="7"/>
      <c r="BB279" s="24"/>
      <c r="BC279"/>
      <c r="BG279"/>
    </row>
    <row r="280" spans="1:65" s="6" customFormat="1" x14ac:dyDescent="0.25">
      <c r="F280" s="21"/>
      <c r="G280" s="10"/>
      <c r="H280" s="7"/>
      <c r="I280" s="7"/>
      <c r="U280" s="16"/>
      <c r="W280" s="16"/>
      <c r="X280" s="16"/>
      <c r="Y280" s="16"/>
      <c r="Z280" s="16"/>
      <c r="AC280" s="16"/>
      <c r="AE280" s="16"/>
      <c r="AF280" s="22"/>
      <c r="AG280" s="18"/>
      <c r="AH280" s="7"/>
      <c r="AI280" s="7"/>
      <c r="AK280" s="16"/>
      <c r="AO280" s="23"/>
      <c r="AP280" s="17"/>
      <c r="AQ280" s="7"/>
      <c r="AR280"/>
      <c r="AS280" s="17"/>
      <c r="AW280" s="7"/>
      <c r="BB280" s="24"/>
      <c r="BC280"/>
      <c r="BG280"/>
    </row>
    <row r="281" spans="1:65" s="6" customFormat="1" x14ac:dyDescent="0.25">
      <c r="F281" s="21"/>
      <c r="G281" s="10"/>
      <c r="H281" s="7"/>
      <c r="I281" s="13"/>
      <c r="U281" s="16"/>
      <c r="W281" s="16"/>
      <c r="X281" s="16"/>
      <c r="Y281" s="16"/>
      <c r="Z281" s="16"/>
      <c r="AC281" s="16"/>
      <c r="AE281" s="16"/>
      <c r="AF281" s="22"/>
      <c r="AG281" s="18"/>
      <c r="AH281" s="7"/>
      <c r="AI281" s="7"/>
      <c r="AK281" s="16"/>
      <c r="AO281" s="23"/>
      <c r="AP281" s="17"/>
      <c r="AQ281" s="7"/>
      <c r="AR281"/>
      <c r="AS281" s="17"/>
      <c r="AV281"/>
      <c r="AW281" s="7"/>
      <c r="BB281" s="24"/>
      <c r="BC281"/>
      <c r="BG281"/>
    </row>
    <row r="282" spans="1:65" s="6" customFormat="1" x14ac:dyDescent="0.25">
      <c r="A282"/>
      <c r="B282"/>
      <c r="C282"/>
      <c r="D282"/>
      <c r="E282"/>
      <c r="F282"/>
      <c r="G282"/>
      <c r="H282" s="13"/>
      <c r="I282" s="13"/>
      <c r="J282"/>
      <c r="K282"/>
      <c r="L282"/>
      <c r="M282"/>
      <c r="N282"/>
      <c r="O282"/>
      <c r="P282"/>
      <c r="Q282"/>
      <c r="R282"/>
      <c r="S282"/>
      <c r="T282"/>
      <c r="U282" s="27"/>
      <c r="V282" s="14"/>
      <c r="W282" s="27"/>
      <c r="X282" s="27"/>
      <c r="Y282" s="27"/>
      <c r="Z282" s="27"/>
      <c r="AA282"/>
      <c r="AB282"/>
      <c r="AC282" s="27"/>
      <c r="AD282"/>
      <c r="AE282" s="27"/>
      <c r="AF282" s="27"/>
      <c r="AG282" s="28"/>
      <c r="AH282" s="15"/>
      <c r="AI282" s="15"/>
      <c r="AJ282"/>
      <c r="AK282" s="27"/>
      <c r="AL282"/>
      <c r="AM282"/>
      <c r="AN282"/>
      <c r="AO282" s="27"/>
      <c r="AP282" s="27"/>
      <c r="AQ282" s="15"/>
      <c r="AR282"/>
      <c r="AS282" s="27"/>
      <c r="AT282"/>
      <c r="AU282"/>
      <c r="AW282" s="13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</row>
    <row r="283" spans="1:65" s="6" customFormat="1" x14ac:dyDescent="0.25">
      <c r="H283" s="7"/>
      <c r="I283" s="7"/>
      <c r="U283" s="16"/>
      <c r="W283" s="16"/>
      <c r="X283" s="16"/>
      <c r="Y283" s="16"/>
      <c r="Z283" s="16"/>
      <c r="AC283" s="16"/>
      <c r="AE283" s="16"/>
      <c r="AF283" s="16"/>
      <c r="AG283" s="18"/>
      <c r="AH283" s="7"/>
      <c r="AI283" s="7"/>
      <c r="AK283" s="16"/>
      <c r="AO283" s="16"/>
      <c r="AP283" s="16"/>
      <c r="AQ283" s="7"/>
      <c r="AR283"/>
      <c r="AS283" s="16"/>
      <c r="AW283" s="7"/>
      <c r="BC283"/>
      <c r="BG283"/>
    </row>
    <row r="284" spans="1:65" s="6" customFormat="1" x14ac:dyDescent="0.25">
      <c r="F284" s="21"/>
      <c r="G284" s="10"/>
      <c r="H284" s="7"/>
      <c r="I284" s="13"/>
      <c r="U284" s="16"/>
      <c r="W284" s="16"/>
      <c r="X284" s="16"/>
      <c r="Y284" s="16"/>
      <c r="Z284" s="16"/>
      <c r="AC284" s="16"/>
      <c r="AE284" s="16"/>
      <c r="AF284" s="22"/>
      <c r="AG284" s="18"/>
      <c r="AH284" s="7"/>
      <c r="AI284" s="7"/>
      <c r="AK284" s="16"/>
      <c r="AO284" s="23"/>
      <c r="AP284" s="17"/>
      <c r="AQ284" s="7"/>
      <c r="AR284"/>
      <c r="AS284" s="17"/>
      <c r="AV284"/>
      <c r="AW284" s="7"/>
      <c r="BB284" s="24"/>
      <c r="BC284"/>
      <c r="BG284"/>
    </row>
    <row r="285" spans="1:65" s="6" customFormat="1" x14ac:dyDescent="0.25">
      <c r="F285" s="21"/>
      <c r="G285" s="10"/>
      <c r="H285" s="7"/>
      <c r="I285" s="13"/>
      <c r="U285" s="16"/>
      <c r="W285" s="16"/>
      <c r="X285" s="16"/>
      <c r="Y285" s="16"/>
      <c r="Z285" s="16"/>
      <c r="AC285" s="16"/>
      <c r="AE285" s="16"/>
      <c r="AF285" s="22"/>
      <c r="AG285" s="18"/>
      <c r="AH285" s="7"/>
      <c r="AI285" s="7"/>
      <c r="AK285" s="16"/>
      <c r="AO285" s="23"/>
      <c r="AP285" s="17"/>
      <c r="AQ285" s="7"/>
      <c r="AR285"/>
      <c r="AS285" s="17"/>
      <c r="AW285" s="7"/>
      <c r="BB285" s="24"/>
      <c r="BC285"/>
      <c r="BG285"/>
    </row>
    <row r="286" spans="1:65" s="6" customFormat="1" x14ac:dyDescent="0.25">
      <c r="A286"/>
      <c r="B286"/>
      <c r="C286"/>
      <c r="D286"/>
      <c r="E286"/>
      <c r="F286"/>
      <c r="G286"/>
      <c r="H286" s="13"/>
      <c r="I286" s="13"/>
      <c r="J286"/>
      <c r="K286"/>
      <c r="L286"/>
      <c r="M286"/>
      <c r="N286"/>
      <c r="O286"/>
      <c r="P286"/>
      <c r="Q286"/>
      <c r="R286"/>
      <c r="S286"/>
      <c r="T286"/>
      <c r="U286" s="27"/>
      <c r="V286" s="14"/>
      <c r="W286" s="27"/>
      <c r="X286" s="27"/>
      <c r="Y286" s="27"/>
      <c r="Z286" s="27"/>
      <c r="AA286"/>
      <c r="AB286"/>
      <c r="AC286" s="27"/>
      <c r="AD286"/>
      <c r="AE286" s="27"/>
      <c r="AF286" s="27"/>
      <c r="AG286" s="28"/>
      <c r="AH286" s="15"/>
      <c r="AI286" s="15"/>
      <c r="AJ286"/>
      <c r="AK286" s="27"/>
      <c r="AL286"/>
      <c r="AM286"/>
      <c r="AN286"/>
      <c r="AO286" s="27"/>
      <c r="AP286" s="27"/>
      <c r="AQ286" s="15"/>
      <c r="AR286"/>
      <c r="AS286" s="27"/>
      <c r="AT286"/>
      <c r="AU286"/>
      <c r="AV286"/>
      <c r="AW286" s="13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</row>
    <row r="287" spans="1:65" s="6" customFormat="1" x14ac:dyDescent="0.25">
      <c r="A287"/>
      <c r="B287"/>
      <c r="C287"/>
      <c r="D287"/>
      <c r="E287"/>
      <c r="F287"/>
      <c r="G287"/>
      <c r="H287" s="13"/>
      <c r="I287" s="13"/>
      <c r="J287"/>
      <c r="K287"/>
      <c r="L287"/>
      <c r="M287"/>
      <c r="N287"/>
      <c r="O287"/>
      <c r="P287"/>
      <c r="Q287"/>
      <c r="R287"/>
      <c r="S287"/>
      <c r="T287"/>
      <c r="U287" s="27"/>
      <c r="V287" s="14"/>
      <c r="W287" s="27"/>
      <c r="X287" s="27"/>
      <c r="Y287" s="27"/>
      <c r="Z287" s="27"/>
      <c r="AA287"/>
      <c r="AB287"/>
      <c r="AC287" s="27"/>
      <c r="AD287"/>
      <c r="AE287" s="27"/>
      <c r="AF287" s="27"/>
      <c r="AG287" s="28"/>
      <c r="AH287" s="15"/>
      <c r="AI287" s="15"/>
      <c r="AJ287"/>
      <c r="AK287" s="27"/>
      <c r="AL287"/>
      <c r="AM287"/>
      <c r="AN287"/>
      <c r="AO287" s="27"/>
      <c r="AP287" s="27"/>
      <c r="AQ287" s="15"/>
      <c r="AR287"/>
      <c r="AS287" s="27"/>
      <c r="AT287"/>
      <c r="AU287"/>
      <c r="AV287"/>
      <c r="AW287" s="13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</row>
    <row r="288" spans="1:65" s="6" customFormat="1" x14ac:dyDescent="0.25">
      <c r="F288" s="21"/>
      <c r="G288" s="10"/>
      <c r="H288" s="7"/>
      <c r="I288" s="13"/>
      <c r="U288" s="16"/>
      <c r="W288" s="16"/>
      <c r="X288" s="16"/>
      <c r="Y288" s="16"/>
      <c r="Z288" s="16"/>
      <c r="AC288" s="16"/>
      <c r="AE288" s="16"/>
      <c r="AF288" s="22"/>
      <c r="AG288" s="18"/>
      <c r="AH288" s="7"/>
      <c r="AI288" s="7"/>
      <c r="AK288" s="16"/>
      <c r="AO288" s="23"/>
      <c r="AP288" s="17"/>
      <c r="AQ288" s="7"/>
      <c r="AR288"/>
      <c r="AS288" s="17"/>
      <c r="AW288" s="7"/>
      <c r="BB288" s="24"/>
      <c r="BC288"/>
      <c r="BG288"/>
    </row>
    <row r="289" spans="1:65" s="6" customFormat="1" x14ac:dyDescent="0.25">
      <c r="A289"/>
      <c r="B289"/>
      <c r="C289"/>
      <c r="D289"/>
      <c r="E289"/>
      <c r="F289"/>
      <c r="G289"/>
      <c r="H289" s="13"/>
      <c r="I289" s="7"/>
      <c r="J289"/>
      <c r="K289"/>
      <c r="L289"/>
      <c r="M289"/>
      <c r="N289"/>
      <c r="O289"/>
      <c r="P289"/>
      <c r="Q289"/>
      <c r="R289"/>
      <c r="S289"/>
      <c r="T289"/>
      <c r="U289" s="27"/>
      <c r="V289" s="14"/>
      <c r="W289" s="27"/>
      <c r="X289" s="27"/>
      <c r="Y289" s="27"/>
      <c r="Z289" s="27"/>
      <c r="AA289"/>
      <c r="AB289"/>
      <c r="AC289" s="27"/>
      <c r="AD289"/>
      <c r="AE289" s="27"/>
      <c r="AF289" s="27"/>
      <c r="AG289" s="28"/>
      <c r="AH289" s="7"/>
      <c r="AI289" s="15"/>
      <c r="AJ289"/>
      <c r="AK289" s="27"/>
      <c r="AL289"/>
      <c r="AM289"/>
      <c r="AN289"/>
      <c r="AO289" s="27"/>
      <c r="AP289" s="27"/>
      <c r="AQ289" s="15"/>
      <c r="AR289"/>
      <c r="AS289" s="27"/>
      <c r="AT289"/>
      <c r="AU289"/>
      <c r="AW289" s="7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</row>
    <row r="290" spans="1:65" s="6" customFormat="1" x14ac:dyDescent="0.25">
      <c r="F290" s="21"/>
      <c r="G290" s="10"/>
      <c r="H290" s="7"/>
      <c r="I290" s="13"/>
      <c r="U290" s="16"/>
      <c r="W290" s="16"/>
      <c r="X290" s="16"/>
      <c r="Y290" s="16"/>
      <c r="Z290" s="16"/>
      <c r="AC290" s="16"/>
      <c r="AE290" s="16"/>
      <c r="AF290" s="22"/>
      <c r="AG290" s="18"/>
      <c r="AH290" s="7"/>
      <c r="AI290" s="7"/>
      <c r="AK290" s="16"/>
      <c r="AO290" s="23"/>
      <c r="AP290" s="17"/>
      <c r="AQ290" s="7"/>
      <c r="AR290"/>
      <c r="AS290" s="17"/>
      <c r="AV290"/>
      <c r="AW290" s="7"/>
      <c r="BB290" s="24"/>
      <c r="BC290"/>
      <c r="BG290"/>
    </row>
    <row r="291" spans="1:65" s="6" customFormat="1" x14ac:dyDescent="0.25">
      <c r="A291"/>
      <c r="B291"/>
      <c r="C291"/>
      <c r="D291"/>
      <c r="E291"/>
      <c r="F291"/>
      <c r="G291"/>
      <c r="H291" s="13"/>
      <c r="I291" s="13"/>
      <c r="J291"/>
      <c r="K291"/>
      <c r="L291"/>
      <c r="M291"/>
      <c r="N291"/>
      <c r="O291"/>
      <c r="P291"/>
      <c r="Q291"/>
      <c r="R291"/>
      <c r="S291"/>
      <c r="T291"/>
      <c r="U291" s="27"/>
      <c r="V291" s="14"/>
      <c r="W291" s="27"/>
      <c r="X291" s="27"/>
      <c r="Y291" s="27"/>
      <c r="Z291" s="27"/>
      <c r="AA291"/>
      <c r="AB291"/>
      <c r="AC291" s="27"/>
      <c r="AD291"/>
      <c r="AE291" s="27"/>
      <c r="AF291" s="27"/>
      <c r="AG291" s="28"/>
      <c r="AH291" s="15"/>
      <c r="AI291" s="15"/>
      <c r="AJ291"/>
      <c r="AK291" s="27"/>
      <c r="AL291"/>
      <c r="AM291"/>
      <c r="AN291"/>
      <c r="AO291" s="27"/>
      <c r="AP291" s="27"/>
      <c r="AQ291" s="15"/>
      <c r="AR291"/>
      <c r="AS291" s="27"/>
      <c r="AT291"/>
      <c r="AU291"/>
      <c r="AW291" s="13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</row>
    <row r="292" spans="1:65" s="6" customFormat="1" x14ac:dyDescent="0.25">
      <c r="A292"/>
      <c r="B292"/>
      <c r="C292"/>
      <c r="D292"/>
      <c r="E292"/>
      <c r="F292"/>
      <c r="G292"/>
      <c r="H292" s="13"/>
      <c r="I292" s="7"/>
      <c r="J292"/>
      <c r="K292"/>
      <c r="L292"/>
      <c r="M292"/>
      <c r="N292"/>
      <c r="O292"/>
      <c r="P292"/>
      <c r="Q292"/>
      <c r="R292"/>
      <c r="S292"/>
      <c r="T292"/>
      <c r="U292" s="27"/>
      <c r="V292" s="14"/>
      <c r="W292" s="27"/>
      <c r="X292" s="27"/>
      <c r="Y292" s="27"/>
      <c r="Z292" s="27"/>
      <c r="AA292"/>
      <c r="AB292"/>
      <c r="AC292" s="27"/>
      <c r="AD292"/>
      <c r="AE292" s="27"/>
      <c r="AF292" s="27"/>
      <c r="AG292" s="28"/>
      <c r="AH292" s="7"/>
      <c r="AI292" s="15"/>
      <c r="AJ292"/>
      <c r="AK292" s="27"/>
      <c r="AL292"/>
      <c r="AM292"/>
      <c r="AN292"/>
      <c r="AO292" s="27"/>
      <c r="AP292" s="27"/>
      <c r="AQ292" s="15"/>
      <c r="AR292"/>
      <c r="AS292" s="27"/>
      <c r="AT292"/>
      <c r="AU292"/>
      <c r="AW292" s="13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</row>
    <row r="293" spans="1:65" s="6" customFormat="1" x14ac:dyDescent="0.25">
      <c r="F293" s="21"/>
      <c r="G293" s="10"/>
      <c r="H293" s="7"/>
      <c r="I293" s="13"/>
      <c r="U293" s="16"/>
      <c r="W293" s="16"/>
      <c r="X293" s="16"/>
      <c r="Y293" s="16"/>
      <c r="Z293" s="16"/>
      <c r="AC293" s="16"/>
      <c r="AE293" s="16"/>
      <c r="AF293" s="22"/>
      <c r="AG293" s="18"/>
      <c r="AH293" s="7"/>
      <c r="AI293" s="7"/>
      <c r="AK293" s="16"/>
      <c r="AO293" s="23"/>
      <c r="AP293" s="17"/>
      <c r="AQ293" s="7"/>
      <c r="AR293"/>
      <c r="AS293" s="17"/>
      <c r="AV293"/>
      <c r="AW293" s="7"/>
      <c r="BB293" s="24"/>
      <c r="BC293"/>
      <c r="BG293"/>
    </row>
    <row r="294" spans="1:65" s="6" customFormat="1" x14ac:dyDescent="0.25">
      <c r="F294" s="21"/>
      <c r="G294" s="10"/>
      <c r="H294" s="7"/>
      <c r="I294" s="13"/>
      <c r="U294" s="16"/>
      <c r="W294" s="16"/>
      <c r="X294" s="16"/>
      <c r="Y294" s="16"/>
      <c r="Z294" s="16"/>
      <c r="AC294" s="16"/>
      <c r="AE294" s="16"/>
      <c r="AF294" s="22"/>
      <c r="AG294" s="18"/>
      <c r="AH294" s="7"/>
      <c r="AI294" s="7"/>
      <c r="AK294" s="16"/>
      <c r="AO294" s="23"/>
      <c r="AP294" s="17"/>
      <c r="AQ294" s="7"/>
      <c r="AR294"/>
      <c r="AS294" s="17"/>
      <c r="AW294" s="7"/>
      <c r="BB294" s="24"/>
      <c r="BC294"/>
      <c r="BG294"/>
    </row>
    <row r="295" spans="1:65" s="6" customFormat="1" x14ac:dyDescent="0.25">
      <c r="A295"/>
      <c r="B295"/>
      <c r="C295"/>
      <c r="D295"/>
      <c r="E295"/>
      <c r="F295"/>
      <c r="G295"/>
      <c r="H295" s="13"/>
      <c r="I295" s="13"/>
      <c r="J295"/>
      <c r="K295"/>
      <c r="L295"/>
      <c r="M295"/>
      <c r="N295"/>
      <c r="O295"/>
      <c r="P295"/>
      <c r="Q295"/>
      <c r="R295"/>
      <c r="S295"/>
      <c r="T295"/>
      <c r="U295" s="27"/>
      <c r="V295" s="14"/>
      <c r="W295" s="27"/>
      <c r="X295" s="27"/>
      <c r="Y295" s="27"/>
      <c r="Z295" s="27"/>
      <c r="AA295"/>
      <c r="AB295"/>
      <c r="AC295" s="27"/>
      <c r="AD295"/>
      <c r="AE295" s="27"/>
      <c r="AF295" s="27"/>
      <c r="AG295" s="28"/>
      <c r="AH295" s="15"/>
      <c r="AI295" s="15"/>
      <c r="AJ295"/>
      <c r="AK295" s="27"/>
      <c r="AL295"/>
      <c r="AM295"/>
      <c r="AN295"/>
      <c r="AO295" s="27"/>
      <c r="AP295" s="27"/>
      <c r="AQ295" s="15"/>
      <c r="AR295"/>
      <c r="AS295" s="27"/>
      <c r="AT295"/>
      <c r="AU295"/>
      <c r="AV295"/>
      <c r="AW295" s="13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</row>
    <row r="296" spans="1:65" s="6" customFormat="1" x14ac:dyDescent="0.25">
      <c r="A296"/>
      <c r="B296"/>
      <c r="C296"/>
      <c r="D296"/>
      <c r="E296"/>
      <c r="F296"/>
      <c r="G296"/>
      <c r="H296" s="13"/>
      <c r="I296" s="13"/>
      <c r="J296"/>
      <c r="K296"/>
      <c r="L296"/>
      <c r="M296"/>
      <c r="N296"/>
      <c r="O296"/>
      <c r="P296"/>
      <c r="Q296"/>
      <c r="R296"/>
      <c r="S296"/>
      <c r="T296"/>
      <c r="U296" s="27"/>
      <c r="V296" s="14"/>
      <c r="W296" s="27"/>
      <c r="X296" s="27"/>
      <c r="Y296" s="27"/>
      <c r="Z296" s="27"/>
      <c r="AA296"/>
      <c r="AB296"/>
      <c r="AC296" s="27"/>
      <c r="AD296"/>
      <c r="AE296" s="27"/>
      <c r="AF296" s="27"/>
      <c r="AG296" s="28"/>
      <c r="AH296" s="15"/>
      <c r="AI296" s="15"/>
      <c r="AJ296"/>
      <c r="AK296" s="27"/>
      <c r="AL296"/>
      <c r="AM296"/>
      <c r="AN296"/>
      <c r="AO296" s="27"/>
      <c r="AP296" s="27"/>
      <c r="AQ296" s="15"/>
      <c r="AR296"/>
      <c r="AS296" s="27"/>
      <c r="AT296"/>
      <c r="AU296"/>
      <c r="AV296"/>
      <c r="AW296" s="13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</row>
    <row r="297" spans="1:65" s="6" customFormat="1" x14ac:dyDescent="0.25">
      <c r="F297" s="21"/>
      <c r="G297" s="10"/>
      <c r="H297" s="7"/>
      <c r="I297" s="13"/>
      <c r="U297" s="16"/>
      <c r="W297" s="16"/>
      <c r="X297" s="16"/>
      <c r="Y297" s="16"/>
      <c r="Z297" s="16"/>
      <c r="AC297" s="16"/>
      <c r="AE297" s="16"/>
      <c r="AF297" s="22"/>
      <c r="AG297" s="18"/>
      <c r="AH297" s="7"/>
      <c r="AI297" s="7"/>
      <c r="AK297" s="16"/>
      <c r="AO297" s="23"/>
      <c r="AP297" s="17"/>
      <c r="AQ297" s="7"/>
      <c r="AR297"/>
      <c r="AS297" s="17"/>
      <c r="AW297" s="7"/>
      <c r="BB297" s="24"/>
      <c r="BC297"/>
      <c r="BG297"/>
    </row>
    <row r="298" spans="1:65" s="6" customFormat="1" x14ac:dyDescent="0.25">
      <c r="A298"/>
      <c r="B298"/>
      <c r="C298"/>
      <c r="D298"/>
      <c r="E298"/>
      <c r="F298"/>
      <c r="G298"/>
      <c r="H298" s="13"/>
      <c r="I298" s="7"/>
      <c r="J298"/>
      <c r="K298"/>
      <c r="L298"/>
      <c r="M298"/>
      <c r="N298"/>
      <c r="O298"/>
      <c r="P298"/>
      <c r="Q298"/>
      <c r="R298"/>
      <c r="S298"/>
      <c r="T298"/>
      <c r="U298" s="27"/>
      <c r="V298" s="14"/>
      <c r="W298" s="27"/>
      <c r="X298" s="27"/>
      <c r="Y298" s="27"/>
      <c r="Z298" s="27"/>
      <c r="AA298"/>
      <c r="AB298"/>
      <c r="AC298" s="27"/>
      <c r="AD298"/>
      <c r="AE298" s="27"/>
      <c r="AF298" s="27"/>
      <c r="AG298" s="28"/>
      <c r="AH298" s="7"/>
      <c r="AI298" s="15"/>
      <c r="AJ298"/>
      <c r="AK298" s="27"/>
      <c r="AL298"/>
      <c r="AM298"/>
      <c r="AN298"/>
      <c r="AO298" s="27"/>
      <c r="AP298" s="27"/>
      <c r="AQ298" s="15"/>
      <c r="AR298"/>
      <c r="AS298" s="27"/>
      <c r="AT298"/>
      <c r="AU298"/>
      <c r="AW298" s="7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</row>
    <row r="299" spans="1:65" s="6" customFormat="1" x14ac:dyDescent="0.25">
      <c r="F299" s="21"/>
      <c r="G299" s="10"/>
      <c r="H299" s="7"/>
      <c r="I299" s="13"/>
      <c r="U299" s="16"/>
      <c r="W299" s="16"/>
      <c r="X299" s="16"/>
      <c r="Y299" s="16"/>
      <c r="Z299" s="16"/>
      <c r="AC299" s="16"/>
      <c r="AE299" s="16"/>
      <c r="AF299" s="22"/>
      <c r="AG299" s="18"/>
      <c r="AH299" s="7"/>
      <c r="AI299" s="7"/>
      <c r="AK299" s="16"/>
      <c r="AO299" s="23"/>
      <c r="AP299" s="17"/>
      <c r="AQ299" s="7"/>
      <c r="AR299"/>
      <c r="AS299" s="17"/>
      <c r="AV299"/>
      <c r="AW299" s="7"/>
      <c r="BB299" s="24"/>
      <c r="BC299"/>
      <c r="BG299"/>
    </row>
    <row r="300" spans="1:65" s="6" customFormat="1" x14ac:dyDescent="0.25">
      <c r="A300"/>
      <c r="B300"/>
      <c r="C300"/>
      <c r="D300"/>
      <c r="E300"/>
      <c r="F300"/>
      <c r="G300"/>
      <c r="H300" s="13"/>
      <c r="I300" s="13"/>
      <c r="J300"/>
      <c r="K300"/>
      <c r="L300"/>
      <c r="M300"/>
      <c r="N300"/>
      <c r="O300"/>
      <c r="P300"/>
      <c r="Q300"/>
      <c r="R300"/>
      <c r="S300"/>
      <c r="T300"/>
      <c r="U300" s="27"/>
      <c r="V300" s="14"/>
      <c r="W300" s="27"/>
      <c r="X300" s="27"/>
      <c r="Y300" s="27"/>
      <c r="Z300" s="27"/>
      <c r="AA300"/>
      <c r="AB300"/>
      <c r="AC300" s="27"/>
      <c r="AD300"/>
      <c r="AE300" s="27"/>
      <c r="AF300" s="27"/>
      <c r="AG300" s="28"/>
      <c r="AH300" s="15"/>
      <c r="AI300" s="15"/>
      <c r="AJ300"/>
      <c r="AK300" s="27"/>
      <c r="AL300"/>
      <c r="AM300"/>
      <c r="AN300"/>
      <c r="AO300" s="27"/>
      <c r="AP300" s="27"/>
      <c r="AQ300" s="15"/>
      <c r="AR300"/>
      <c r="AS300" s="27"/>
      <c r="AT300"/>
      <c r="AU300"/>
      <c r="AW300" s="13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</row>
    <row r="301" spans="1:65" s="6" customFormat="1" x14ac:dyDescent="0.25">
      <c r="A301"/>
      <c r="B301"/>
      <c r="C301"/>
      <c r="D301"/>
      <c r="E301"/>
      <c r="F301"/>
      <c r="G301"/>
      <c r="H301" s="13"/>
      <c r="I301" s="7"/>
      <c r="J301"/>
      <c r="K301"/>
      <c r="L301"/>
      <c r="M301"/>
      <c r="N301"/>
      <c r="O301"/>
      <c r="P301"/>
      <c r="Q301"/>
      <c r="R301"/>
      <c r="S301"/>
      <c r="T301"/>
      <c r="U301" s="27"/>
      <c r="V301" s="14"/>
      <c r="W301" s="27"/>
      <c r="X301" s="27"/>
      <c r="Y301" s="27"/>
      <c r="Z301" s="27"/>
      <c r="AA301"/>
      <c r="AB301"/>
      <c r="AC301" s="27"/>
      <c r="AD301"/>
      <c r="AE301" s="27"/>
      <c r="AF301" s="27"/>
      <c r="AG301" s="28"/>
      <c r="AH301" s="7"/>
      <c r="AI301" s="15"/>
      <c r="AJ301"/>
      <c r="AK301" s="27"/>
      <c r="AL301"/>
      <c r="AM301"/>
      <c r="AN301"/>
      <c r="AO301" s="27"/>
      <c r="AP301" s="27"/>
      <c r="AQ301" s="15"/>
      <c r="AR301"/>
      <c r="AS301" s="27"/>
      <c r="AT301"/>
      <c r="AU301"/>
      <c r="AW301" s="13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</row>
    <row r="302" spans="1:65" s="6" customFormat="1" x14ac:dyDescent="0.25">
      <c r="F302" s="21"/>
      <c r="G302" s="10"/>
      <c r="H302" s="7"/>
      <c r="I302" s="13"/>
      <c r="U302" s="16"/>
      <c r="W302" s="16"/>
      <c r="X302" s="16"/>
      <c r="Y302" s="16"/>
      <c r="Z302" s="16"/>
      <c r="AC302" s="16"/>
      <c r="AE302" s="16"/>
      <c r="AF302" s="22"/>
      <c r="AG302" s="18"/>
      <c r="AH302" s="7"/>
      <c r="AI302" s="7"/>
      <c r="AK302" s="16"/>
      <c r="AO302" s="23"/>
      <c r="AP302" s="17"/>
      <c r="AQ302" s="7"/>
      <c r="AR302"/>
      <c r="AS302" s="17"/>
      <c r="AV302"/>
      <c r="AW302" s="7"/>
      <c r="BB302" s="24"/>
      <c r="BC302"/>
      <c r="BG302"/>
    </row>
    <row r="303" spans="1:65" s="6" customFormat="1" x14ac:dyDescent="0.25">
      <c r="F303" s="21"/>
      <c r="G303" s="10"/>
      <c r="H303" s="7"/>
      <c r="I303" s="13"/>
      <c r="U303" s="16"/>
      <c r="W303" s="16"/>
      <c r="X303" s="16"/>
      <c r="Y303" s="16"/>
      <c r="Z303" s="16"/>
      <c r="AC303" s="16"/>
      <c r="AE303" s="16"/>
      <c r="AF303" s="22"/>
      <c r="AG303" s="18"/>
      <c r="AH303" s="7"/>
      <c r="AI303" s="7"/>
      <c r="AK303" s="16"/>
      <c r="AO303" s="23"/>
      <c r="AP303" s="17"/>
      <c r="AQ303" s="7"/>
      <c r="AR303"/>
      <c r="AS303" s="17"/>
      <c r="AW303" s="7"/>
      <c r="BB303" s="24"/>
      <c r="BC303"/>
      <c r="BG303"/>
    </row>
    <row r="304" spans="1:65" s="6" customFormat="1" x14ac:dyDescent="0.25">
      <c r="A304"/>
      <c r="B304"/>
      <c r="C304"/>
      <c r="D304"/>
      <c r="E304"/>
      <c r="F304"/>
      <c r="G304"/>
      <c r="H304" s="13"/>
      <c r="I304" s="13"/>
      <c r="J304"/>
      <c r="K304"/>
      <c r="L304"/>
      <c r="M304"/>
      <c r="N304"/>
      <c r="O304"/>
      <c r="P304"/>
      <c r="Q304"/>
      <c r="R304"/>
      <c r="S304"/>
      <c r="T304"/>
      <c r="U304" s="27"/>
      <c r="V304" s="14"/>
      <c r="W304" s="27"/>
      <c r="X304" s="27"/>
      <c r="Y304" s="27"/>
      <c r="Z304" s="27"/>
      <c r="AA304"/>
      <c r="AB304"/>
      <c r="AC304" s="27"/>
      <c r="AD304"/>
      <c r="AE304" s="27"/>
      <c r="AF304" s="27"/>
      <c r="AG304" s="28"/>
      <c r="AH304" s="15"/>
      <c r="AI304" s="15"/>
      <c r="AJ304"/>
      <c r="AK304" s="27"/>
      <c r="AL304"/>
      <c r="AM304"/>
      <c r="AN304"/>
      <c r="AO304" s="27"/>
      <c r="AP304" s="27"/>
      <c r="AQ304" s="15"/>
      <c r="AR304"/>
      <c r="AS304" s="27"/>
      <c r="AT304"/>
      <c r="AU304"/>
      <c r="AV304"/>
      <c r="AW304" s="13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</row>
    <row r="305" spans="1:65" s="6" customFormat="1" x14ac:dyDescent="0.25">
      <c r="A305"/>
      <c r="B305"/>
      <c r="C305"/>
      <c r="D305"/>
      <c r="E305"/>
      <c r="F305"/>
      <c r="G305"/>
      <c r="H305" s="13"/>
      <c r="I305" s="13"/>
      <c r="J305"/>
      <c r="K305"/>
      <c r="L305"/>
      <c r="M305"/>
      <c r="N305"/>
      <c r="O305"/>
      <c r="P305"/>
      <c r="Q305"/>
      <c r="R305"/>
      <c r="S305"/>
      <c r="T305"/>
      <c r="U305" s="27"/>
      <c r="V305" s="14"/>
      <c r="W305" s="27"/>
      <c r="X305" s="27"/>
      <c r="Y305" s="27"/>
      <c r="Z305" s="27"/>
      <c r="AA305"/>
      <c r="AB305"/>
      <c r="AC305" s="27"/>
      <c r="AD305"/>
      <c r="AE305" s="27"/>
      <c r="AF305" s="27"/>
      <c r="AG305" s="28"/>
      <c r="AH305" s="15"/>
      <c r="AI305" s="15"/>
      <c r="AJ305"/>
      <c r="AK305" s="27"/>
      <c r="AL305"/>
      <c r="AM305"/>
      <c r="AN305"/>
      <c r="AO305" s="27"/>
      <c r="AP305" s="27"/>
      <c r="AQ305" s="15"/>
      <c r="AR305"/>
      <c r="AS305" s="27"/>
      <c r="AT305"/>
      <c r="AU305"/>
      <c r="AV305"/>
      <c r="AW305" s="13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</row>
    <row r="306" spans="1:65" s="6" customFormat="1" x14ac:dyDescent="0.25">
      <c r="F306" s="21"/>
      <c r="G306" s="10"/>
      <c r="H306" s="7"/>
      <c r="I306" s="13"/>
      <c r="U306" s="16"/>
      <c r="W306" s="16"/>
      <c r="X306" s="16"/>
      <c r="Y306" s="16"/>
      <c r="Z306" s="16"/>
      <c r="AC306" s="16"/>
      <c r="AE306" s="16"/>
      <c r="AF306" s="22"/>
      <c r="AG306" s="18"/>
      <c r="AH306" s="7"/>
      <c r="AI306" s="7"/>
      <c r="AK306" s="16"/>
      <c r="AO306" s="23"/>
      <c r="AP306" s="17"/>
      <c r="AQ306" s="7"/>
      <c r="AR306"/>
      <c r="AS306" s="17"/>
      <c r="AW306" s="7"/>
      <c r="BB306" s="24"/>
      <c r="BC306"/>
      <c r="BG306"/>
    </row>
    <row r="307" spans="1:65" s="6" customFormat="1" x14ac:dyDescent="0.25">
      <c r="A307"/>
      <c r="B307"/>
      <c r="C307"/>
      <c r="D307"/>
      <c r="E307"/>
      <c r="F307"/>
      <c r="G307"/>
      <c r="H307" s="13"/>
      <c r="I307" s="7"/>
      <c r="J307"/>
      <c r="K307"/>
      <c r="L307"/>
      <c r="M307"/>
      <c r="N307"/>
      <c r="O307"/>
      <c r="P307"/>
      <c r="Q307"/>
      <c r="R307"/>
      <c r="S307"/>
      <c r="T307"/>
      <c r="U307" s="27"/>
      <c r="V307" s="14"/>
      <c r="W307" s="27"/>
      <c r="X307" s="27"/>
      <c r="Y307" s="27"/>
      <c r="Z307" s="27"/>
      <c r="AA307"/>
      <c r="AB307"/>
      <c r="AC307" s="27"/>
      <c r="AD307"/>
      <c r="AE307" s="27"/>
      <c r="AF307" s="27"/>
      <c r="AG307" s="28"/>
      <c r="AH307" s="7"/>
      <c r="AI307" s="15"/>
      <c r="AJ307"/>
      <c r="AK307" s="27"/>
      <c r="AL307"/>
      <c r="AM307"/>
      <c r="AN307"/>
      <c r="AO307" s="27"/>
      <c r="AP307" s="27"/>
      <c r="AQ307" s="15"/>
      <c r="AR307"/>
      <c r="AS307" s="27"/>
      <c r="AT307"/>
      <c r="AU307"/>
      <c r="AW307" s="13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</row>
    <row r="308" spans="1:65" s="6" customFormat="1" x14ac:dyDescent="0.25">
      <c r="F308" s="21"/>
      <c r="G308" s="10"/>
      <c r="H308" s="7"/>
      <c r="I308" s="13"/>
      <c r="U308" s="16"/>
      <c r="W308" s="16"/>
      <c r="X308" s="16"/>
      <c r="Y308" s="16"/>
      <c r="Z308" s="16"/>
      <c r="AC308" s="16"/>
      <c r="AE308" s="16"/>
      <c r="AF308" s="22"/>
      <c r="AG308" s="18"/>
      <c r="AH308" s="7"/>
      <c r="AI308" s="7"/>
      <c r="AK308" s="16"/>
      <c r="AO308" s="23"/>
      <c r="AP308" s="17"/>
      <c r="AQ308" s="7"/>
      <c r="AR308"/>
      <c r="AS308" s="17"/>
      <c r="AV308"/>
      <c r="AW308" s="7"/>
      <c r="BB308" s="24"/>
      <c r="BC308"/>
      <c r="BG308"/>
    </row>
    <row r="309" spans="1:65" s="6" customFormat="1" x14ac:dyDescent="0.25">
      <c r="A309"/>
      <c r="B309"/>
      <c r="C309"/>
      <c r="D309"/>
      <c r="E309"/>
      <c r="F309"/>
      <c r="G309"/>
      <c r="H309" s="13"/>
      <c r="I309" s="13"/>
      <c r="J309"/>
      <c r="K309"/>
      <c r="L309"/>
      <c r="M309"/>
      <c r="N309"/>
      <c r="O309"/>
      <c r="P309"/>
      <c r="Q309"/>
      <c r="R309"/>
      <c r="S309"/>
      <c r="T309"/>
      <c r="U309" s="27"/>
      <c r="V309" s="14"/>
      <c r="W309" s="27"/>
      <c r="X309" s="27"/>
      <c r="Y309" s="27"/>
      <c r="Z309" s="27"/>
      <c r="AA309"/>
      <c r="AB309"/>
      <c r="AC309" s="27"/>
      <c r="AD309"/>
      <c r="AE309" s="27"/>
      <c r="AF309" s="27"/>
      <c r="AG309" s="28"/>
      <c r="AH309" s="15"/>
      <c r="AI309" s="15"/>
      <c r="AJ309"/>
      <c r="AK309" s="27"/>
      <c r="AL309"/>
      <c r="AM309"/>
      <c r="AN309"/>
      <c r="AO309" s="27"/>
      <c r="AP309" s="27"/>
      <c r="AQ309" s="15"/>
      <c r="AR309"/>
      <c r="AS309" s="27"/>
      <c r="AT309"/>
      <c r="AU309"/>
      <c r="AW309" s="13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</row>
    <row r="310" spans="1:65" s="6" customFormat="1" x14ac:dyDescent="0.25">
      <c r="A310"/>
      <c r="B310"/>
      <c r="C310"/>
      <c r="D310"/>
      <c r="E310"/>
      <c r="F310"/>
      <c r="G310"/>
      <c r="H310" s="13"/>
      <c r="I310" s="7"/>
      <c r="J310"/>
      <c r="K310"/>
      <c r="L310"/>
      <c r="M310"/>
      <c r="N310"/>
      <c r="O310"/>
      <c r="P310"/>
      <c r="Q310"/>
      <c r="R310"/>
      <c r="S310"/>
      <c r="T310"/>
      <c r="U310" s="27"/>
      <c r="V310" s="14"/>
      <c r="W310" s="27"/>
      <c r="X310" s="27"/>
      <c r="Y310" s="27"/>
      <c r="Z310" s="27"/>
      <c r="AA310"/>
      <c r="AB310"/>
      <c r="AC310" s="27"/>
      <c r="AD310"/>
      <c r="AE310" s="27"/>
      <c r="AF310" s="27"/>
      <c r="AG310" s="28"/>
      <c r="AH310" s="7"/>
      <c r="AI310" s="15"/>
      <c r="AJ310"/>
      <c r="AK310" s="27"/>
      <c r="AL310"/>
      <c r="AM310"/>
      <c r="AN310"/>
      <c r="AO310" s="27"/>
      <c r="AP310" s="27"/>
      <c r="AQ310" s="15"/>
      <c r="AR310"/>
      <c r="AS310" s="27"/>
      <c r="AT310"/>
      <c r="AU310"/>
      <c r="AW310" s="13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</row>
    <row r="311" spans="1:65" s="6" customFormat="1" x14ac:dyDescent="0.25">
      <c r="F311" s="21"/>
      <c r="G311" s="10"/>
      <c r="H311" s="7"/>
      <c r="I311" s="13"/>
      <c r="U311" s="16"/>
      <c r="W311" s="16"/>
      <c r="X311" s="16"/>
      <c r="Y311" s="16"/>
      <c r="Z311" s="16"/>
      <c r="AC311" s="16"/>
      <c r="AE311" s="16"/>
      <c r="AF311" s="22"/>
      <c r="AG311" s="18"/>
      <c r="AH311" s="7"/>
      <c r="AI311" s="7"/>
      <c r="AK311" s="16"/>
      <c r="AO311" s="23"/>
      <c r="AP311" s="17"/>
      <c r="AQ311" s="7"/>
      <c r="AR311"/>
      <c r="AS311" s="17"/>
      <c r="AV311"/>
      <c r="AW311" s="7"/>
      <c r="BB311" s="24"/>
      <c r="BC311"/>
      <c r="BG311"/>
    </row>
    <row r="312" spans="1:65" s="6" customFormat="1" x14ac:dyDescent="0.25">
      <c r="F312" s="21"/>
      <c r="G312" s="10"/>
      <c r="H312" s="7"/>
      <c r="I312" s="13"/>
      <c r="U312" s="16"/>
      <c r="W312" s="16"/>
      <c r="X312" s="16"/>
      <c r="Y312" s="16"/>
      <c r="Z312" s="16"/>
      <c r="AC312" s="16"/>
      <c r="AE312" s="16"/>
      <c r="AF312" s="22"/>
      <c r="AG312" s="18"/>
      <c r="AH312" s="7"/>
      <c r="AI312" s="7"/>
      <c r="AK312" s="16"/>
      <c r="AO312" s="23"/>
      <c r="AP312" s="17"/>
      <c r="AQ312" s="7"/>
      <c r="AR312"/>
      <c r="AS312" s="17"/>
      <c r="AW312" s="7"/>
      <c r="BB312" s="24"/>
      <c r="BC312"/>
      <c r="BG312"/>
    </row>
    <row r="313" spans="1:65" s="6" customFormat="1" x14ac:dyDescent="0.25">
      <c r="A313"/>
      <c r="B313"/>
      <c r="C313"/>
      <c r="D313"/>
      <c r="E313"/>
      <c r="F313"/>
      <c r="G313"/>
      <c r="H313" s="13"/>
      <c r="I313" s="13"/>
      <c r="J313"/>
      <c r="K313"/>
      <c r="L313"/>
      <c r="M313"/>
      <c r="N313"/>
      <c r="O313"/>
      <c r="P313"/>
      <c r="Q313"/>
      <c r="R313"/>
      <c r="S313"/>
      <c r="T313"/>
      <c r="U313" s="27"/>
      <c r="V313" s="14"/>
      <c r="W313" s="27"/>
      <c r="X313" s="27"/>
      <c r="Y313" s="27"/>
      <c r="Z313" s="27"/>
      <c r="AA313"/>
      <c r="AB313"/>
      <c r="AC313" s="27"/>
      <c r="AD313"/>
      <c r="AE313" s="27"/>
      <c r="AF313" s="27"/>
      <c r="AG313" s="28"/>
      <c r="AH313" s="15"/>
      <c r="AI313" s="15"/>
      <c r="AJ313"/>
      <c r="AK313" s="27"/>
      <c r="AL313"/>
      <c r="AM313"/>
      <c r="AN313"/>
      <c r="AO313" s="27"/>
      <c r="AP313" s="27"/>
      <c r="AQ313" s="15"/>
      <c r="AR313"/>
      <c r="AS313" s="27"/>
      <c r="AT313"/>
      <c r="AU313"/>
      <c r="AV313"/>
      <c r="AW313" s="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</row>
    <row r="314" spans="1:65" s="6" customFormat="1" x14ac:dyDescent="0.25">
      <c r="A314"/>
      <c r="B314"/>
      <c r="C314"/>
      <c r="D314"/>
      <c r="E314"/>
      <c r="F314"/>
      <c r="G314"/>
      <c r="H314" s="13"/>
      <c r="I314" s="13"/>
      <c r="J314"/>
      <c r="K314"/>
      <c r="L314"/>
      <c r="M314"/>
      <c r="N314"/>
      <c r="O314"/>
      <c r="P314"/>
      <c r="Q314"/>
      <c r="R314"/>
      <c r="S314"/>
      <c r="T314"/>
      <c r="U314" s="27"/>
      <c r="V314" s="14"/>
      <c r="W314" s="27"/>
      <c r="X314" s="27"/>
      <c r="Y314" s="27"/>
      <c r="Z314" s="27"/>
      <c r="AA314"/>
      <c r="AB314"/>
      <c r="AC314" s="27"/>
      <c r="AD314"/>
      <c r="AE314" s="27"/>
      <c r="AF314" s="27"/>
      <c r="AG314" s="28"/>
      <c r="AH314" s="15"/>
      <c r="AI314" s="15"/>
      <c r="AJ314"/>
      <c r="AK314" s="27"/>
      <c r="AL314"/>
      <c r="AM314"/>
      <c r="AN314"/>
      <c r="AO314" s="27"/>
      <c r="AP314" s="27"/>
      <c r="AQ314" s="15"/>
      <c r="AR314"/>
      <c r="AS314" s="27"/>
      <c r="AT314"/>
      <c r="AU314"/>
      <c r="AV314"/>
      <c r="AW314" s="13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</row>
    <row r="315" spans="1:65" s="6" customFormat="1" x14ac:dyDescent="0.25">
      <c r="F315" s="21"/>
      <c r="G315" s="10"/>
      <c r="H315" s="7"/>
      <c r="I315" s="13"/>
      <c r="U315" s="16"/>
      <c r="W315" s="16"/>
      <c r="X315" s="16"/>
      <c r="Y315" s="16"/>
      <c r="Z315" s="16"/>
      <c r="AC315" s="16"/>
      <c r="AE315" s="16"/>
      <c r="AF315" s="22"/>
      <c r="AG315" s="18"/>
      <c r="AH315" s="7"/>
      <c r="AI315" s="7"/>
      <c r="AK315" s="16"/>
      <c r="AO315" s="23"/>
      <c r="AP315" s="17"/>
      <c r="AQ315" s="7"/>
      <c r="AR315"/>
      <c r="AS315" s="17"/>
      <c r="AW315" s="7"/>
      <c r="BB315" s="24"/>
      <c r="BC315"/>
      <c r="BG315"/>
    </row>
    <row r="316" spans="1:65" s="6" customFormat="1" x14ac:dyDescent="0.25">
      <c r="A316"/>
      <c r="B316"/>
      <c r="C316"/>
      <c r="D316"/>
      <c r="E316"/>
      <c r="F316"/>
      <c r="G316"/>
      <c r="H316" s="13"/>
      <c r="I316" s="7"/>
      <c r="J316"/>
      <c r="K316"/>
      <c r="L316"/>
      <c r="M316"/>
      <c r="N316"/>
      <c r="O316"/>
      <c r="P316"/>
      <c r="Q316"/>
      <c r="R316"/>
      <c r="S316"/>
      <c r="T316"/>
      <c r="U316" s="27"/>
      <c r="V316" s="14"/>
      <c r="W316" s="27"/>
      <c r="X316" s="27"/>
      <c r="Y316" s="27"/>
      <c r="Z316" s="27"/>
      <c r="AA316"/>
      <c r="AB316"/>
      <c r="AC316" s="27"/>
      <c r="AD316"/>
      <c r="AE316" s="27"/>
      <c r="AF316" s="27"/>
      <c r="AG316" s="28"/>
      <c r="AH316" s="7"/>
      <c r="AI316" s="15"/>
      <c r="AJ316"/>
      <c r="AK316" s="27"/>
      <c r="AL316"/>
      <c r="AM316"/>
      <c r="AN316"/>
      <c r="AO316" s="27"/>
      <c r="AP316" s="27"/>
      <c r="AQ316" s="15"/>
      <c r="AR316"/>
      <c r="AS316" s="27"/>
      <c r="AT316"/>
      <c r="AU316"/>
      <c r="AW316" s="7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</row>
    <row r="317" spans="1:65" s="6" customFormat="1" x14ac:dyDescent="0.25">
      <c r="F317" s="21"/>
      <c r="G317" s="10"/>
      <c r="H317" s="7"/>
      <c r="I317" s="13"/>
      <c r="U317" s="16"/>
      <c r="W317" s="16"/>
      <c r="X317" s="16"/>
      <c r="Y317" s="16"/>
      <c r="Z317" s="16"/>
      <c r="AC317" s="16"/>
      <c r="AE317" s="16"/>
      <c r="AF317" s="22"/>
      <c r="AG317" s="18"/>
      <c r="AH317" s="7"/>
      <c r="AI317" s="7"/>
      <c r="AK317" s="16"/>
      <c r="AO317" s="23"/>
      <c r="AP317" s="17"/>
      <c r="AQ317" s="7"/>
      <c r="AR317"/>
      <c r="AS317" s="17"/>
      <c r="AV317"/>
      <c r="AW317" s="7"/>
      <c r="BB317" s="24"/>
      <c r="BC317"/>
      <c r="BG317"/>
    </row>
    <row r="318" spans="1:65" s="6" customFormat="1" x14ac:dyDescent="0.25">
      <c r="A318"/>
      <c r="B318"/>
      <c r="C318"/>
      <c r="D318"/>
      <c r="E318"/>
      <c r="F318"/>
      <c r="G318"/>
      <c r="H318" s="13"/>
      <c r="I318" s="13"/>
      <c r="J318"/>
      <c r="K318"/>
      <c r="L318"/>
      <c r="M318"/>
      <c r="N318"/>
      <c r="O318"/>
      <c r="P318"/>
      <c r="Q318"/>
      <c r="R318"/>
      <c r="S318"/>
      <c r="T318"/>
      <c r="U318" s="27"/>
      <c r="V318" s="14"/>
      <c r="W318" s="27"/>
      <c r="X318" s="27"/>
      <c r="Y318" s="27"/>
      <c r="Z318" s="27"/>
      <c r="AA318"/>
      <c r="AB318"/>
      <c r="AC318" s="27"/>
      <c r="AD318"/>
      <c r="AE318" s="27"/>
      <c r="AF318" s="27"/>
      <c r="AG318" s="28"/>
      <c r="AH318" s="15"/>
      <c r="AI318" s="15"/>
      <c r="AJ318"/>
      <c r="AK318" s="27"/>
      <c r="AL318"/>
      <c r="AM318"/>
      <c r="AN318"/>
      <c r="AO318" s="27"/>
      <c r="AP318" s="27"/>
      <c r="AQ318" s="15"/>
      <c r="AR318"/>
      <c r="AS318" s="27"/>
      <c r="AT318"/>
      <c r="AU318"/>
      <c r="AW318" s="13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</row>
    <row r="319" spans="1:65" s="6" customFormat="1" x14ac:dyDescent="0.25">
      <c r="A319"/>
      <c r="B319"/>
      <c r="C319"/>
      <c r="D319"/>
      <c r="E319"/>
      <c r="F319"/>
      <c r="G319"/>
      <c r="H319" s="13"/>
      <c r="I319" s="7"/>
      <c r="J319"/>
      <c r="K319"/>
      <c r="L319"/>
      <c r="M319"/>
      <c r="N319"/>
      <c r="O319"/>
      <c r="P319"/>
      <c r="Q319"/>
      <c r="R319"/>
      <c r="S319"/>
      <c r="T319"/>
      <c r="U319" s="27"/>
      <c r="V319" s="14"/>
      <c r="W319" s="27"/>
      <c r="X319" s="27"/>
      <c r="Y319" s="27"/>
      <c r="Z319" s="27"/>
      <c r="AA319"/>
      <c r="AB319"/>
      <c r="AC319" s="27"/>
      <c r="AD319"/>
      <c r="AE319" s="27"/>
      <c r="AF319" s="27"/>
      <c r="AG319" s="28"/>
      <c r="AH319" s="7"/>
      <c r="AI319" s="15"/>
      <c r="AJ319"/>
      <c r="AK319" s="27"/>
      <c r="AL319"/>
      <c r="AM319"/>
      <c r="AN319"/>
      <c r="AO319" s="27"/>
      <c r="AP319" s="27"/>
      <c r="AQ319" s="15"/>
      <c r="AR319"/>
      <c r="AS319" s="27"/>
      <c r="AT319"/>
      <c r="AU319"/>
      <c r="AW319" s="13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</row>
    <row r="320" spans="1:65" s="6" customFormat="1" x14ac:dyDescent="0.25">
      <c r="F320" s="21"/>
      <c r="G320" s="10"/>
      <c r="H320" s="7"/>
      <c r="I320" s="13"/>
      <c r="U320" s="16"/>
      <c r="W320" s="16"/>
      <c r="X320" s="16"/>
      <c r="Y320" s="16"/>
      <c r="Z320" s="16"/>
      <c r="AC320" s="16"/>
      <c r="AE320" s="16"/>
      <c r="AF320" s="22"/>
      <c r="AG320" s="18"/>
      <c r="AH320" s="7"/>
      <c r="AI320" s="7"/>
      <c r="AK320" s="16"/>
      <c r="AO320" s="23"/>
      <c r="AP320" s="17"/>
      <c r="AQ320" s="7"/>
      <c r="AR320"/>
      <c r="AS320" s="17"/>
      <c r="AV320"/>
      <c r="AW320" s="7"/>
      <c r="BB320" s="24"/>
      <c r="BC320"/>
      <c r="BG320"/>
    </row>
    <row r="321" spans="1:65" s="6" customFormat="1" x14ac:dyDescent="0.25">
      <c r="F321" s="21"/>
      <c r="G321" s="10"/>
      <c r="H321" s="7"/>
      <c r="I321" s="13"/>
      <c r="U321" s="16"/>
      <c r="W321" s="16"/>
      <c r="X321" s="16"/>
      <c r="Y321" s="16"/>
      <c r="Z321" s="16"/>
      <c r="AC321" s="16"/>
      <c r="AE321" s="16"/>
      <c r="AF321" s="22"/>
      <c r="AG321" s="18"/>
      <c r="AH321" s="7"/>
      <c r="AI321" s="7"/>
      <c r="AK321" s="16"/>
      <c r="AO321" s="23"/>
      <c r="AP321" s="17"/>
      <c r="AQ321" s="7"/>
      <c r="AR321"/>
      <c r="AS321" s="17"/>
      <c r="AW321" s="7"/>
      <c r="BB321" s="24"/>
      <c r="BC321"/>
      <c r="BG321"/>
    </row>
    <row r="322" spans="1:65" s="6" customFormat="1" x14ac:dyDescent="0.25">
      <c r="A322"/>
      <c r="B322"/>
      <c r="C322"/>
      <c r="D322"/>
      <c r="E322"/>
      <c r="F322"/>
      <c r="G322"/>
      <c r="H322" s="13"/>
      <c r="I322" s="13"/>
      <c r="J322"/>
      <c r="K322"/>
      <c r="L322"/>
      <c r="M322"/>
      <c r="N322"/>
      <c r="O322"/>
      <c r="P322"/>
      <c r="Q322"/>
      <c r="R322"/>
      <c r="S322"/>
      <c r="T322"/>
      <c r="U322" s="27"/>
      <c r="V322" s="14"/>
      <c r="W322" s="27"/>
      <c r="X322" s="27"/>
      <c r="Y322" s="27"/>
      <c r="Z322" s="27"/>
      <c r="AA322"/>
      <c r="AB322"/>
      <c r="AC322" s="27"/>
      <c r="AD322"/>
      <c r="AE322" s="27"/>
      <c r="AF322" s="27"/>
      <c r="AG322" s="28"/>
      <c r="AH322" s="15"/>
      <c r="AI322" s="15"/>
      <c r="AJ322"/>
      <c r="AK322" s="27"/>
      <c r="AL322"/>
      <c r="AM322"/>
      <c r="AN322"/>
      <c r="AO322" s="27"/>
      <c r="AP322" s="27"/>
      <c r="AQ322" s="15"/>
      <c r="AR322"/>
      <c r="AS322" s="27"/>
      <c r="AT322"/>
      <c r="AU322"/>
      <c r="AV322"/>
      <c r="AW322" s="13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</row>
    <row r="323" spans="1:65" s="6" customFormat="1" x14ac:dyDescent="0.25">
      <c r="A323"/>
      <c r="B323"/>
      <c r="C323"/>
      <c r="D323"/>
      <c r="E323"/>
      <c r="F323"/>
      <c r="G323"/>
      <c r="H323" s="13"/>
      <c r="I323" s="13"/>
      <c r="J323"/>
      <c r="K323"/>
      <c r="L323"/>
      <c r="M323"/>
      <c r="N323"/>
      <c r="O323"/>
      <c r="P323"/>
      <c r="Q323"/>
      <c r="R323"/>
      <c r="S323"/>
      <c r="T323"/>
      <c r="U323" s="27"/>
      <c r="V323" s="14"/>
      <c r="W323" s="27"/>
      <c r="X323" s="27"/>
      <c r="Y323" s="27"/>
      <c r="Z323" s="27"/>
      <c r="AA323"/>
      <c r="AB323"/>
      <c r="AC323" s="27"/>
      <c r="AD323"/>
      <c r="AE323" s="27"/>
      <c r="AF323" s="27"/>
      <c r="AG323" s="28"/>
      <c r="AH323" s="15"/>
      <c r="AI323" s="15"/>
      <c r="AJ323"/>
      <c r="AK323" s="27"/>
      <c r="AL323"/>
      <c r="AM323"/>
      <c r="AN323"/>
      <c r="AO323" s="27"/>
      <c r="AP323" s="27"/>
      <c r="AQ323" s="15"/>
      <c r="AR323"/>
      <c r="AS323" s="27"/>
      <c r="AT323"/>
      <c r="AU323"/>
      <c r="AV323"/>
      <c r="AW323" s="1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</row>
    <row r="324" spans="1:65" s="6" customFormat="1" x14ac:dyDescent="0.25">
      <c r="F324" s="21"/>
      <c r="G324" s="10"/>
      <c r="H324" s="7"/>
      <c r="I324" s="13"/>
      <c r="U324" s="16"/>
      <c r="W324" s="16"/>
      <c r="X324" s="16"/>
      <c r="Y324" s="16"/>
      <c r="Z324" s="16"/>
      <c r="AC324" s="16"/>
      <c r="AE324" s="16"/>
      <c r="AF324" s="22"/>
      <c r="AG324" s="18"/>
      <c r="AH324" s="7"/>
      <c r="AI324" s="7"/>
      <c r="AK324" s="16"/>
      <c r="AO324" s="23"/>
      <c r="AP324" s="17"/>
      <c r="AQ324" s="7"/>
      <c r="AR324"/>
      <c r="AS324" s="17"/>
      <c r="AW324" s="7"/>
      <c r="BB324" s="24"/>
      <c r="BC324"/>
      <c r="BG324"/>
    </row>
    <row r="325" spans="1:65" s="6" customFormat="1" x14ac:dyDescent="0.25">
      <c r="A325"/>
      <c r="B325"/>
      <c r="C325"/>
      <c r="D325"/>
      <c r="E325"/>
      <c r="F325"/>
      <c r="G325"/>
      <c r="H325" s="13"/>
      <c r="I325" s="7"/>
      <c r="J325"/>
      <c r="K325"/>
      <c r="L325"/>
      <c r="M325"/>
      <c r="N325"/>
      <c r="O325"/>
      <c r="P325"/>
      <c r="Q325"/>
      <c r="R325"/>
      <c r="S325"/>
      <c r="T325"/>
      <c r="U325" s="27"/>
      <c r="V325" s="14"/>
      <c r="W325" s="27"/>
      <c r="X325" s="27"/>
      <c r="Y325" s="27"/>
      <c r="Z325" s="27"/>
      <c r="AA325"/>
      <c r="AB325"/>
      <c r="AC325" s="27"/>
      <c r="AD325"/>
      <c r="AE325" s="27"/>
      <c r="AF325" s="27"/>
      <c r="AG325" s="28"/>
      <c r="AH325" s="7"/>
      <c r="AI325" s="15"/>
      <c r="AJ325"/>
      <c r="AK325" s="27"/>
      <c r="AL325"/>
      <c r="AM325"/>
      <c r="AN325"/>
      <c r="AO325" s="27"/>
      <c r="AP325" s="27"/>
      <c r="AQ325" s="15"/>
      <c r="AR325"/>
      <c r="AS325" s="27"/>
      <c r="AT325"/>
      <c r="AU325"/>
      <c r="AW325" s="7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</row>
    <row r="326" spans="1:65" s="6" customFormat="1" x14ac:dyDescent="0.25">
      <c r="F326" s="21"/>
      <c r="G326" s="10"/>
      <c r="H326" s="7"/>
      <c r="I326" s="13"/>
      <c r="U326" s="16"/>
      <c r="W326" s="16"/>
      <c r="X326" s="16"/>
      <c r="Y326" s="16"/>
      <c r="Z326" s="16"/>
      <c r="AC326" s="16"/>
      <c r="AE326" s="16"/>
      <c r="AF326" s="22"/>
      <c r="AG326" s="18"/>
      <c r="AH326" s="7"/>
      <c r="AI326" s="7"/>
      <c r="AK326" s="16"/>
      <c r="AO326" s="23"/>
      <c r="AP326" s="17"/>
      <c r="AQ326" s="7"/>
      <c r="AR326"/>
      <c r="AS326" s="17"/>
      <c r="AV326"/>
      <c r="AW326" s="7"/>
      <c r="BB326" s="24"/>
      <c r="BC326"/>
      <c r="BG326"/>
    </row>
    <row r="327" spans="1:65" s="6" customFormat="1" x14ac:dyDescent="0.25">
      <c r="A327"/>
      <c r="B327"/>
      <c r="C327"/>
      <c r="D327"/>
      <c r="E327"/>
      <c r="F327"/>
      <c r="G327"/>
      <c r="H327" s="13"/>
      <c r="I327" s="13"/>
      <c r="J327"/>
      <c r="K327"/>
      <c r="L327"/>
      <c r="M327"/>
      <c r="N327"/>
      <c r="O327"/>
      <c r="P327"/>
      <c r="Q327"/>
      <c r="R327"/>
      <c r="S327"/>
      <c r="T327"/>
      <c r="U327" s="27"/>
      <c r="V327" s="14"/>
      <c r="W327" s="27"/>
      <c r="X327" s="27"/>
      <c r="Y327" s="27"/>
      <c r="Z327" s="27"/>
      <c r="AA327"/>
      <c r="AB327"/>
      <c r="AC327" s="27"/>
      <c r="AD327"/>
      <c r="AE327" s="27"/>
      <c r="AF327" s="27"/>
      <c r="AG327" s="28"/>
      <c r="AH327" s="15"/>
      <c r="AI327" s="15"/>
      <c r="AJ327"/>
      <c r="AK327" s="27"/>
      <c r="AL327"/>
      <c r="AM327"/>
      <c r="AN327"/>
      <c r="AO327" s="27"/>
      <c r="AP327" s="27"/>
      <c r="AQ327" s="15"/>
      <c r="AR327"/>
      <c r="AS327" s="27"/>
      <c r="AT327"/>
      <c r="AU327"/>
      <c r="AW327" s="13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</row>
    <row r="328" spans="1:65" s="6" customFormat="1" x14ac:dyDescent="0.25">
      <c r="A328"/>
      <c r="B328"/>
      <c r="C328"/>
      <c r="D328"/>
      <c r="E328"/>
      <c r="F328"/>
      <c r="G328"/>
      <c r="H328" s="13"/>
      <c r="I328" s="7"/>
      <c r="J328"/>
      <c r="K328"/>
      <c r="L328"/>
      <c r="M328"/>
      <c r="N328"/>
      <c r="O328"/>
      <c r="P328"/>
      <c r="Q328"/>
      <c r="R328"/>
      <c r="S328"/>
      <c r="T328"/>
      <c r="U328" s="27"/>
      <c r="V328" s="14"/>
      <c r="W328" s="27"/>
      <c r="X328" s="27"/>
      <c r="Y328" s="27"/>
      <c r="Z328" s="27"/>
      <c r="AA328"/>
      <c r="AB328"/>
      <c r="AC328" s="27"/>
      <c r="AD328"/>
      <c r="AE328" s="27"/>
      <c r="AF328" s="27"/>
      <c r="AG328" s="28"/>
      <c r="AH328" s="7"/>
      <c r="AI328" s="15"/>
      <c r="AJ328"/>
      <c r="AK328" s="27"/>
      <c r="AL328"/>
      <c r="AM328"/>
      <c r="AN328"/>
      <c r="AO328" s="27"/>
      <c r="AP328" s="27"/>
      <c r="AQ328" s="15"/>
      <c r="AR328"/>
      <c r="AS328" s="27"/>
      <c r="AT328"/>
      <c r="AU328"/>
      <c r="AW328" s="13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</row>
    <row r="329" spans="1:65" s="6" customFormat="1" x14ac:dyDescent="0.25">
      <c r="F329" s="21"/>
      <c r="G329" s="10"/>
      <c r="H329" s="7"/>
      <c r="I329" s="13"/>
      <c r="U329" s="16"/>
      <c r="W329" s="16"/>
      <c r="X329" s="16"/>
      <c r="Y329" s="16"/>
      <c r="Z329" s="16"/>
      <c r="AC329" s="16"/>
      <c r="AE329" s="16"/>
      <c r="AF329" s="22"/>
      <c r="AG329" s="18"/>
      <c r="AH329" s="7"/>
      <c r="AI329" s="7"/>
      <c r="AK329" s="16"/>
      <c r="AO329" s="23"/>
      <c r="AP329" s="17"/>
      <c r="AQ329" s="7"/>
      <c r="AR329"/>
      <c r="AS329" s="17"/>
      <c r="AV329"/>
      <c r="AW329" s="7"/>
      <c r="BB329" s="24"/>
      <c r="BC329"/>
      <c r="BG329"/>
    </row>
    <row r="330" spans="1:65" s="6" customFormat="1" x14ac:dyDescent="0.25">
      <c r="F330" s="21"/>
      <c r="G330" s="10"/>
      <c r="H330" s="7"/>
      <c r="I330" s="13"/>
      <c r="U330" s="16"/>
      <c r="W330" s="16"/>
      <c r="X330" s="16"/>
      <c r="Y330" s="16"/>
      <c r="Z330" s="16"/>
      <c r="AC330" s="16"/>
      <c r="AE330" s="16"/>
      <c r="AF330" s="22"/>
      <c r="AG330" s="18"/>
      <c r="AH330" s="7"/>
      <c r="AI330" s="7"/>
      <c r="AK330" s="16"/>
      <c r="AO330" s="23"/>
      <c r="AP330" s="17"/>
      <c r="AQ330" s="7"/>
      <c r="AR330"/>
      <c r="AS330" s="17"/>
      <c r="AW330" s="7"/>
      <c r="BB330" s="24"/>
      <c r="BC330"/>
      <c r="BG330"/>
    </row>
    <row r="331" spans="1:65" s="6" customFormat="1" x14ac:dyDescent="0.25">
      <c r="A331"/>
      <c r="B331"/>
      <c r="C331"/>
      <c r="D331"/>
      <c r="E331"/>
      <c r="F331"/>
      <c r="G331"/>
      <c r="H331" s="13"/>
      <c r="I331" s="13"/>
      <c r="J331"/>
      <c r="K331"/>
      <c r="L331"/>
      <c r="M331"/>
      <c r="N331"/>
      <c r="O331"/>
      <c r="P331"/>
      <c r="Q331"/>
      <c r="R331"/>
      <c r="S331"/>
      <c r="T331"/>
      <c r="U331" s="27"/>
      <c r="V331" s="14"/>
      <c r="W331" s="27"/>
      <c r="X331" s="27"/>
      <c r="Y331" s="27"/>
      <c r="Z331" s="27"/>
      <c r="AA331"/>
      <c r="AB331"/>
      <c r="AC331" s="27"/>
      <c r="AD331"/>
      <c r="AE331" s="27"/>
      <c r="AF331" s="27"/>
      <c r="AG331" s="28"/>
      <c r="AH331" s="15"/>
      <c r="AI331" s="15"/>
      <c r="AJ331"/>
      <c r="AK331" s="27"/>
      <c r="AL331"/>
      <c r="AM331"/>
      <c r="AN331"/>
      <c r="AO331" s="27"/>
      <c r="AP331" s="27"/>
      <c r="AQ331" s="15"/>
      <c r="AR331"/>
      <c r="AS331" s="27"/>
      <c r="AT331"/>
      <c r="AU331"/>
      <c r="AV331"/>
      <c r="AW331" s="13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</row>
    <row r="332" spans="1:65" s="6" customFormat="1" x14ac:dyDescent="0.25">
      <c r="A332"/>
      <c r="B332"/>
      <c r="C332"/>
      <c r="D332"/>
      <c r="E332"/>
      <c r="F332"/>
      <c r="G332"/>
      <c r="H332" s="13"/>
      <c r="I332" s="13"/>
      <c r="J332"/>
      <c r="K332"/>
      <c r="L332"/>
      <c r="M332"/>
      <c r="N332"/>
      <c r="O332"/>
      <c r="P332"/>
      <c r="Q332"/>
      <c r="R332"/>
      <c r="S332"/>
      <c r="T332"/>
      <c r="U332" s="27"/>
      <c r="V332" s="14"/>
      <c r="W332" s="27"/>
      <c r="X332" s="27"/>
      <c r="Y332" s="27"/>
      <c r="Z332" s="27"/>
      <c r="AA332"/>
      <c r="AB332"/>
      <c r="AC332" s="27"/>
      <c r="AD332"/>
      <c r="AE332" s="27"/>
      <c r="AF332" s="27"/>
      <c r="AG332" s="28"/>
      <c r="AH332" s="15"/>
      <c r="AI332" s="15"/>
      <c r="AJ332"/>
      <c r="AK332" s="27"/>
      <c r="AL332"/>
      <c r="AM332"/>
      <c r="AN332"/>
      <c r="AO332" s="27"/>
      <c r="AP332" s="27"/>
      <c r="AQ332" s="15"/>
      <c r="AR332"/>
      <c r="AS332" s="27"/>
      <c r="AT332"/>
      <c r="AU332"/>
      <c r="AV332"/>
      <c r="AW332" s="13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</row>
    <row r="333" spans="1:65" s="6" customFormat="1" x14ac:dyDescent="0.25">
      <c r="F333" s="21"/>
      <c r="G333" s="10"/>
      <c r="H333" s="7"/>
      <c r="I333" s="13"/>
      <c r="U333" s="16"/>
      <c r="W333" s="16"/>
      <c r="X333" s="16"/>
      <c r="Y333" s="16"/>
      <c r="Z333" s="16"/>
      <c r="AC333" s="16"/>
      <c r="AE333" s="16"/>
      <c r="AF333" s="22"/>
      <c r="AG333" s="18"/>
      <c r="AH333" s="7"/>
      <c r="AI333" s="7"/>
      <c r="AK333" s="16"/>
      <c r="AO333" s="23"/>
      <c r="AP333" s="17"/>
      <c r="AQ333" s="7"/>
      <c r="AR333"/>
      <c r="AS333" s="17"/>
      <c r="AW333" s="7"/>
      <c r="BB333" s="24"/>
      <c r="BC333"/>
      <c r="BG333"/>
    </row>
    <row r="334" spans="1:65" s="6" customFormat="1" x14ac:dyDescent="0.25">
      <c r="A334"/>
      <c r="B334"/>
      <c r="C334"/>
      <c r="D334"/>
      <c r="E334"/>
      <c r="F334"/>
      <c r="G334"/>
      <c r="H334" s="13"/>
      <c r="I334" s="7"/>
      <c r="J334"/>
      <c r="K334"/>
      <c r="L334"/>
      <c r="M334"/>
      <c r="N334"/>
      <c r="O334"/>
      <c r="P334"/>
      <c r="Q334"/>
      <c r="R334"/>
      <c r="S334"/>
      <c r="T334"/>
      <c r="U334" s="27"/>
      <c r="V334" s="14"/>
      <c r="W334" s="27"/>
      <c r="X334" s="27"/>
      <c r="Y334" s="27"/>
      <c r="Z334" s="27"/>
      <c r="AA334"/>
      <c r="AB334"/>
      <c r="AC334" s="27"/>
      <c r="AD334"/>
      <c r="AE334" s="27"/>
      <c r="AF334" s="27"/>
      <c r="AG334" s="28"/>
      <c r="AH334" s="7"/>
      <c r="AI334" s="15"/>
      <c r="AJ334"/>
      <c r="AK334" s="27"/>
      <c r="AL334"/>
      <c r="AM334"/>
      <c r="AN334"/>
      <c r="AO334" s="27"/>
      <c r="AP334" s="27"/>
      <c r="AQ334" s="15"/>
      <c r="AR334"/>
      <c r="AS334" s="27"/>
      <c r="AT334"/>
      <c r="AU334"/>
      <c r="AW334" s="7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</row>
    <row r="335" spans="1:65" s="6" customFormat="1" x14ac:dyDescent="0.25">
      <c r="F335" s="21"/>
      <c r="G335" s="10"/>
      <c r="H335" s="7"/>
      <c r="I335" s="13"/>
      <c r="U335" s="16"/>
      <c r="W335" s="16"/>
      <c r="X335" s="16"/>
      <c r="Y335" s="16"/>
      <c r="Z335" s="16"/>
      <c r="AC335" s="16"/>
      <c r="AE335" s="16"/>
      <c r="AF335" s="22"/>
      <c r="AG335" s="18"/>
      <c r="AH335" s="7"/>
      <c r="AI335" s="7"/>
      <c r="AK335" s="16"/>
      <c r="AO335" s="23"/>
      <c r="AP335" s="17"/>
      <c r="AQ335" s="7"/>
      <c r="AR335"/>
      <c r="AS335" s="17"/>
      <c r="AV335"/>
      <c r="AW335" s="7"/>
      <c r="BB335" s="24"/>
      <c r="BC335"/>
      <c r="BG335"/>
    </row>
    <row r="336" spans="1:65" s="6" customFormat="1" x14ac:dyDescent="0.25">
      <c r="A336"/>
      <c r="B336"/>
      <c r="C336"/>
      <c r="D336"/>
      <c r="E336"/>
      <c r="F336"/>
      <c r="G336"/>
      <c r="H336" s="13"/>
      <c r="I336" s="13"/>
      <c r="J336"/>
      <c r="K336"/>
      <c r="L336"/>
      <c r="M336"/>
      <c r="N336"/>
      <c r="O336"/>
      <c r="P336"/>
      <c r="Q336"/>
      <c r="R336"/>
      <c r="S336"/>
      <c r="T336"/>
      <c r="U336" s="27"/>
      <c r="V336" s="14"/>
      <c r="W336" s="27"/>
      <c r="X336" s="27"/>
      <c r="Y336" s="27"/>
      <c r="Z336" s="27"/>
      <c r="AA336"/>
      <c r="AB336"/>
      <c r="AC336" s="27"/>
      <c r="AD336"/>
      <c r="AE336" s="27"/>
      <c r="AF336" s="27"/>
      <c r="AG336" s="28"/>
      <c r="AH336" s="15"/>
      <c r="AI336" s="15"/>
      <c r="AJ336"/>
      <c r="AK336" s="27"/>
      <c r="AL336"/>
      <c r="AM336"/>
      <c r="AN336"/>
      <c r="AO336" s="27"/>
      <c r="AP336" s="27"/>
      <c r="AQ336" s="15"/>
      <c r="AR336"/>
      <c r="AS336" s="27"/>
      <c r="AT336"/>
      <c r="AU336"/>
      <c r="AW336" s="13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</row>
    <row r="337" spans="1:65" s="6" customFormat="1" x14ac:dyDescent="0.25">
      <c r="A337"/>
      <c r="B337"/>
      <c r="C337"/>
      <c r="D337"/>
      <c r="E337"/>
      <c r="F337"/>
      <c r="G337"/>
      <c r="H337" s="13"/>
      <c r="I337" s="7"/>
      <c r="J337"/>
      <c r="K337"/>
      <c r="L337"/>
      <c r="M337"/>
      <c r="N337"/>
      <c r="O337"/>
      <c r="P337"/>
      <c r="Q337"/>
      <c r="R337"/>
      <c r="S337"/>
      <c r="T337"/>
      <c r="U337" s="27"/>
      <c r="V337" s="14"/>
      <c r="W337" s="27"/>
      <c r="X337" s="27"/>
      <c r="Y337" s="27"/>
      <c r="Z337" s="27"/>
      <c r="AA337"/>
      <c r="AB337"/>
      <c r="AC337" s="27"/>
      <c r="AD337"/>
      <c r="AE337" s="27"/>
      <c r="AF337" s="27"/>
      <c r="AG337" s="28"/>
      <c r="AH337" s="7"/>
      <c r="AI337" s="15"/>
      <c r="AJ337"/>
      <c r="AK337" s="27"/>
      <c r="AL337"/>
      <c r="AM337"/>
      <c r="AN337"/>
      <c r="AO337" s="27"/>
      <c r="AP337" s="27"/>
      <c r="AQ337" s="15"/>
      <c r="AR337"/>
      <c r="AS337" s="27"/>
      <c r="AT337"/>
      <c r="AU337"/>
      <c r="AW337" s="13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</row>
    <row r="338" spans="1:65" s="6" customFormat="1" x14ac:dyDescent="0.25">
      <c r="F338" s="21"/>
      <c r="G338" s="10"/>
      <c r="H338" s="7"/>
      <c r="I338" s="13"/>
      <c r="U338" s="16"/>
      <c r="W338" s="16"/>
      <c r="X338" s="16"/>
      <c r="Y338" s="16"/>
      <c r="Z338" s="16"/>
      <c r="AC338" s="16"/>
      <c r="AE338" s="16"/>
      <c r="AF338" s="22"/>
      <c r="AG338" s="18"/>
      <c r="AH338" s="7"/>
      <c r="AI338" s="7"/>
      <c r="AK338" s="16"/>
      <c r="AO338" s="23"/>
      <c r="AP338" s="17"/>
      <c r="AQ338" s="7"/>
      <c r="AR338"/>
      <c r="AS338" s="17"/>
      <c r="AV338"/>
      <c r="AW338" s="7"/>
      <c r="BB338" s="24"/>
      <c r="BC338"/>
      <c r="BG338"/>
    </row>
    <row r="339" spans="1:65" s="6" customFormat="1" x14ac:dyDescent="0.25">
      <c r="F339" s="21"/>
      <c r="G339" s="10"/>
      <c r="H339" s="7"/>
      <c r="I339" s="13"/>
      <c r="U339" s="16"/>
      <c r="W339" s="16"/>
      <c r="X339" s="16"/>
      <c r="Y339" s="16"/>
      <c r="Z339" s="16"/>
      <c r="AC339" s="16"/>
      <c r="AE339" s="16"/>
      <c r="AF339" s="22"/>
      <c r="AG339" s="18"/>
      <c r="AH339" s="7"/>
      <c r="AI339" s="7"/>
      <c r="AK339" s="16"/>
      <c r="AO339" s="23"/>
      <c r="AP339" s="17"/>
      <c r="AQ339" s="7"/>
      <c r="AR339"/>
      <c r="AS339" s="17"/>
      <c r="AW339" s="7"/>
      <c r="BB339" s="24"/>
      <c r="BC339"/>
      <c r="BG339"/>
    </row>
    <row r="340" spans="1:65" s="6" customFormat="1" x14ac:dyDescent="0.25">
      <c r="A340"/>
      <c r="B340"/>
      <c r="C340"/>
      <c r="D340"/>
      <c r="E340"/>
      <c r="F340"/>
      <c r="G340"/>
      <c r="H340" s="13"/>
      <c r="I340" s="13"/>
      <c r="J340"/>
      <c r="K340"/>
      <c r="L340"/>
      <c r="M340"/>
      <c r="N340"/>
      <c r="O340"/>
      <c r="P340"/>
      <c r="Q340"/>
      <c r="R340"/>
      <c r="S340"/>
      <c r="T340"/>
      <c r="U340" s="27"/>
      <c r="V340" s="14"/>
      <c r="W340" s="27"/>
      <c r="X340" s="27"/>
      <c r="Y340" s="27"/>
      <c r="Z340" s="27"/>
      <c r="AA340"/>
      <c r="AB340"/>
      <c r="AC340" s="27"/>
      <c r="AD340"/>
      <c r="AE340" s="27"/>
      <c r="AF340" s="27"/>
      <c r="AG340" s="28"/>
      <c r="AH340" s="15"/>
      <c r="AI340" s="15"/>
      <c r="AJ340"/>
      <c r="AK340" s="27"/>
      <c r="AL340"/>
      <c r="AM340"/>
      <c r="AN340"/>
      <c r="AO340" s="27"/>
      <c r="AP340" s="27"/>
      <c r="AQ340" s="15"/>
      <c r="AR340"/>
      <c r="AS340" s="27"/>
      <c r="AT340"/>
      <c r="AU340"/>
      <c r="AV340"/>
      <c r="AW340" s="13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</row>
    <row r="341" spans="1:65" s="6" customFormat="1" x14ac:dyDescent="0.25">
      <c r="A341"/>
      <c r="B341"/>
      <c r="C341"/>
      <c r="D341"/>
      <c r="E341"/>
      <c r="F341"/>
      <c r="G341"/>
      <c r="H341" s="13"/>
      <c r="I341" s="13"/>
      <c r="J341"/>
      <c r="K341"/>
      <c r="L341"/>
      <c r="M341"/>
      <c r="N341"/>
      <c r="O341"/>
      <c r="P341"/>
      <c r="Q341"/>
      <c r="R341"/>
      <c r="S341"/>
      <c r="T341"/>
      <c r="U341" s="27"/>
      <c r="V341" s="14"/>
      <c r="W341" s="27"/>
      <c r="X341" s="27"/>
      <c r="Y341" s="27"/>
      <c r="Z341" s="27"/>
      <c r="AA341"/>
      <c r="AB341"/>
      <c r="AC341" s="27"/>
      <c r="AD341"/>
      <c r="AE341" s="27"/>
      <c r="AF341" s="27"/>
      <c r="AG341" s="28"/>
      <c r="AH341" s="15"/>
      <c r="AI341" s="15"/>
      <c r="AJ341"/>
      <c r="AK341" s="27"/>
      <c r="AL341"/>
      <c r="AM341"/>
      <c r="AN341"/>
      <c r="AO341" s="27"/>
      <c r="AP341" s="27"/>
      <c r="AQ341" s="15"/>
      <c r="AR341"/>
      <c r="AS341" s="27"/>
      <c r="AT341"/>
      <c r="AU341"/>
      <c r="AV341"/>
      <c r="AW341" s="13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</row>
    <row r="342" spans="1:65" s="6" customFormat="1" x14ac:dyDescent="0.25">
      <c r="F342" s="21"/>
      <c r="G342" s="10"/>
      <c r="H342" s="7"/>
      <c r="I342" s="13"/>
      <c r="U342" s="16"/>
      <c r="W342" s="16"/>
      <c r="X342" s="16"/>
      <c r="Y342" s="16"/>
      <c r="Z342" s="16"/>
      <c r="AC342" s="16"/>
      <c r="AE342" s="16"/>
      <c r="AF342" s="22"/>
      <c r="AG342" s="18"/>
      <c r="AH342" s="7"/>
      <c r="AI342" s="7"/>
      <c r="AK342" s="16"/>
      <c r="AO342" s="23"/>
      <c r="AP342" s="17"/>
      <c r="AQ342" s="7"/>
      <c r="AR342"/>
      <c r="AS342" s="17"/>
      <c r="AW342" s="7"/>
      <c r="BB342" s="24"/>
      <c r="BC342"/>
      <c r="BG342"/>
    </row>
    <row r="343" spans="1:65" s="6" customFormat="1" x14ac:dyDescent="0.25">
      <c r="A343"/>
      <c r="B343"/>
      <c r="C343"/>
      <c r="D343"/>
      <c r="E343"/>
      <c r="F343"/>
      <c r="G343"/>
      <c r="H343" s="13"/>
      <c r="I343" s="7"/>
      <c r="J343"/>
      <c r="K343"/>
      <c r="L343"/>
      <c r="M343"/>
      <c r="N343"/>
      <c r="O343"/>
      <c r="P343"/>
      <c r="Q343"/>
      <c r="R343"/>
      <c r="S343"/>
      <c r="T343"/>
      <c r="U343" s="27"/>
      <c r="V343" s="14"/>
      <c r="W343" s="27"/>
      <c r="X343" s="27"/>
      <c r="Y343" s="27"/>
      <c r="Z343" s="27"/>
      <c r="AA343"/>
      <c r="AB343"/>
      <c r="AC343" s="27"/>
      <c r="AD343"/>
      <c r="AE343" s="27"/>
      <c r="AF343" s="27"/>
      <c r="AG343" s="28"/>
      <c r="AH343" s="7"/>
      <c r="AI343" s="15"/>
      <c r="AJ343"/>
      <c r="AK343" s="27"/>
      <c r="AL343"/>
      <c r="AM343"/>
      <c r="AN343"/>
      <c r="AO343" s="27"/>
      <c r="AP343" s="27"/>
      <c r="AQ343" s="15"/>
      <c r="AR343"/>
      <c r="AS343" s="27"/>
      <c r="AT343"/>
      <c r="AU343"/>
      <c r="AW343" s="7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</row>
    <row r="344" spans="1:65" s="6" customFormat="1" x14ac:dyDescent="0.25">
      <c r="F344" s="21"/>
      <c r="G344" s="10"/>
      <c r="H344" s="7"/>
      <c r="I344" s="13"/>
      <c r="U344" s="16"/>
      <c r="W344" s="16"/>
      <c r="X344" s="16"/>
      <c r="Y344" s="16"/>
      <c r="Z344" s="16"/>
      <c r="AC344" s="16"/>
      <c r="AE344" s="16"/>
      <c r="AF344" s="22"/>
      <c r="AG344" s="18"/>
      <c r="AH344" s="7"/>
      <c r="AI344" s="7"/>
      <c r="AK344" s="16"/>
      <c r="AO344" s="23"/>
      <c r="AP344" s="17"/>
      <c r="AQ344" s="7"/>
      <c r="AR344"/>
      <c r="AS344" s="17"/>
      <c r="AV344"/>
      <c r="AW344" s="7"/>
      <c r="BB344" s="24"/>
      <c r="BC344"/>
      <c r="BG344"/>
    </row>
    <row r="345" spans="1:65" s="6" customFormat="1" x14ac:dyDescent="0.25">
      <c r="A345"/>
      <c r="B345"/>
      <c r="C345"/>
      <c r="D345"/>
      <c r="E345"/>
      <c r="F345"/>
      <c r="G345"/>
      <c r="H345" s="13"/>
      <c r="I345" s="13"/>
      <c r="J345"/>
      <c r="K345"/>
      <c r="L345"/>
      <c r="M345"/>
      <c r="N345"/>
      <c r="O345"/>
      <c r="P345"/>
      <c r="Q345"/>
      <c r="R345"/>
      <c r="S345"/>
      <c r="T345"/>
      <c r="U345" s="27"/>
      <c r="V345" s="14"/>
      <c r="W345" s="27"/>
      <c r="X345" s="27"/>
      <c r="Y345" s="27"/>
      <c r="Z345" s="27"/>
      <c r="AA345"/>
      <c r="AB345"/>
      <c r="AC345" s="27"/>
      <c r="AD345"/>
      <c r="AE345" s="27"/>
      <c r="AF345" s="27"/>
      <c r="AG345" s="28"/>
      <c r="AH345" s="15"/>
      <c r="AI345" s="15"/>
      <c r="AJ345"/>
      <c r="AK345" s="27"/>
      <c r="AL345"/>
      <c r="AM345"/>
      <c r="AN345"/>
      <c r="AO345" s="27"/>
      <c r="AP345" s="27"/>
      <c r="AQ345" s="15"/>
      <c r="AR345"/>
      <c r="AS345" s="27"/>
      <c r="AT345"/>
      <c r="AU345"/>
      <c r="AW345" s="13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</row>
    <row r="346" spans="1:65" s="6" customFormat="1" x14ac:dyDescent="0.25">
      <c r="A346"/>
      <c r="B346"/>
      <c r="C346"/>
      <c r="D346"/>
      <c r="E346"/>
      <c r="F346"/>
      <c r="G346"/>
      <c r="H346" s="13"/>
      <c r="I346" s="7"/>
      <c r="J346"/>
      <c r="K346"/>
      <c r="L346"/>
      <c r="M346"/>
      <c r="N346"/>
      <c r="O346"/>
      <c r="P346"/>
      <c r="Q346"/>
      <c r="R346"/>
      <c r="S346"/>
      <c r="T346"/>
      <c r="U346" s="27"/>
      <c r="V346" s="14"/>
      <c r="W346" s="27"/>
      <c r="X346" s="27"/>
      <c r="Y346" s="27"/>
      <c r="Z346" s="27"/>
      <c r="AA346"/>
      <c r="AB346"/>
      <c r="AC346" s="27"/>
      <c r="AD346"/>
      <c r="AE346" s="27"/>
      <c r="AF346" s="27"/>
      <c r="AG346" s="28"/>
      <c r="AH346" s="7"/>
      <c r="AI346" s="15"/>
      <c r="AJ346"/>
      <c r="AK346" s="27"/>
      <c r="AL346"/>
      <c r="AM346"/>
      <c r="AN346"/>
      <c r="AO346" s="27"/>
      <c r="AP346" s="27"/>
      <c r="AQ346" s="15"/>
      <c r="AR346"/>
      <c r="AS346" s="27"/>
      <c r="AT346"/>
      <c r="AU346"/>
      <c r="AW346" s="13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</row>
    <row r="347" spans="1:65" s="6" customFormat="1" x14ac:dyDescent="0.25">
      <c r="F347" s="21"/>
      <c r="G347" s="10"/>
      <c r="H347" s="7"/>
      <c r="I347" s="13"/>
      <c r="U347" s="16"/>
      <c r="W347" s="16"/>
      <c r="X347" s="16"/>
      <c r="Y347" s="16"/>
      <c r="Z347" s="16"/>
      <c r="AC347" s="16"/>
      <c r="AE347" s="16"/>
      <c r="AF347" s="22"/>
      <c r="AG347" s="18"/>
      <c r="AH347" s="7"/>
      <c r="AI347" s="7"/>
      <c r="AK347" s="16"/>
      <c r="AO347" s="23"/>
      <c r="AP347" s="17"/>
      <c r="AQ347" s="7"/>
      <c r="AR347"/>
      <c r="AS347" s="17"/>
      <c r="AV347"/>
      <c r="AW347" s="7"/>
      <c r="BB347" s="24"/>
      <c r="BC347"/>
      <c r="BG347"/>
    </row>
    <row r="348" spans="1:65" s="6" customFormat="1" x14ac:dyDescent="0.25">
      <c r="F348" s="21"/>
      <c r="G348" s="10"/>
      <c r="H348" s="7"/>
      <c r="I348" s="13"/>
      <c r="U348" s="16"/>
      <c r="W348" s="16"/>
      <c r="X348" s="16"/>
      <c r="Y348" s="16"/>
      <c r="Z348" s="16"/>
      <c r="AC348" s="16"/>
      <c r="AE348" s="16"/>
      <c r="AF348" s="22"/>
      <c r="AG348" s="18"/>
      <c r="AH348" s="7"/>
      <c r="AI348" s="7"/>
      <c r="AK348" s="16"/>
      <c r="AO348" s="23"/>
      <c r="AP348" s="17"/>
      <c r="AQ348" s="7"/>
      <c r="AR348"/>
      <c r="AS348" s="17"/>
      <c r="AW348" s="7"/>
      <c r="BB348" s="24"/>
      <c r="BC348"/>
      <c r="BG348"/>
    </row>
    <row r="349" spans="1:65" s="6" customFormat="1" x14ac:dyDescent="0.25">
      <c r="A349"/>
      <c r="B349"/>
      <c r="C349"/>
      <c r="D349"/>
      <c r="E349"/>
      <c r="F349"/>
      <c r="G349"/>
      <c r="H349" s="13"/>
      <c r="I349" s="13"/>
      <c r="J349"/>
      <c r="K349"/>
      <c r="L349"/>
      <c r="M349"/>
      <c r="N349"/>
      <c r="O349"/>
      <c r="P349"/>
      <c r="Q349"/>
      <c r="R349"/>
      <c r="S349"/>
      <c r="T349"/>
      <c r="U349" s="27"/>
      <c r="V349" s="14"/>
      <c r="W349" s="27"/>
      <c r="X349" s="27"/>
      <c r="Y349" s="27"/>
      <c r="Z349" s="27"/>
      <c r="AA349"/>
      <c r="AB349"/>
      <c r="AC349" s="27"/>
      <c r="AD349"/>
      <c r="AE349" s="27"/>
      <c r="AF349" s="27"/>
      <c r="AG349" s="28"/>
      <c r="AH349" s="15"/>
      <c r="AI349" s="15"/>
      <c r="AJ349"/>
      <c r="AK349" s="27"/>
      <c r="AL349"/>
      <c r="AM349"/>
      <c r="AN349"/>
      <c r="AO349" s="27"/>
      <c r="AP349" s="27"/>
      <c r="AQ349" s="15"/>
      <c r="AR349"/>
      <c r="AS349" s="27"/>
      <c r="AT349"/>
      <c r="AU349"/>
      <c r="AV349"/>
      <c r="AW349" s="13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</row>
    <row r="350" spans="1:65" s="6" customFormat="1" x14ac:dyDescent="0.25">
      <c r="A350"/>
      <c r="B350"/>
      <c r="C350"/>
      <c r="D350"/>
      <c r="E350"/>
      <c r="F350"/>
      <c r="G350"/>
      <c r="H350" s="13"/>
      <c r="I350" s="13"/>
      <c r="J350"/>
      <c r="K350"/>
      <c r="L350"/>
      <c r="M350"/>
      <c r="N350"/>
      <c r="O350"/>
      <c r="P350"/>
      <c r="Q350"/>
      <c r="R350"/>
      <c r="S350"/>
      <c r="T350"/>
      <c r="U350" s="27"/>
      <c r="V350" s="14"/>
      <c r="W350" s="27"/>
      <c r="X350" s="27"/>
      <c r="Y350" s="27"/>
      <c r="Z350" s="27"/>
      <c r="AA350"/>
      <c r="AB350"/>
      <c r="AC350" s="27"/>
      <c r="AD350"/>
      <c r="AE350" s="27"/>
      <c r="AF350" s="27"/>
      <c r="AG350" s="28"/>
      <c r="AH350" s="15"/>
      <c r="AI350" s="15"/>
      <c r="AJ350"/>
      <c r="AK350" s="27"/>
      <c r="AL350"/>
      <c r="AM350"/>
      <c r="AN350"/>
      <c r="AO350" s="27"/>
      <c r="AP350" s="27"/>
      <c r="AQ350" s="15"/>
      <c r="AR350"/>
      <c r="AS350" s="27"/>
      <c r="AT350"/>
      <c r="AU350"/>
      <c r="AV350"/>
      <c r="AW350" s="7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</row>
    <row r="351" spans="1:65" s="6" customFormat="1" x14ac:dyDescent="0.25">
      <c r="F351" s="21"/>
      <c r="G351" s="10"/>
      <c r="H351" s="7"/>
      <c r="I351" s="13"/>
      <c r="U351" s="16"/>
      <c r="W351" s="16"/>
      <c r="X351" s="16"/>
      <c r="Y351" s="16"/>
      <c r="Z351" s="16"/>
      <c r="AC351" s="16"/>
      <c r="AE351" s="16"/>
      <c r="AF351" s="22"/>
      <c r="AG351" s="18"/>
      <c r="AH351" s="7"/>
      <c r="AI351" s="7"/>
      <c r="AK351" s="16"/>
      <c r="AO351" s="23"/>
      <c r="AP351" s="17"/>
      <c r="AQ351" s="7"/>
      <c r="AR351"/>
      <c r="AS351" s="17"/>
      <c r="AW351" s="7"/>
      <c r="BB351" s="24"/>
      <c r="BC351"/>
      <c r="BG351"/>
    </row>
    <row r="352" spans="1:65" s="6" customFormat="1" x14ac:dyDescent="0.25">
      <c r="A352"/>
      <c r="B352"/>
      <c r="C352"/>
      <c r="D352"/>
      <c r="E352"/>
      <c r="F352"/>
      <c r="G352"/>
      <c r="H352" s="13"/>
      <c r="I352" s="7"/>
      <c r="J352"/>
      <c r="K352"/>
      <c r="L352"/>
      <c r="M352"/>
      <c r="N352"/>
      <c r="O352"/>
      <c r="P352"/>
      <c r="Q352"/>
      <c r="R352"/>
      <c r="S352"/>
      <c r="T352"/>
      <c r="U352" s="27"/>
      <c r="V352" s="14"/>
      <c r="W352" s="27"/>
      <c r="X352" s="27"/>
      <c r="Y352" s="27"/>
      <c r="Z352" s="27"/>
      <c r="AA352"/>
      <c r="AB352"/>
      <c r="AC352" s="27"/>
      <c r="AD352"/>
      <c r="AE352" s="27"/>
      <c r="AF352" s="27"/>
      <c r="AG352" s="28"/>
      <c r="AH352" s="7"/>
      <c r="AI352" s="15"/>
      <c r="AJ352"/>
      <c r="AK352" s="27"/>
      <c r="AL352"/>
      <c r="AM352"/>
      <c r="AN352"/>
      <c r="AO352" s="27"/>
      <c r="AP352" s="27"/>
      <c r="AQ352" s="15"/>
      <c r="AR352"/>
      <c r="AS352" s="27"/>
      <c r="AT352"/>
      <c r="AU352"/>
      <c r="AW352" s="7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</row>
    <row r="353" spans="1:65" s="6" customFormat="1" x14ac:dyDescent="0.25">
      <c r="F353" s="21"/>
      <c r="G353" s="10"/>
      <c r="H353" s="7"/>
      <c r="I353" s="13"/>
      <c r="U353" s="16"/>
      <c r="W353" s="16"/>
      <c r="X353" s="16"/>
      <c r="Y353" s="16"/>
      <c r="Z353" s="16"/>
      <c r="AC353" s="16"/>
      <c r="AE353" s="16"/>
      <c r="AF353" s="22"/>
      <c r="AG353" s="18"/>
      <c r="AH353" s="7"/>
      <c r="AI353" s="7"/>
      <c r="AK353" s="16"/>
      <c r="AO353" s="23"/>
      <c r="AP353" s="17"/>
      <c r="AQ353" s="7"/>
      <c r="AR353"/>
      <c r="AS353" s="17"/>
      <c r="AV353"/>
      <c r="AW353" s="7"/>
      <c r="BB353" s="24"/>
      <c r="BC353"/>
      <c r="BG353"/>
    </row>
    <row r="354" spans="1:65" s="6" customFormat="1" x14ac:dyDescent="0.25">
      <c r="A354"/>
      <c r="B354"/>
      <c r="C354"/>
      <c r="D354"/>
      <c r="E354"/>
      <c r="F354"/>
      <c r="G354"/>
      <c r="H354" s="13"/>
      <c r="I354" s="13"/>
      <c r="J354"/>
      <c r="K354"/>
      <c r="L354"/>
      <c r="M354"/>
      <c r="N354"/>
      <c r="O354"/>
      <c r="P354"/>
      <c r="Q354"/>
      <c r="R354"/>
      <c r="S354"/>
      <c r="T354"/>
      <c r="U354" s="27"/>
      <c r="V354" s="14"/>
      <c r="W354" s="27"/>
      <c r="X354" s="27"/>
      <c r="Y354" s="27"/>
      <c r="Z354" s="27"/>
      <c r="AA354"/>
      <c r="AB354"/>
      <c r="AC354" s="27"/>
      <c r="AD354"/>
      <c r="AE354" s="27"/>
      <c r="AF354" s="27"/>
      <c r="AG354" s="28"/>
      <c r="AH354" s="15"/>
      <c r="AI354" s="15"/>
      <c r="AJ354"/>
      <c r="AK354" s="27"/>
      <c r="AL354"/>
      <c r="AM354"/>
      <c r="AN354"/>
      <c r="AO354" s="27"/>
      <c r="AP354" s="27"/>
      <c r="AQ354" s="15"/>
      <c r="AR354"/>
      <c r="AS354" s="27"/>
      <c r="AT354"/>
      <c r="AU354"/>
      <c r="AW354" s="13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</row>
    <row r="355" spans="1:65" s="6" customFormat="1" x14ac:dyDescent="0.25">
      <c r="A355"/>
      <c r="B355"/>
      <c r="C355"/>
      <c r="D355"/>
      <c r="E355"/>
      <c r="F355"/>
      <c r="G355"/>
      <c r="H355" s="13"/>
      <c r="I355" s="7"/>
      <c r="J355"/>
      <c r="K355"/>
      <c r="L355"/>
      <c r="M355"/>
      <c r="N355"/>
      <c r="O355"/>
      <c r="P355"/>
      <c r="Q355"/>
      <c r="R355"/>
      <c r="S355"/>
      <c r="T355"/>
      <c r="U355" s="27"/>
      <c r="V355" s="14"/>
      <c r="W355" s="27"/>
      <c r="X355" s="27"/>
      <c r="Y355" s="27"/>
      <c r="Z355" s="27"/>
      <c r="AA355"/>
      <c r="AB355"/>
      <c r="AC355" s="27"/>
      <c r="AD355"/>
      <c r="AE355" s="27"/>
      <c r="AF355" s="27"/>
      <c r="AG355" s="28"/>
      <c r="AH355" s="7"/>
      <c r="AI355" s="15"/>
      <c r="AJ355"/>
      <c r="AK355" s="27"/>
      <c r="AL355"/>
      <c r="AM355"/>
      <c r="AN355"/>
      <c r="AO355" s="27"/>
      <c r="AP355" s="27"/>
      <c r="AQ355" s="15"/>
      <c r="AR355"/>
      <c r="AS355" s="27"/>
      <c r="AT355"/>
      <c r="AU355"/>
      <c r="AW355" s="13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</row>
    <row r="356" spans="1:65" s="6" customFormat="1" x14ac:dyDescent="0.25">
      <c r="F356" s="21"/>
      <c r="G356" s="10"/>
      <c r="H356" s="7"/>
      <c r="I356" s="13"/>
      <c r="U356" s="16"/>
      <c r="W356" s="16"/>
      <c r="X356" s="16"/>
      <c r="Y356" s="16"/>
      <c r="Z356" s="16"/>
      <c r="AC356" s="16"/>
      <c r="AE356" s="16"/>
      <c r="AF356" s="22"/>
      <c r="AG356" s="18"/>
      <c r="AH356" s="7"/>
      <c r="AI356" s="7"/>
      <c r="AK356" s="16"/>
      <c r="AO356" s="23"/>
      <c r="AP356" s="17"/>
      <c r="AQ356" s="7"/>
      <c r="AR356"/>
      <c r="AS356" s="17"/>
      <c r="AV356"/>
      <c r="AW356" s="7"/>
      <c r="BB356" s="24"/>
      <c r="BC356"/>
      <c r="BG356"/>
    </row>
    <row r="357" spans="1:65" s="6" customFormat="1" x14ac:dyDescent="0.25">
      <c r="H357" s="7"/>
      <c r="I357" s="13"/>
      <c r="U357" s="16"/>
      <c r="W357" s="16"/>
      <c r="X357" s="16"/>
      <c r="Y357" s="16"/>
      <c r="Z357" s="16"/>
      <c r="AC357" s="16"/>
      <c r="AE357" s="16"/>
      <c r="AF357" s="16"/>
      <c r="AG357" s="18"/>
      <c r="AH357" s="7"/>
      <c r="AI357" s="7"/>
      <c r="AK357" s="16"/>
      <c r="AO357" s="16"/>
      <c r="AP357" s="16"/>
      <c r="AQ357" s="7"/>
      <c r="AR357"/>
      <c r="AS357" s="16"/>
      <c r="AW357" s="7"/>
      <c r="BC357"/>
      <c r="BG357"/>
    </row>
    <row r="358" spans="1:65" s="6" customFormat="1" x14ac:dyDescent="0.25">
      <c r="A358"/>
      <c r="B358"/>
      <c r="C358"/>
      <c r="D358"/>
      <c r="E358"/>
      <c r="F358"/>
      <c r="G358"/>
      <c r="H358" s="13"/>
      <c r="I358" s="13"/>
      <c r="J358"/>
      <c r="K358"/>
      <c r="L358"/>
      <c r="M358"/>
      <c r="N358"/>
      <c r="O358"/>
      <c r="P358"/>
      <c r="Q358"/>
      <c r="R358"/>
      <c r="S358"/>
      <c r="T358"/>
      <c r="U358" s="27"/>
      <c r="V358" s="14"/>
      <c r="W358" s="27"/>
      <c r="X358" s="27"/>
      <c r="Y358" s="27"/>
      <c r="Z358" s="27"/>
      <c r="AA358"/>
      <c r="AB358"/>
      <c r="AC358" s="27"/>
      <c r="AD358"/>
      <c r="AE358" s="27"/>
      <c r="AF358" s="27"/>
      <c r="AG358" s="28"/>
      <c r="AH358" s="15"/>
      <c r="AI358" s="15"/>
      <c r="AJ358"/>
      <c r="AK358" s="27"/>
      <c r="AL358"/>
      <c r="AM358"/>
      <c r="AN358"/>
      <c r="AO358" s="27"/>
      <c r="AP358" s="27"/>
      <c r="AQ358" s="15"/>
      <c r="AR358"/>
      <c r="AS358" s="27"/>
      <c r="AT358"/>
      <c r="AU358"/>
      <c r="AV358"/>
      <c r="AW358" s="13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</row>
    <row r="359" spans="1:65" s="6" customFormat="1" x14ac:dyDescent="0.25">
      <c r="A359"/>
      <c r="B359"/>
      <c r="C359"/>
      <c r="D359"/>
      <c r="E359"/>
      <c r="F359"/>
      <c r="G359"/>
      <c r="H359" s="13"/>
      <c r="I359" s="13"/>
      <c r="J359"/>
      <c r="K359"/>
      <c r="L359"/>
      <c r="M359"/>
      <c r="N359"/>
      <c r="O359"/>
      <c r="P359"/>
      <c r="Q359"/>
      <c r="R359"/>
      <c r="S359"/>
      <c r="T359"/>
      <c r="U359" s="27"/>
      <c r="V359" s="14"/>
      <c r="W359" s="27"/>
      <c r="X359" s="27"/>
      <c r="Y359" s="27"/>
      <c r="Z359" s="27"/>
      <c r="AA359"/>
      <c r="AB359"/>
      <c r="AC359" s="27"/>
      <c r="AD359"/>
      <c r="AE359" s="27"/>
      <c r="AF359" s="27"/>
      <c r="AG359" s="28"/>
      <c r="AH359" s="15"/>
      <c r="AI359" s="15"/>
      <c r="AJ359"/>
      <c r="AK359" s="27"/>
      <c r="AL359"/>
      <c r="AM359"/>
      <c r="AN359"/>
      <c r="AO359" s="27"/>
      <c r="AP359" s="27"/>
      <c r="AQ359" s="15"/>
      <c r="AR359"/>
      <c r="AS359" s="27"/>
      <c r="AT359"/>
      <c r="AU359"/>
      <c r="AV359"/>
      <c r="AW359" s="13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</row>
    <row r="360" spans="1:65" s="6" customFormat="1" x14ac:dyDescent="0.25">
      <c r="F360" s="21"/>
      <c r="G360" s="10"/>
      <c r="H360" s="7"/>
      <c r="I360" s="13"/>
      <c r="U360" s="16"/>
      <c r="W360" s="16"/>
      <c r="X360" s="16"/>
      <c r="Y360" s="16"/>
      <c r="Z360" s="16"/>
      <c r="AC360" s="16"/>
      <c r="AE360" s="16"/>
      <c r="AF360" s="22"/>
      <c r="AG360" s="18"/>
      <c r="AH360" s="7"/>
      <c r="AI360" s="7"/>
      <c r="AK360" s="16"/>
      <c r="AO360" s="23"/>
      <c r="AP360" s="17"/>
      <c r="AQ360" s="7"/>
      <c r="AR360"/>
      <c r="AS360" s="17"/>
      <c r="AW360" s="7"/>
      <c r="BB360" s="24"/>
      <c r="BC360"/>
      <c r="BG360"/>
    </row>
    <row r="361" spans="1:65" s="6" customFormat="1" x14ac:dyDescent="0.25">
      <c r="A361"/>
      <c r="B361"/>
      <c r="C361"/>
      <c r="D361"/>
      <c r="E361"/>
      <c r="F361"/>
      <c r="G361"/>
      <c r="H361" s="13"/>
      <c r="I361" s="7"/>
      <c r="J361"/>
      <c r="K361"/>
      <c r="L361"/>
      <c r="M361"/>
      <c r="N361"/>
      <c r="O361"/>
      <c r="P361"/>
      <c r="Q361"/>
      <c r="R361"/>
      <c r="S361"/>
      <c r="T361"/>
      <c r="U361" s="27"/>
      <c r="V361" s="14"/>
      <c r="W361" s="27"/>
      <c r="X361" s="27"/>
      <c r="Y361" s="27"/>
      <c r="Z361" s="27"/>
      <c r="AA361"/>
      <c r="AB361"/>
      <c r="AC361" s="27"/>
      <c r="AD361"/>
      <c r="AE361" s="27"/>
      <c r="AF361" s="27"/>
      <c r="AG361" s="28"/>
      <c r="AH361" s="7"/>
      <c r="AI361" s="15"/>
      <c r="AJ361"/>
      <c r="AK361" s="27"/>
      <c r="AL361"/>
      <c r="AM361"/>
      <c r="AN361"/>
      <c r="AO361" s="27"/>
      <c r="AP361" s="27"/>
      <c r="AQ361" s="15"/>
      <c r="AR361"/>
      <c r="AS361" s="27"/>
      <c r="AT361"/>
      <c r="AU361"/>
      <c r="AW361" s="13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</row>
    <row r="362" spans="1:65" s="6" customFormat="1" x14ac:dyDescent="0.25">
      <c r="F362" s="21"/>
      <c r="G362" s="10"/>
      <c r="H362" s="7"/>
      <c r="I362" s="13"/>
      <c r="U362" s="16"/>
      <c r="W362" s="16"/>
      <c r="X362" s="16"/>
      <c r="Y362" s="16"/>
      <c r="Z362" s="16"/>
      <c r="AC362" s="16"/>
      <c r="AE362" s="16"/>
      <c r="AF362" s="22"/>
      <c r="AG362" s="18"/>
      <c r="AH362" s="7"/>
      <c r="AI362" s="7"/>
      <c r="AK362" s="16"/>
      <c r="AO362" s="23"/>
      <c r="AP362" s="17"/>
      <c r="AQ362" s="7"/>
      <c r="AR362"/>
      <c r="AS362" s="17"/>
      <c r="AV362"/>
      <c r="AW362" s="7"/>
      <c r="BB362" s="24"/>
      <c r="BC362"/>
      <c r="BG362"/>
    </row>
    <row r="363" spans="1:65" s="6" customFormat="1" x14ac:dyDescent="0.25">
      <c r="A363"/>
      <c r="B363"/>
      <c r="C363"/>
      <c r="D363"/>
      <c r="E363"/>
      <c r="F363"/>
      <c r="G363"/>
      <c r="H363" s="13"/>
      <c r="I363" s="13"/>
      <c r="J363"/>
      <c r="K363"/>
      <c r="L363"/>
      <c r="M363"/>
      <c r="N363"/>
      <c r="O363"/>
      <c r="P363"/>
      <c r="Q363"/>
      <c r="R363"/>
      <c r="S363"/>
      <c r="T363"/>
      <c r="U363" s="27"/>
      <c r="V363" s="14"/>
      <c r="W363" s="27"/>
      <c r="X363" s="27"/>
      <c r="Y363" s="27"/>
      <c r="Z363" s="27"/>
      <c r="AA363"/>
      <c r="AB363"/>
      <c r="AC363" s="27"/>
      <c r="AD363"/>
      <c r="AE363" s="27"/>
      <c r="AF363" s="27"/>
      <c r="AG363" s="28"/>
      <c r="AH363" s="15"/>
      <c r="AI363" s="15"/>
      <c r="AJ363"/>
      <c r="AK363" s="27"/>
      <c r="AL363"/>
      <c r="AM363"/>
      <c r="AN363"/>
      <c r="AO363" s="27"/>
      <c r="AP363" s="27"/>
      <c r="AQ363" s="15"/>
      <c r="AR363"/>
      <c r="AS363" s="27"/>
      <c r="AT363"/>
      <c r="AU363"/>
      <c r="AW363" s="1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</row>
    <row r="364" spans="1:65" s="6" customFormat="1" x14ac:dyDescent="0.25">
      <c r="A364"/>
      <c r="B364"/>
      <c r="C364"/>
      <c r="D364"/>
      <c r="E364"/>
      <c r="F364"/>
      <c r="G364"/>
      <c r="H364" s="13"/>
      <c r="I364" s="7"/>
      <c r="J364"/>
      <c r="K364"/>
      <c r="L364"/>
      <c r="M364"/>
      <c r="N364"/>
      <c r="O364"/>
      <c r="P364"/>
      <c r="Q364"/>
      <c r="R364"/>
      <c r="S364"/>
      <c r="T364"/>
      <c r="U364" s="27"/>
      <c r="V364" s="14"/>
      <c r="W364" s="27"/>
      <c r="X364" s="27"/>
      <c r="Y364" s="27"/>
      <c r="Z364" s="27"/>
      <c r="AA364"/>
      <c r="AB364"/>
      <c r="AC364" s="27"/>
      <c r="AD364"/>
      <c r="AE364" s="27"/>
      <c r="AF364" s="27"/>
      <c r="AG364" s="28"/>
      <c r="AH364" s="7"/>
      <c r="AI364" s="15"/>
      <c r="AJ364"/>
      <c r="AK364" s="27"/>
      <c r="AL364"/>
      <c r="AM364"/>
      <c r="AN364"/>
      <c r="AO364" s="27"/>
      <c r="AP364" s="27"/>
      <c r="AQ364" s="15"/>
      <c r="AR364"/>
      <c r="AS364" s="27"/>
      <c r="AT364"/>
      <c r="AU364"/>
      <c r="AW364" s="13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</row>
    <row r="365" spans="1:65" s="6" customFormat="1" x14ac:dyDescent="0.25">
      <c r="F365" s="21"/>
      <c r="G365" s="10"/>
      <c r="H365" s="7"/>
      <c r="I365" s="13"/>
      <c r="U365" s="16"/>
      <c r="W365" s="16"/>
      <c r="X365" s="16"/>
      <c r="Y365" s="16"/>
      <c r="Z365" s="16"/>
      <c r="AC365" s="16"/>
      <c r="AE365" s="16"/>
      <c r="AF365" s="22"/>
      <c r="AG365" s="18"/>
      <c r="AH365" s="7"/>
      <c r="AI365" s="7"/>
      <c r="AK365" s="16"/>
      <c r="AO365" s="23"/>
      <c r="AP365" s="17"/>
      <c r="AQ365" s="7"/>
      <c r="AR365"/>
      <c r="AS365" s="17"/>
      <c r="AV365"/>
      <c r="AW365" s="7"/>
      <c r="BB365" s="24"/>
      <c r="BC365"/>
      <c r="BG365"/>
    </row>
    <row r="366" spans="1:65" s="6" customFormat="1" x14ac:dyDescent="0.25">
      <c r="F366" s="21"/>
      <c r="G366" s="10"/>
      <c r="H366" s="7"/>
      <c r="I366" s="13"/>
      <c r="U366" s="16"/>
      <c r="W366" s="16"/>
      <c r="X366" s="16"/>
      <c r="Y366" s="16"/>
      <c r="Z366" s="16"/>
      <c r="AC366" s="16"/>
      <c r="AE366" s="16"/>
      <c r="AF366" s="22"/>
      <c r="AG366" s="18"/>
      <c r="AH366" s="7"/>
      <c r="AI366" s="7"/>
      <c r="AK366" s="16"/>
      <c r="AO366" s="23"/>
      <c r="AP366" s="17"/>
      <c r="AQ366" s="7"/>
      <c r="AR366"/>
      <c r="AS366" s="17"/>
      <c r="AW366" s="7"/>
      <c r="BB366" s="24"/>
      <c r="BC366"/>
      <c r="BG366"/>
    </row>
    <row r="367" spans="1:65" s="6" customFormat="1" x14ac:dyDescent="0.25">
      <c r="A367"/>
      <c r="B367"/>
      <c r="C367"/>
      <c r="D367"/>
      <c r="E367"/>
      <c r="F367"/>
      <c r="G367"/>
      <c r="H367" s="13"/>
      <c r="I367" s="13"/>
      <c r="J367"/>
      <c r="K367"/>
      <c r="L367"/>
      <c r="M367"/>
      <c r="N367"/>
      <c r="O367"/>
      <c r="P367"/>
      <c r="Q367"/>
      <c r="R367"/>
      <c r="S367"/>
      <c r="T367"/>
      <c r="U367" s="27"/>
      <c r="V367" s="14"/>
      <c r="W367" s="27"/>
      <c r="X367" s="27"/>
      <c r="Y367" s="27"/>
      <c r="Z367" s="27"/>
      <c r="AA367"/>
      <c r="AB367"/>
      <c r="AC367" s="27"/>
      <c r="AD367"/>
      <c r="AE367" s="27"/>
      <c r="AF367" s="27"/>
      <c r="AG367" s="28"/>
      <c r="AH367" s="15"/>
      <c r="AI367" s="15"/>
      <c r="AJ367"/>
      <c r="AK367" s="27"/>
      <c r="AL367"/>
      <c r="AM367"/>
      <c r="AN367"/>
      <c r="AO367" s="27"/>
      <c r="AP367" s="27"/>
      <c r="AQ367" s="15"/>
      <c r="AR367"/>
      <c r="AS367" s="27"/>
      <c r="AT367"/>
      <c r="AU367"/>
      <c r="AV367"/>
      <c r="AW367" s="13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</row>
    <row r="368" spans="1:65" s="6" customFormat="1" x14ac:dyDescent="0.25">
      <c r="A368"/>
      <c r="B368"/>
      <c r="C368"/>
      <c r="D368"/>
      <c r="E368"/>
      <c r="F368"/>
      <c r="G368"/>
      <c r="H368" s="13"/>
      <c r="I368" s="13"/>
      <c r="J368"/>
      <c r="K368"/>
      <c r="L368"/>
      <c r="M368"/>
      <c r="N368"/>
      <c r="O368"/>
      <c r="P368"/>
      <c r="Q368"/>
      <c r="R368"/>
      <c r="S368"/>
      <c r="T368"/>
      <c r="U368" s="27"/>
      <c r="V368" s="14"/>
      <c r="W368" s="27"/>
      <c r="X368" s="27"/>
      <c r="Y368" s="27"/>
      <c r="Z368" s="27"/>
      <c r="AA368"/>
      <c r="AB368"/>
      <c r="AC368" s="27"/>
      <c r="AD368"/>
      <c r="AE368" s="27"/>
      <c r="AF368" s="27"/>
      <c r="AG368" s="28"/>
      <c r="AH368" s="15"/>
      <c r="AI368" s="15"/>
      <c r="AJ368"/>
      <c r="AK368" s="27"/>
      <c r="AL368"/>
      <c r="AM368"/>
      <c r="AN368"/>
      <c r="AO368" s="27"/>
      <c r="AP368" s="27"/>
      <c r="AQ368" s="15"/>
      <c r="AR368"/>
      <c r="AS368" s="27"/>
      <c r="AT368"/>
      <c r="AU368"/>
      <c r="AV368"/>
      <c r="AW368" s="13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</row>
    <row r="369" spans="1:65" s="6" customFormat="1" x14ac:dyDescent="0.25">
      <c r="F369" s="21"/>
      <c r="G369" s="10"/>
      <c r="H369" s="7"/>
      <c r="I369" s="13"/>
      <c r="U369" s="16"/>
      <c r="W369" s="16"/>
      <c r="X369" s="16"/>
      <c r="Y369" s="16"/>
      <c r="Z369" s="16"/>
      <c r="AC369" s="16"/>
      <c r="AE369" s="16"/>
      <c r="AF369" s="22"/>
      <c r="AG369" s="18"/>
      <c r="AH369" s="7"/>
      <c r="AI369" s="7"/>
      <c r="AK369" s="16"/>
      <c r="AO369" s="23"/>
      <c r="AP369" s="17"/>
      <c r="AQ369" s="7"/>
      <c r="AR369"/>
      <c r="AS369" s="17"/>
      <c r="AW369" s="7"/>
      <c r="BB369" s="24"/>
      <c r="BC369"/>
      <c r="BG369"/>
    </row>
    <row r="370" spans="1:65" s="6" customFormat="1" x14ac:dyDescent="0.25">
      <c r="A370"/>
      <c r="B370"/>
      <c r="C370"/>
      <c r="D370"/>
      <c r="E370"/>
      <c r="F370"/>
      <c r="G370"/>
      <c r="H370" s="13"/>
      <c r="I370" s="7"/>
      <c r="J370"/>
      <c r="K370"/>
      <c r="L370"/>
      <c r="M370"/>
      <c r="N370"/>
      <c r="O370"/>
      <c r="P370"/>
      <c r="Q370"/>
      <c r="R370"/>
      <c r="S370"/>
      <c r="T370"/>
      <c r="U370" s="27"/>
      <c r="V370" s="14"/>
      <c r="W370" s="27"/>
      <c r="X370" s="27"/>
      <c r="Y370" s="27"/>
      <c r="Z370" s="27"/>
      <c r="AA370"/>
      <c r="AB370"/>
      <c r="AC370" s="27"/>
      <c r="AD370"/>
      <c r="AE370" s="27"/>
      <c r="AF370" s="27"/>
      <c r="AG370" s="28"/>
      <c r="AH370" s="7"/>
      <c r="AI370" s="15"/>
      <c r="AJ370"/>
      <c r="AK370" s="27"/>
      <c r="AL370"/>
      <c r="AM370"/>
      <c r="AN370"/>
      <c r="AO370" s="27"/>
      <c r="AP370" s="27"/>
      <c r="AQ370" s="15"/>
      <c r="AR370"/>
      <c r="AS370" s="27"/>
      <c r="AT370"/>
      <c r="AU370"/>
      <c r="AW370" s="13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</row>
    <row r="371" spans="1:65" s="6" customFormat="1" x14ac:dyDescent="0.25">
      <c r="F371" s="21"/>
      <c r="G371" s="10"/>
      <c r="H371" s="7"/>
      <c r="I371" s="13"/>
      <c r="U371" s="16"/>
      <c r="W371" s="16"/>
      <c r="X371" s="16"/>
      <c r="Y371" s="16"/>
      <c r="Z371" s="16"/>
      <c r="AC371" s="16"/>
      <c r="AE371" s="16"/>
      <c r="AF371" s="22"/>
      <c r="AG371" s="18"/>
      <c r="AH371" s="7"/>
      <c r="AI371" s="7"/>
      <c r="AK371" s="16"/>
      <c r="AO371" s="23"/>
      <c r="AP371" s="17"/>
      <c r="AQ371" s="7"/>
      <c r="AR371"/>
      <c r="AS371" s="17"/>
      <c r="AV371"/>
      <c r="AW371" s="7"/>
      <c r="BB371" s="24"/>
      <c r="BC371"/>
      <c r="BG371"/>
    </row>
    <row r="372" spans="1:65" s="6" customFormat="1" x14ac:dyDescent="0.25">
      <c r="A372"/>
      <c r="B372"/>
      <c r="C372"/>
      <c r="D372"/>
      <c r="E372"/>
      <c r="F372"/>
      <c r="G372"/>
      <c r="H372" s="13"/>
      <c r="I372" s="13"/>
      <c r="J372"/>
      <c r="K372"/>
      <c r="L372"/>
      <c r="M372"/>
      <c r="N372"/>
      <c r="O372"/>
      <c r="P372"/>
      <c r="Q372"/>
      <c r="R372"/>
      <c r="S372"/>
      <c r="T372"/>
      <c r="U372" s="27"/>
      <c r="V372" s="14"/>
      <c r="W372" s="27"/>
      <c r="X372" s="27"/>
      <c r="Y372" s="27"/>
      <c r="Z372" s="27"/>
      <c r="AA372"/>
      <c r="AB372"/>
      <c r="AC372" s="27"/>
      <c r="AD372"/>
      <c r="AE372" s="27"/>
      <c r="AF372" s="27"/>
      <c r="AG372" s="28"/>
      <c r="AH372" s="15"/>
      <c r="AI372" s="15"/>
      <c r="AJ372"/>
      <c r="AK372" s="27"/>
      <c r="AL372"/>
      <c r="AM372"/>
      <c r="AN372"/>
      <c r="AO372" s="27"/>
      <c r="AP372" s="27"/>
      <c r="AQ372" s="15"/>
      <c r="AR372"/>
      <c r="AS372" s="27"/>
      <c r="AT372"/>
      <c r="AU372"/>
      <c r="AW372" s="13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</row>
    <row r="373" spans="1:65" s="6" customFormat="1" x14ac:dyDescent="0.25">
      <c r="A373"/>
      <c r="B373"/>
      <c r="C373"/>
      <c r="D373"/>
      <c r="E373"/>
      <c r="F373"/>
      <c r="G373"/>
      <c r="H373" s="13"/>
      <c r="I373" s="7"/>
      <c r="J373"/>
      <c r="K373"/>
      <c r="L373"/>
      <c r="M373"/>
      <c r="N373"/>
      <c r="O373"/>
      <c r="P373"/>
      <c r="Q373"/>
      <c r="R373"/>
      <c r="S373"/>
      <c r="T373"/>
      <c r="U373" s="27"/>
      <c r="V373" s="14"/>
      <c r="W373" s="27"/>
      <c r="X373" s="27"/>
      <c r="Y373" s="27"/>
      <c r="Z373" s="27"/>
      <c r="AA373"/>
      <c r="AB373"/>
      <c r="AC373" s="27"/>
      <c r="AD373"/>
      <c r="AE373" s="27"/>
      <c r="AF373" s="27"/>
      <c r="AG373" s="28"/>
      <c r="AH373" s="7"/>
      <c r="AI373" s="15"/>
      <c r="AJ373"/>
      <c r="AK373" s="27"/>
      <c r="AL373"/>
      <c r="AM373"/>
      <c r="AN373"/>
      <c r="AO373" s="27"/>
      <c r="AP373" s="27"/>
      <c r="AQ373" s="15"/>
      <c r="AR373"/>
      <c r="AS373" s="27"/>
      <c r="AT373"/>
      <c r="AU373"/>
      <c r="AW373" s="1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</row>
    <row r="374" spans="1:65" s="6" customFormat="1" x14ac:dyDescent="0.25">
      <c r="F374" s="21"/>
      <c r="G374" s="10"/>
      <c r="H374" s="7"/>
      <c r="I374" s="13"/>
      <c r="U374" s="16"/>
      <c r="W374" s="16"/>
      <c r="X374" s="16"/>
      <c r="Y374" s="16"/>
      <c r="Z374" s="16"/>
      <c r="AC374" s="16"/>
      <c r="AE374" s="16"/>
      <c r="AF374" s="22"/>
      <c r="AG374" s="18"/>
      <c r="AH374" s="7"/>
      <c r="AI374" s="7"/>
      <c r="AK374" s="16"/>
      <c r="AO374" s="23"/>
      <c r="AP374" s="17"/>
      <c r="AQ374" s="7"/>
      <c r="AR374"/>
      <c r="AS374" s="17"/>
      <c r="AV374"/>
      <c r="AW374" s="7"/>
      <c r="BB374" s="24"/>
      <c r="BC374"/>
      <c r="BG374"/>
    </row>
    <row r="375" spans="1:65" s="6" customFormat="1" x14ac:dyDescent="0.25">
      <c r="F375" s="21"/>
      <c r="G375" s="10"/>
      <c r="H375" s="7"/>
      <c r="I375" s="13"/>
      <c r="U375" s="16"/>
      <c r="W375" s="16"/>
      <c r="X375" s="16"/>
      <c r="Y375" s="16"/>
      <c r="Z375" s="16"/>
      <c r="AC375" s="16"/>
      <c r="AE375" s="16"/>
      <c r="AF375" s="22"/>
      <c r="AG375" s="18"/>
      <c r="AH375" s="7"/>
      <c r="AI375" s="7"/>
      <c r="AK375" s="16"/>
      <c r="AO375" s="23"/>
      <c r="AP375" s="17"/>
      <c r="AQ375" s="7"/>
      <c r="AR375"/>
      <c r="AS375" s="17"/>
      <c r="AW375" s="7"/>
      <c r="BB375" s="24"/>
      <c r="BC375"/>
      <c r="BG375"/>
    </row>
    <row r="376" spans="1:65" s="6" customFormat="1" x14ac:dyDescent="0.25">
      <c r="A376"/>
      <c r="B376"/>
      <c r="C376"/>
      <c r="D376"/>
      <c r="E376"/>
      <c r="F376"/>
      <c r="G376"/>
      <c r="H376" s="13"/>
      <c r="I376" s="13"/>
      <c r="J376"/>
      <c r="K376"/>
      <c r="L376"/>
      <c r="M376"/>
      <c r="N376"/>
      <c r="O376"/>
      <c r="P376"/>
      <c r="Q376"/>
      <c r="R376"/>
      <c r="S376"/>
      <c r="T376"/>
      <c r="U376" s="27"/>
      <c r="V376" s="14"/>
      <c r="W376" s="27"/>
      <c r="X376" s="27"/>
      <c r="Y376" s="27"/>
      <c r="Z376" s="27"/>
      <c r="AA376"/>
      <c r="AB376"/>
      <c r="AC376" s="27"/>
      <c r="AD376"/>
      <c r="AE376" s="27"/>
      <c r="AF376" s="27"/>
      <c r="AG376" s="28"/>
      <c r="AH376" s="15"/>
      <c r="AI376" s="15"/>
      <c r="AJ376"/>
      <c r="AK376" s="27"/>
      <c r="AL376"/>
      <c r="AM376"/>
      <c r="AN376"/>
      <c r="AO376" s="27"/>
      <c r="AP376" s="27"/>
      <c r="AQ376" s="15"/>
      <c r="AR376"/>
      <c r="AS376" s="27"/>
      <c r="AT376"/>
      <c r="AU376"/>
      <c r="AV376"/>
      <c r="AW376" s="13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</row>
    <row r="377" spans="1:65" s="6" customFormat="1" x14ac:dyDescent="0.25">
      <c r="A377"/>
      <c r="B377"/>
      <c r="C377"/>
      <c r="D377"/>
      <c r="E377"/>
      <c r="F377"/>
      <c r="G377"/>
      <c r="H377" s="13"/>
      <c r="I377" s="13"/>
      <c r="J377"/>
      <c r="K377"/>
      <c r="L377"/>
      <c r="M377"/>
      <c r="N377"/>
      <c r="O377"/>
      <c r="P377"/>
      <c r="Q377"/>
      <c r="R377"/>
      <c r="S377"/>
      <c r="T377"/>
      <c r="U377" s="27"/>
      <c r="V377" s="14"/>
      <c r="W377" s="27"/>
      <c r="X377" s="27"/>
      <c r="Y377" s="27"/>
      <c r="Z377" s="27"/>
      <c r="AA377"/>
      <c r="AB377"/>
      <c r="AC377" s="27"/>
      <c r="AD377"/>
      <c r="AE377" s="27"/>
      <c r="AF377" s="27"/>
      <c r="AG377" s="28"/>
      <c r="AH377" s="15"/>
      <c r="AI377" s="15"/>
      <c r="AJ377"/>
      <c r="AK377" s="27"/>
      <c r="AL377"/>
      <c r="AM377"/>
      <c r="AN377"/>
      <c r="AO377" s="27"/>
      <c r="AP377" s="27"/>
      <c r="AQ377" s="15"/>
      <c r="AR377"/>
      <c r="AS377" s="27"/>
      <c r="AT377"/>
      <c r="AU377"/>
      <c r="AV377"/>
      <c r="AW377" s="13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</row>
    <row r="378" spans="1:65" s="6" customFormat="1" x14ac:dyDescent="0.25">
      <c r="F378" s="21"/>
      <c r="G378" s="10"/>
      <c r="H378" s="7"/>
      <c r="I378" s="13"/>
      <c r="U378" s="16"/>
      <c r="W378" s="16"/>
      <c r="X378" s="16"/>
      <c r="Y378" s="16"/>
      <c r="Z378" s="16"/>
      <c r="AC378" s="16"/>
      <c r="AE378" s="16"/>
      <c r="AF378" s="22"/>
      <c r="AG378" s="18"/>
      <c r="AH378" s="7"/>
      <c r="AI378" s="7"/>
      <c r="AK378" s="16"/>
      <c r="AO378" s="23"/>
      <c r="AP378" s="17"/>
      <c r="AQ378" s="7"/>
      <c r="AR378"/>
      <c r="AS378" s="17"/>
      <c r="AW378" s="7"/>
      <c r="BB378" s="24"/>
      <c r="BC378"/>
      <c r="BG378"/>
    </row>
    <row r="379" spans="1:65" s="6" customFormat="1" x14ac:dyDescent="0.25">
      <c r="A379"/>
      <c r="B379"/>
      <c r="C379"/>
      <c r="D379"/>
      <c r="E379"/>
      <c r="F379"/>
      <c r="G379"/>
      <c r="H379" s="13"/>
      <c r="I379" s="7"/>
      <c r="J379"/>
      <c r="K379"/>
      <c r="L379"/>
      <c r="M379"/>
      <c r="N379"/>
      <c r="O379"/>
      <c r="P379"/>
      <c r="Q379"/>
      <c r="R379"/>
      <c r="S379"/>
      <c r="T379"/>
      <c r="U379" s="27"/>
      <c r="V379" s="14"/>
      <c r="W379" s="27"/>
      <c r="X379" s="27"/>
      <c r="Y379" s="27"/>
      <c r="Z379" s="27"/>
      <c r="AA379"/>
      <c r="AB379"/>
      <c r="AC379" s="27"/>
      <c r="AD379"/>
      <c r="AE379" s="27"/>
      <c r="AF379" s="27"/>
      <c r="AG379" s="28"/>
      <c r="AH379" s="7"/>
      <c r="AI379" s="15"/>
      <c r="AJ379"/>
      <c r="AK379" s="27"/>
      <c r="AL379"/>
      <c r="AM379"/>
      <c r="AN379"/>
      <c r="AO379" s="27"/>
      <c r="AP379" s="27"/>
      <c r="AQ379" s="15"/>
      <c r="AR379"/>
      <c r="AS379" s="27"/>
      <c r="AT379"/>
      <c r="AU379"/>
      <c r="AW379" s="7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</row>
    <row r="380" spans="1:65" s="6" customFormat="1" x14ac:dyDescent="0.25">
      <c r="F380" s="21"/>
      <c r="G380" s="10"/>
      <c r="H380" s="7"/>
      <c r="I380" s="13"/>
      <c r="U380" s="16"/>
      <c r="W380" s="16"/>
      <c r="X380" s="16"/>
      <c r="Y380" s="16"/>
      <c r="Z380" s="16"/>
      <c r="AC380" s="16"/>
      <c r="AE380" s="16"/>
      <c r="AF380" s="22"/>
      <c r="AG380" s="18"/>
      <c r="AH380" s="7"/>
      <c r="AI380" s="7"/>
      <c r="AK380" s="16"/>
      <c r="AO380" s="23"/>
      <c r="AP380" s="17"/>
      <c r="AQ380" s="7"/>
      <c r="AR380"/>
      <c r="AS380" s="17"/>
      <c r="AV380"/>
      <c r="AW380" s="7"/>
      <c r="BB380" s="24"/>
      <c r="BC380"/>
      <c r="BG380"/>
    </row>
    <row r="381" spans="1:65" s="6" customFormat="1" x14ac:dyDescent="0.25">
      <c r="A381"/>
      <c r="B381"/>
      <c r="C381"/>
      <c r="D381"/>
      <c r="E381"/>
      <c r="F381"/>
      <c r="G381"/>
      <c r="H381" s="13"/>
      <c r="I381" s="13"/>
      <c r="J381"/>
      <c r="K381"/>
      <c r="L381"/>
      <c r="M381"/>
      <c r="N381"/>
      <c r="O381"/>
      <c r="P381"/>
      <c r="Q381"/>
      <c r="R381"/>
      <c r="S381"/>
      <c r="T381"/>
      <c r="U381" s="27"/>
      <c r="V381" s="14"/>
      <c r="W381" s="27"/>
      <c r="X381" s="27"/>
      <c r="Y381" s="27"/>
      <c r="Z381" s="27"/>
      <c r="AA381"/>
      <c r="AB381"/>
      <c r="AC381" s="27"/>
      <c r="AD381"/>
      <c r="AE381" s="27"/>
      <c r="AF381" s="27"/>
      <c r="AG381" s="28"/>
      <c r="AH381" s="15"/>
      <c r="AI381" s="15"/>
      <c r="AJ381"/>
      <c r="AK381" s="27"/>
      <c r="AL381"/>
      <c r="AM381"/>
      <c r="AN381"/>
      <c r="AO381" s="27"/>
      <c r="AP381" s="27"/>
      <c r="AQ381" s="15"/>
      <c r="AR381"/>
      <c r="AS381" s="27"/>
      <c r="AT381"/>
      <c r="AU381"/>
      <c r="AW381" s="13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</row>
    <row r="382" spans="1:65" s="6" customFormat="1" x14ac:dyDescent="0.25">
      <c r="A382"/>
      <c r="B382"/>
      <c r="C382"/>
      <c r="D382"/>
      <c r="E382"/>
      <c r="F382"/>
      <c r="G382"/>
      <c r="H382" s="13"/>
      <c r="I382" s="7"/>
      <c r="J382"/>
      <c r="K382"/>
      <c r="L382"/>
      <c r="M382"/>
      <c r="N382"/>
      <c r="O382"/>
      <c r="P382"/>
      <c r="Q382"/>
      <c r="R382"/>
      <c r="S382"/>
      <c r="T382"/>
      <c r="U382" s="27"/>
      <c r="V382" s="14"/>
      <c r="W382" s="27"/>
      <c r="X382" s="27"/>
      <c r="Y382" s="27"/>
      <c r="Z382" s="27"/>
      <c r="AA382"/>
      <c r="AB382"/>
      <c r="AC382" s="27"/>
      <c r="AD382"/>
      <c r="AE382" s="27"/>
      <c r="AF382" s="27"/>
      <c r="AG382" s="28"/>
      <c r="AH382" s="7"/>
      <c r="AI382" s="15"/>
      <c r="AJ382"/>
      <c r="AK382" s="27"/>
      <c r="AL382"/>
      <c r="AM382"/>
      <c r="AN382"/>
      <c r="AO382" s="27"/>
      <c r="AP382" s="27"/>
      <c r="AQ382" s="15"/>
      <c r="AR382"/>
      <c r="AS382" s="27"/>
      <c r="AT382"/>
      <c r="AU382"/>
      <c r="AW382" s="13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</row>
    <row r="383" spans="1:65" s="6" customFormat="1" x14ac:dyDescent="0.25">
      <c r="F383" s="21"/>
      <c r="G383" s="10"/>
      <c r="H383" s="7"/>
      <c r="I383" s="13"/>
      <c r="U383" s="16"/>
      <c r="W383" s="16"/>
      <c r="X383" s="16"/>
      <c r="Y383" s="16"/>
      <c r="Z383" s="16"/>
      <c r="AC383" s="16"/>
      <c r="AE383" s="16"/>
      <c r="AF383" s="22"/>
      <c r="AG383" s="18"/>
      <c r="AH383" s="7"/>
      <c r="AI383" s="7"/>
      <c r="AK383" s="16"/>
      <c r="AO383" s="23"/>
      <c r="AP383" s="17"/>
      <c r="AQ383" s="7"/>
      <c r="AR383"/>
      <c r="AS383" s="17"/>
      <c r="AV383"/>
      <c r="AW383" s="7"/>
      <c r="BB383" s="24"/>
      <c r="BC383"/>
      <c r="BG383"/>
    </row>
    <row r="384" spans="1:65" s="6" customFormat="1" x14ac:dyDescent="0.25">
      <c r="F384" s="21"/>
      <c r="G384" s="10"/>
      <c r="H384" s="7"/>
      <c r="I384" s="13"/>
      <c r="U384" s="16"/>
      <c r="W384" s="16"/>
      <c r="X384" s="16"/>
      <c r="Y384" s="16"/>
      <c r="Z384" s="16"/>
      <c r="AC384" s="16"/>
      <c r="AE384" s="16"/>
      <c r="AF384" s="22"/>
      <c r="AG384" s="18"/>
      <c r="AH384" s="7"/>
      <c r="AI384" s="7"/>
      <c r="AK384" s="16"/>
      <c r="AO384" s="23"/>
      <c r="AP384" s="17"/>
      <c r="AQ384" s="7"/>
      <c r="AR384"/>
      <c r="AS384" s="17"/>
      <c r="AW384" s="7"/>
      <c r="BB384" s="24"/>
      <c r="BC384"/>
      <c r="BG384"/>
    </row>
    <row r="385" spans="1:65" s="6" customFormat="1" x14ac:dyDescent="0.25">
      <c r="A385"/>
      <c r="B385"/>
      <c r="C385"/>
      <c r="D385"/>
      <c r="E385"/>
      <c r="F385"/>
      <c r="G385"/>
      <c r="H385" s="13"/>
      <c r="I385" s="13"/>
      <c r="J385"/>
      <c r="K385"/>
      <c r="L385"/>
      <c r="M385"/>
      <c r="N385"/>
      <c r="O385"/>
      <c r="P385"/>
      <c r="Q385"/>
      <c r="R385"/>
      <c r="S385"/>
      <c r="T385"/>
      <c r="U385" s="27"/>
      <c r="V385" s="14"/>
      <c r="W385" s="27"/>
      <c r="X385" s="27"/>
      <c r="Y385" s="27"/>
      <c r="Z385" s="27"/>
      <c r="AA385"/>
      <c r="AB385"/>
      <c r="AC385" s="27"/>
      <c r="AD385"/>
      <c r="AE385" s="27"/>
      <c r="AF385" s="27"/>
      <c r="AG385" s="28"/>
      <c r="AH385" s="15"/>
      <c r="AI385" s="15"/>
      <c r="AJ385"/>
      <c r="AK385" s="27"/>
      <c r="AL385"/>
      <c r="AM385"/>
      <c r="AN385"/>
      <c r="AO385" s="27"/>
      <c r="AP385" s="27"/>
      <c r="AQ385" s="15"/>
      <c r="AR385"/>
      <c r="AS385" s="27"/>
      <c r="AT385"/>
      <c r="AU385"/>
      <c r="AV385"/>
      <c r="AW385" s="13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</row>
    <row r="386" spans="1:65" s="6" customFormat="1" x14ac:dyDescent="0.25">
      <c r="A386"/>
      <c r="B386"/>
      <c r="C386"/>
      <c r="D386"/>
      <c r="E386"/>
      <c r="F386"/>
      <c r="G386"/>
      <c r="H386" s="13"/>
      <c r="I386" s="13"/>
      <c r="J386"/>
      <c r="K386"/>
      <c r="L386"/>
      <c r="M386"/>
      <c r="N386"/>
      <c r="O386"/>
      <c r="P386"/>
      <c r="Q386"/>
      <c r="R386"/>
      <c r="S386"/>
      <c r="T386"/>
      <c r="U386" s="27"/>
      <c r="V386" s="14"/>
      <c r="W386" s="27"/>
      <c r="X386" s="27"/>
      <c r="Y386" s="27"/>
      <c r="Z386" s="27"/>
      <c r="AA386"/>
      <c r="AB386"/>
      <c r="AC386" s="27"/>
      <c r="AD386"/>
      <c r="AE386" s="27"/>
      <c r="AF386" s="27"/>
      <c r="AG386" s="28"/>
      <c r="AH386" s="15"/>
      <c r="AI386" s="15"/>
      <c r="AJ386"/>
      <c r="AK386" s="27"/>
      <c r="AL386"/>
      <c r="AM386"/>
      <c r="AN386"/>
      <c r="AO386" s="27"/>
      <c r="AP386" s="27"/>
      <c r="AQ386" s="15"/>
      <c r="AR386"/>
      <c r="AS386" s="27"/>
      <c r="AT386"/>
      <c r="AU386"/>
      <c r="AV386"/>
      <c r="AW386" s="13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</row>
    <row r="387" spans="1:65" s="6" customFormat="1" x14ac:dyDescent="0.25">
      <c r="F387" s="21"/>
      <c r="G387" s="10"/>
      <c r="H387" s="7"/>
      <c r="I387" s="13"/>
      <c r="U387" s="16"/>
      <c r="W387" s="16"/>
      <c r="X387" s="16"/>
      <c r="Y387" s="16"/>
      <c r="Z387" s="16"/>
      <c r="AC387" s="16"/>
      <c r="AE387" s="16"/>
      <c r="AF387" s="22"/>
      <c r="AG387" s="18"/>
      <c r="AH387" s="7"/>
      <c r="AI387" s="7"/>
      <c r="AK387" s="16"/>
      <c r="AO387" s="23"/>
      <c r="AP387" s="17"/>
      <c r="AQ387" s="7"/>
      <c r="AR387"/>
      <c r="AS387" s="17"/>
      <c r="AW387" s="7"/>
      <c r="BB387" s="24"/>
      <c r="BC387"/>
      <c r="BG387"/>
    </row>
    <row r="388" spans="1:65" s="6" customFormat="1" x14ac:dyDescent="0.25">
      <c r="A388"/>
      <c r="B388"/>
      <c r="C388"/>
      <c r="D388"/>
      <c r="E388"/>
      <c r="F388"/>
      <c r="G388"/>
      <c r="H388" s="13"/>
      <c r="I388" s="7"/>
      <c r="J388"/>
      <c r="K388"/>
      <c r="L388"/>
      <c r="M388"/>
      <c r="N388"/>
      <c r="O388"/>
      <c r="P388"/>
      <c r="Q388"/>
      <c r="R388"/>
      <c r="S388"/>
      <c r="T388"/>
      <c r="U388" s="27"/>
      <c r="V388" s="14"/>
      <c r="W388" s="27"/>
      <c r="X388" s="27"/>
      <c r="Y388" s="27"/>
      <c r="Z388" s="27"/>
      <c r="AA388"/>
      <c r="AB388"/>
      <c r="AC388" s="27"/>
      <c r="AD388"/>
      <c r="AE388" s="27"/>
      <c r="AF388" s="27"/>
      <c r="AG388" s="28"/>
      <c r="AH388" s="7"/>
      <c r="AI388" s="15"/>
      <c r="AJ388"/>
      <c r="AK388" s="27"/>
      <c r="AL388"/>
      <c r="AM388"/>
      <c r="AN388"/>
      <c r="AO388" s="27"/>
      <c r="AP388" s="27"/>
      <c r="AQ388" s="15"/>
      <c r="AR388"/>
      <c r="AS388" s="27"/>
      <c r="AT388"/>
      <c r="AU388"/>
      <c r="AW388" s="13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</row>
    <row r="389" spans="1:65" s="6" customFormat="1" x14ac:dyDescent="0.25">
      <c r="F389" s="21"/>
      <c r="G389" s="10"/>
      <c r="H389" s="7"/>
      <c r="I389" s="13"/>
      <c r="U389" s="16"/>
      <c r="W389" s="16"/>
      <c r="X389" s="16"/>
      <c r="Y389" s="16"/>
      <c r="Z389" s="16"/>
      <c r="AC389" s="16"/>
      <c r="AE389" s="16"/>
      <c r="AF389" s="22"/>
      <c r="AG389" s="18"/>
      <c r="AH389" s="7"/>
      <c r="AI389" s="7"/>
      <c r="AK389" s="16"/>
      <c r="AO389" s="23"/>
      <c r="AP389" s="17"/>
      <c r="AQ389" s="7"/>
      <c r="AR389"/>
      <c r="AS389" s="17"/>
      <c r="AV389"/>
      <c r="AW389" s="7"/>
      <c r="BB389" s="24"/>
      <c r="BC389"/>
      <c r="BG389"/>
    </row>
    <row r="390" spans="1:65" s="6" customFormat="1" x14ac:dyDescent="0.25">
      <c r="A390"/>
      <c r="B390"/>
      <c r="C390"/>
      <c r="D390"/>
      <c r="E390"/>
      <c r="F390"/>
      <c r="G390"/>
      <c r="H390" s="13"/>
      <c r="I390" s="13"/>
      <c r="J390"/>
      <c r="K390"/>
      <c r="L390"/>
      <c r="M390"/>
      <c r="N390"/>
      <c r="O390"/>
      <c r="P390"/>
      <c r="Q390"/>
      <c r="R390"/>
      <c r="S390"/>
      <c r="T390"/>
      <c r="U390" s="27"/>
      <c r="V390" s="14"/>
      <c r="W390" s="27"/>
      <c r="X390" s="27"/>
      <c r="Y390" s="27"/>
      <c r="Z390" s="27"/>
      <c r="AA390"/>
      <c r="AB390"/>
      <c r="AC390" s="27"/>
      <c r="AD390"/>
      <c r="AE390" s="27"/>
      <c r="AF390" s="27"/>
      <c r="AG390" s="28"/>
      <c r="AH390" s="15"/>
      <c r="AI390" s="15"/>
      <c r="AJ390"/>
      <c r="AK390" s="27"/>
      <c r="AL390"/>
      <c r="AM390"/>
      <c r="AN390"/>
      <c r="AO390" s="27"/>
      <c r="AP390" s="27"/>
      <c r="AQ390" s="15"/>
      <c r="AR390"/>
      <c r="AS390" s="27"/>
      <c r="AT390"/>
      <c r="AU390"/>
      <c r="AW390" s="13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</row>
    <row r="391" spans="1:65" s="6" customFormat="1" x14ac:dyDescent="0.25">
      <c r="A391"/>
      <c r="B391"/>
      <c r="C391"/>
      <c r="D391"/>
      <c r="E391"/>
      <c r="F391"/>
      <c r="G391"/>
      <c r="H391" s="13"/>
      <c r="I391" s="7"/>
      <c r="J391"/>
      <c r="K391"/>
      <c r="L391"/>
      <c r="M391"/>
      <c r="N391"/>
      <c r="O391"/>
      <c r="P391"/>
      <c r="Q391"/>
      <c r="R391"/>
      <c r="S391"/>
      <c r="T391"/>
      <c r="U391" s="27"/>
      <c r="V391" s="14"/>
      <c r="W391" s="27"/>
      <c r="X391" s="27"/>
      <c r="Y391" s="27"/>
      <c r="Z391" s="27"/>
      <c r="AA391"/>
      <c r="AB391"/>
      <c r="AC391" s="27"/>
      <c r="AD391"/>
      <c r="AE391" s="27"/>
      <c r="AF391" s="27"/>
      <c r="AG391" s="28"/>
      <c r="AH391" s="7"/>
      <c r="AI391" s="15"/>
      <c r="AJ391"/>
      <c r="AK391" s="27"/>
      <c r="AL391"/>
      <c r="AM391"/>
      <c r="AN391"/>
      <c r="AO391" s="27"/>
      <c r="AP391" s="27"/>
      <c r="AQ391" s="15"/>
      <c r="AR391"/>
      <c r="AS391" s="27"/>
      <c r="AT391"/>
      <c r="AU391"/>
      <c r="AW391" s="13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</row>
    <row r="392" spans="1:65" s="6" customFormat="1" x14ac:dyDescent="0.25">
      <c r="F392" s="21"/>
      <c r="G392" s="10"/>
      <c r="H392" s="7"/>
      <c r="I392" s="13"/>
      <c r="U392" s="16"/>
      <c r="W392" s="16"/>
      <c r="X392" s="16"/>
      <c r="Y392" s="16"/>
      <c r="Z392" s="16"/>
      <c r="AC392" s="16"/>
      <c r="AE392" s="16"/>
      <c r="AF392" s="22"/>
      <c r="AG392" s="18"/>
      <c r="AH392" s="7"/>
      <c r="AI392" s="7"/>
      <c r="AK392" s="16"/>
      <c r="AO392" s="23"/>
      <c r="AP392" s="17"/>
      <c r="AQ392" s="7"/>
      <c r="AR392"/>
      <c r="AS392" s="17"/>
      <c r="AV392"/>
      <c r="AW392" s="7"/>
      <c r="BB392" s="24"/>
      <c r="BC392"/>
      <c r="BG392"/>
    </row>
    <row r="393" spans="1:65" s="6" customFormat="1" x14ac:dyDescent="0.25">
      <c r="F393" s="21"/>
      <c r="G393" s="10"/>
      <c r="H393" s="7"/>
      <c r="I393" s="13"/>
      <c r="U393" s="16"/>
      <c r="W393" s="16"/>
      <c r="X393" s="16"/>
      <c r="Y393" s="16"/>
      <c r="Z393" s="16"/>
      <c r="AC393" s="16"/>
      <c r="AE393" s="16"/>
      <c r="AF393" s="22"/>
      <c r="AG393" s="18"/>
      <c r="AH393" s="7"/>
      <c r="AI393" s="7"/>
      <c r="AK393" s="16"/>
      <c r="AO393" s="23"/>
      <c r="AP393" s="17"/>
      <c r="AQ393" s="7"/>
      <c r="AR393"/>
      <c r="AS393" s="17"/>
      <c r="AW393" s="7"/>
      <c r="BB393" s="24"/>
      <c r="BC393"/>
      <c r="BG393"/>
    </row>
    <row r="394" spans="1:65" s="6" customFormat="1" x14ac:dyDescent="0.25">
      <c r="A394"/>
      <c r="B394"/>
      <c r="C394"/>
      <c r="D394"/>
      <c r="E394"/>
      <c r="F394"/>
      <c r="G394"/>
      <c r="H394" s="13"/>
      <c r="I394" s="13"/>
      <c r="J394"/>
      <c r="K394"/>
      <c r="L394"/>
      <c r="M394"/>
      <c r="N394"/>
      <c r="O394"/>
      <c r="P394"/>
      <c r="Q394"/>
      <c r="R394"/>
      <c r="S394"/>
      <c r="T394"/>
      <c r="U394" s="27"/>
      <c r="V394" s="14"/>
      <c r="W394" s="27"/>
      <c r="X394" s="27"/>
      <c r="Y394" s="27"/>
      <c r="Z394" s="27"/>
      <c r="AA394"/>
      <c r="AB394"/>
      <c r="AC394" s="27"/>
      <c r="AD394"/>
      <c r="AE394" s="27"/>
      <c r="AF394" s="27"/>
      <c r="AG394" s="28"/>
      <c r="AH394" s="15"/>
      <c r="AI394" s="15"/>
      <c r="AJ394"/>
      <c r="AK394" s="27"/>
      <c r="AL394"/>
      <c r="AM394"/>
      <c r="AN394"/>
      <c r="AO394" s="27"/>
      <c r="AP394" s="27"/>
      <c r="AQ394" s="15"/>
      <c r="AR394"/>
      <c r="AS394" s="27"/>
      <c r="AT394"/>
      <c r="AU394"/>
      <c r="AV394"/>
      <c r="AW394" s="13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</row>
    <row r="395" spans="1:65" s="6" customFormat="1" x14ac:dyDescent="0.25">
      <c r="A395"/>
      <c r="B395"/>
      <c r="C395"/>
      <c r="D395"/>
      <c r="E395"/>
      <c r="F395"/>
      <c r="G395"/>
      <c r="H395" s="13"/>
      <c r="I395" s="13"/>
      <c r="J395"/>
      <c r="K395"/>
      <c r="L395"/>
      <c r="M395"/>
      <c r="N395"/>
      <c r="O395"/>
      <c r="P395"/>
      <c r="Q395"/>
      <c r="R395"/>
      <c r="S395"/>
      <c r="T395"/>
      <c r="U395" s="27"/>
      <c r="V395" s="14"/>
      <c r="W395" s="27"/>
      <c r="X395" s="27"/>
      <c r="Y395" s="27"/>
      <c r="Z395" s="27"/>
      <c r="AA395"/>
      <c r="AB395"/>
      <c r="AC395" s="27"/>
      <c r="AD395"/>
      <c r="AE395" s="27"/>
      <c r="AF395" s="27"/>
      <c r="AG395" s="28"/>
      <c r="AH395" s="15"/>
      <c r="AI395" s="15"/>
      <c r="AJ395"/>
      <c r="AK395" s="27"/>
      <c r="AL395"/>
      <c r="AM395"/>
      <c r="AN395"/>
      <c r="AO395" s="27"/>
      <c r="AP395" s="27"/>
      <c r="AQ395" s="15"/>
      <c r="AR395"/>
      <c r="AS395" s="27"/>
      <c r="AT395"/>
      <c r="AU395"/>
      <c r="AV395"/>
      <c r="AW395" s="13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</row>
    <row r="396" spans="1:65" s="6" customFormat="1" x14ac:dyDescent="0.25">
      <c r="F396" s="21"/>
      <c r="G396" s="10"/>
      <c r="H396" s="7"/>
      <c r="I396" s="13"/>
      <c r="U396" s="16"/>
      <c r="W396" s="16"/>
      <c r="X396" s="16"/>
      <c r="Y396" s="16"/>
      <c r="Z396" s="16"/>
      <c r="AC396" s="16"/>
      <c r="AE396" s="16"/>
      <c r="AF396" s="22"/>
      <c r="AG396" s="18"/>
      <c r="AH396" s="7"/>
      <c r="AI396" s="7"/>
      <c r="AK396" s="16"/>
      <c r="AO396" s="23"/>
      <c r="AP396" s="17"/>
      <c r="AQ396" s="7"/>
      <c r="AR396"/>
      <c r="AS396" s="17"/>
      <c r="AW396" s="7"/>
      <c r="BB396" s="24"/>
      <c r="BC396"/>
      <c r="BG396"/>
    </row>
    <row r="397" spans="1:65" s="6" customFormat="1" x14ac:dyDescent="0.25">
      <c r="A397"/>
      <c r="B397"/>
      <c r="C397"/>
      <c r="D397"/>
      <c r="E397"/>
      <c r="F397"/>
      <c r="G397"/>
      <c r="H397" s="13"/>
      <c r="I397" s="7"/>
      <c r="J397"/>
      <c r="K397"/>
      <c r="L397"/>
      <c r="M397"/>
      <c r="N397"/>
      <c r="O397"/>
      <c r="P397"/>
      <c r="Q397"/>
      <c r="R397"/>
      <c r="S397"/>
      <c r="T397"/>
      <c r="U397" s="27"/>
      <c r="V397" s="14"/>
      <c r="W397" s="27"/>
      <c r="X397" s="27"/>
      <c r="Y397" s="27"/>
      <c r="Z397" s="27"/>
      <c r="AA397"/>
      <c r="AB397"/>
      <c r="AC397" s="27"/>
      <c r="AD397"/>
      <c r="AE397" s="27"/>
      <c r="AF397" s="27"/>
      <c r="AG397" s="28"/>
      <c r="AH397" s="7"/>
      <c r="AI397" s="15"/>
      <c r="AJ397"/>
      <c r="AK397" s="27"/>
      <c r="AL397"/>
      <c r="AM397"/>
      <c r="AN397"/>
      <c r="AO397" s="27"/>
      <c r="AP397" s="27"/>
      <c r="AQ397" s="15"/>
      <c r="AR397"/>
      <c r="AS397" s="27"/>
      <c r="AT397"/>
      <c r="AU397"/>
      <c r="AW397" s="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</row>
    <row r="398" spans="1:65" s="6" customFormat="1" x14ac:dyDescent="0.25">
      <c r="F398" s="21"/>
      <c r="G398" s="10"/>
      <c r="H398" s="7"/>
      <c r="I398" s="13"/>
      <c r="U398" s="16"/>
      <c r="W398" s="16"/>
      <c r="X398" s="16"/>
      <c r="Y398" s="16"/>
      <c r="Z398" s="16"/>
      <c r="AC398" s="16"/>
      <c r="AE398" s="16"/>
      <c r="AF398" s="22"/>
      <c r="AG398" s="18"/>
      <c r="AH398" s="7"/>
      <c r="AI398" s="7"/>
      <c r="AK398" s="16"/>
      <c r="AO398" s="23"/>
      <c r="AP398" s="17"/>
      <c r="AQ398" s="7"/>
      <c r="AR398"/>
      <c r="AS398" s="17"/>
      <c r="AV398"/>
      <c r="AW398" s="7"/>
      <c r="BB398" s="24"/>
      <c r="BC398"/>
      <c r="BG398"/>
    </row>
    <row r="399" spans="1:65" s="6" customFormat="1" x14ac:dyDescent="0.25">
      <c r="A399"/>
      <c r="B399"/>
      <c r="C399"/>
      <c r="D399"/>
      <c r="E399"/>
      <c r="F399"/>
      <c r="G399"/>
      <c r="H399" s="13"/>
      <c r="I399" s="13"/>
      <c r="J399"/>
      <c r="K399"/>
      <c r="L399"/>
      <c r="M399"/>
      <c r="N399"/>
      <c r="O399"/>
      <c r="P399"/>
      <c r="Q399"/>
      <c r="R399"/>
      <c r="S399"/>
      <c r="T399"/>
      <c r="U399" s="27"/>
      <c r="V399" s="14"/>
      <c r="W399" s="27"/>
      <c r="X399" s="27"/>
      <c r="Y399" s="27"/>
      <c r="Z399" s="27"/>
      <c r="AA399"/>
      <c r="AB399"/>
      <c r="AC399" s="27"/>
      <c r="AD399"/>
      <c r="AE399" s="27"/>
      <c r="AF399" s="27"/>
      <c r="AG399" s="28"/>
      <c r="AH399" s="15"/>
      <c r="AI399" s="15"/>
      <c r="AJ399"/>
      <c r="AK399" s="27"/>
      <c r="AL399"/>
      <c r="AM399"/>
      <c r="AN399"/>
      <c r="AO399" s="27"/>
      <c r="AP399" s="27"/>
      <c r="AQ399" s="15"/>
      <c r="AR399"/>
      <c r="AS399" s="27"/>
      <c r="AT399"/>
      <c r="AU399"/>
      <c r="AW399" s="13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</row>
    <row r="400" spans="1:65" s="6" customFormat="1" x14ac:dyDescent="0.25">
      <c r="A400"/>
      <c r="B400"/>
      <c r="C400"/>
      <c r="D400"/>
      <c r="E400"/>
      <c r="F400"/>
      <c r="G400"/>
      <c r="H400" s="13"/>
      <c r="I400" s="7"/>
      <c r="J400"/>
      <c r="K400"/>
      <c r="L400"/>
      <c r="M400"/>
      <c r="N400"/>
      <c r="O400"/>
      <c r="P400"/>
      <c r="Q400"/>
      <c r="R400"/>
      <c r="S400"/>
      <c r="T400"/>
      <c r="U400" s="27"/>
      <c r="V400" s="14"/>
      <c r="W400" s="27"/>
      <c r="X400" s="27"/>
      <c r="Y400" s="27"/>
      <c r="Z400" s="27"/>
      <c r="AA400"/>
      <c r="AB400"/>
      <c r="AC400" s="27"/>
      <c r="AD400"/>
      <c r="AE400" s="27"/>
      <c r="AF400" s="27"/>
      <c r="AG400" s="28"/>
      <c r="AH400" s="7"/>
      <c r="AI400" s="15"/>
      <c r="AJ400"/>
      <c r="AK400" s="27"/>
      <c r="AL400"/>
      <c r="AM400"/>
      <c r="AN400"/>
      <c r="AO400" s="27"/>
      <c r="AP400" s="27"/>
      <c r="AQ400" s="15"/>
      <c r="AR400"/>
      <c r="AS400" s="27"/>
      <c r="AT400"/>
      <c r="AU400"/>
      <c r="AW400" s="13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</row>
    <row r="401" spans="1:65" s="6" customFormat="1" x14ac:dyDescent="0.25">
      <c r="F401" s="21"/>
      <c r="G401" s="10"/>
      <c r="H401" s="7"/>
      <c r="I401" s="13"/>
      <c r="U401" s="16"/>
      <c r="W401" s="16"/>
      <c r="X401" s="16"/>
      <c r="Y401" s="16"/>
      <c r="Z401" s="16"/>
      <c r="AC401" s="16"/>
      <c r="AE401" s="16"/>
      <c r="AF401" s="22"/>
      <c r="AG401" s="18"/>
      <c r="AH401" s="7"/>
      <c r="AI401" s="7"/>
      <c r="AK401" s="16"/>
      <c r="AO401" s="23"/>
      <c r="AP401" s="17"/>
      <c r="AQ401" s="7"/>
      <c r="AR401"/>
      <c r="AS401" s="17"/>
      <c r="AV401"/>
      <c r="AW401" s="7"/>
      <c r="BB401" s="24"/>
      <c r="BC401"/>
      <c r="BG401"/>
    </row>
    <row r="402" spans="1:65" s="6" customFormat="1" x14ac:dyDescent="0.25">
      <c r="F402" s="21"/>
      <c r="G402" s="10"/>
      <c r="H402" s="7"/>
      <c r="I402" s="13"/>
      <c r="U402" s="16"/>
      <c r="W402" s="16"/>
      <c r="X402" s="16"/>
      <c r="Y402" s="16"/>
      <c r="Z402" s="16"/>
      <c r="AC402" s="16"/>
      <c r="AE402" s="16"/>
      <c r="AF402" s="22"/>
      <c r="AG402" s="18"/>
      <c r="AH402" s="7"/>
      <c r="AI402" s="7"/>
      <c r="AK402" s="16"/>
      <c r="AO402" s="23"/>
      <c r="AP402" s="17"/>
      <c r="AQ402" s="7"/>
      <c r="AR402"/>
      <c r="AS402" s="17"/>
      <c r="AW402" s="7"/>
      <c r="BB402" s="24"/>
      <c r="BC402"/>
      <c r="BG402"/>
    </row>
    <row r="403" spans="1:65" s="6" customFormat="1" x14ac:dyDescent="0.25">
      <c r="A403"/>
      <c r="B403"/>
      <c r="C403"/>
      <c r="D403"/>
      <c r="E403"/>
      <c r="F403"/>
      <c r="G403"/>
      <c r="H403" s="13"/>
      <c r="I403" s="13"/>
      <c r="J403"/>
      <c r="K403"/>
      <c r="L403"/>
      <c r="M403"/>
      <c r="N403"/>
      <c r="O403"/>
      <c r="P403"/>
      <c r="Q403"/>
      <c r="R403"/>
      <c r="S403"/>
      <c r="T403"/>
      <c r="U403" s="27"/>
      <c r="V403" s="14"/>
      <c r="W403" s="27"/>
      <c r="X403" s="27"/>
      <c r="Y403" s="27"/>
      <c r="Z403" s="27"/>
      <c r="AA403"/>
      <c r="AB403"/>
      <c r="AC403" s="27"/>
      <c r="AD403"/>
      <c r="AE403" s="27"/>
      <c r="AF403" s="27"/>
      <c r="AG403" s="28"/>
      <c r="AH403" s="15"/>
      <c r="AI403" s="15"/>
      <c r="AJ403"/>
      <c r="AK403" s="27"/>
      <c r="AL403"/>
      <c r="AM403"/>
      <c r="AN403"/>
      <c r="AO403" s="27"/>
      <c r="AP403" s="27"/>
      <c r="AQ403" s="15"/>
      <c r="AR403"/>
      <c r="AS403" s="27"/>
      <c r="AT403"/>
      <c r="AU403"/>
      <c r="AV403"/>
      <c r="AW403" s="1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</row>
    <row r="404" spans="1:65" s="6" customFormat="1" x14ac:dyDescent="0.25">
      <c r="A404"/>
      <c r="B404"/>
      <c r="C404"/>
      <c r="D404"/>
      <c r="E404"/>
      <c r="F404"/>
      <c r="G404"/>
      <c r="H404" s="13"/>
      <c r="I404" s="13"/>
      <c r="J404"/>
      <c r="K404"/>
      <c r="L404"/>
      <c r="M404"/>
      <c r="N404"/>
      <c r="O404"/>
      <c r="P404"/>
      <c r="Q404"/>
      <c r="R404"/>
      <c r="S404"/>
      <c r="T404"/>
      <c r="U404" s="27"/>
      <c r="V404" s="14"/>
      <c r="W404" s="27"/>
      <c r="X404" s="27"/>
      <c r="Y404" s="27"/>
      <c r="Z404" s="27"/>
      <c r="AA404"/>
      <c r="AB404"/>
      <c r="AC404" s="27"/>
      <c r="AD404"/>
      <c r="AE404" s="27"/>
      <c r="AF404" s="27"/>
      <c r="AG404" s="28"/>
      <c r="AH404" s="15"/>
      <c r="AI404" s="15"/>
      <c r="AJ404"/>
      <c r="AK404" s="27"/>
      <c r="AL404"/>
      <c r="AM404"/>
      <c r="AN404"/>
      <c r="AO404" s="27"/>
      <c r="AP404" s="27"/>
      <c r="AQ404" s="15"/>
      <c r="AR404"/>
      <c r="AS404" s="27"/>
      <c r="AT404"/>
      <c r="AU404"/>
      <c r="AV404"/>
      <c r="AW404" s="13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</row>
    <row r="405" spans="1:65" s="6" customFormat="1" x14ac:dyDescent="0.25">
      <c r="F405" s="21"/>
      <c r="G405" s="10"/>
      <c r="H405" s="7"/>
      <c r="I405" s="13"/>
      <c r="U405" s="16"/>
      <c r="W405" s="16"/>
      <c r="X405" s="16"/>
      <c r="Y405" s="16"/>
      <c r="Z405" s="16"/>
      <c r="AC405" s="16"/>
      <c r="AE405" s="16"/>
      <c r="AF405" s="22"/>
      <c r="AG405" s="18"/>
      <c r="AH405" s="7"/>
      <c r="AI405" s="7"/>
      <c r="AK405" s="16"/>
      <c r="AO405" s="23"/>
      <c r="AP405" s="17"/>
      <c r="AQ405" s="7"/>
      <c r="AR405"/>
      <c r="AS405" s="17"/>
      <c r="AW405" s="7"/>
      <c r="BB405" s="24"/>
      <c r="BC405"/>
      <c r="BG405"/>
    </row>
    <row r="406" spans="1:65" s="6" customFormat="1" x14ac:dyDescent="0.25">
      <c r="A406"/>
      <c r="B406"/>
      <c r="C406"/>
      <c r="D406"/>
      <c r="E406"/>
      <c r="F406"/>
      <c r="G406"/>
      <c r="H406" s="13"/>
      <c r="I406" s="7"/>
      <c r="J406"/>
      <c r="K406"/>
      <c r="L406"/>
      <c r="M406"/>
      <c r="N406"/>
      <c r="O406"/>
      <c r="P406"/>
      <c r="Q406"/>
      <c r="R406"/>
      <c r="S406"/>
      <c r="T406"/>
      <c r="U406" s="27"/>
      <c r="V406" s="14"/>
      <c r="W406" s="27"/>
      <c r="X406" s="27"/>
      <c r="Y406" s="27"/>
      <c r="Z406" s="27"/>
      <c r="AA406"/>
      <c r="AB406"/>
      <c r="AC406" s="27"/>
      <c r="AD406"/>
      <c r="AE406" s="27"/>
      <c r="AF406" s="27"/>
      <c r="AG406" s="28"/>
      <c r="AH406" s="7"/>
      <c r="AI406" s="15"/>
      <c r="AJ406"/>
      <c r="AK406" s="27"/>
      <c r="AL406"/>
      <c r="AM406"/>
      <c r="AN406"/>
      <c r="AO406" s="27"/>
      <c r="AP406" s="27"/>
      <c r="AQ406" s="15"/>
      <c r="AR406"/>
      <c r="AS406" s="27"/>
      <c r="AT406"/>
      <c r="AU406"/>
      <c r="AW406" s="7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</row>
    <row r="407" spans="1:65" s="6" customFormat="1" x14ac:dyDescent="0.25">
      <c r="F407" s="21"/>
      <c r="G407" s="10"/>
      <c r="H407" s="7"/>
      <c r="I407" s="13"/>
      <c r="U407" s="16"/>
      <c r="W407" s="16"/>
      <c r="X407" s="16"/>
      <c r="Y407" s="16"/>
      <c r="Z407" s="16"/>
      <c r="AC407" s="16"/>
      <c r="AE407" s="16"/>
      <c r="AF407" s="22"/>
      <c r="AG407" s="18"/>
      <c r="AH407" s="7"/>
      <c r="AI407" s="7"/>
      <c r="AK407" s="16"/>
      <c r="AO407" s="23"/>
      <c r="AP407" s="17"/>
      <c r="AQ407" s="7"/>
      <c r="AR407"/>
      <c r="AS407" s="17"/>
      <c r="AV407"/>
      <c r="AW407" s="7"/>
      <c r="BB407" s="24"/>
      <c r="BC407"/>
      <c r="BG407"/>
    </row>
    <row r="408" spans="1:65" s="6" customFormat="1" x14ac:dyDescent="0.25">
      <c r="A408"/>
      <c r="B408"/>
      <c r="C408"/>
      <c r="D408"/>
      <c r="E408"/>
      <c r="F408"/>
      <c r="G408"/>
      <c r="H408" s="13"/>
      <c r="I408" s="13"/>
      <c r="J408"/>
      <c r="K408"/>
      <c r="L408"/>
      <c r="M408"/>
      <c r="N408"/>
      <c r="O408"/>
      <c r="P408"/>
      <c r="Q408"/>
      <c r="R408"/>
      <c r="S408"/>
      <c r="T408"/>
      <c r="U408" s="27"/>
      <c r="V408" s="14"/>
      <c r="W408" s="27"/>
      <c r="X408" s="27"/>
      <c r="Y408" s="27"/>
      <c r="Z408" s="27"/>
      <c r="AA408"/>
      <c r="AB408"/>
      <c r="AC408" s="27"/>
      <c r="AD408"/>
      <c r="AE408" s="27"/>
      <c r="AF408" s="27"/>
      <c r="AG408" s="28"/>
      <c r="AH408" s="15"/>
      <c r="AI408" s="15"/>
      <c r="AJ408"/>
      <c r="AK408" s="27"/>
      <c r="AL408"/>
      <c r="AM408"/>
      <c r="AN408"/>
      <c r="AO408" s="27"/>
      <c r="AP408" s="27"/>
      <c r="AQ408" s="15"/>
      <c r="AR408"/>
      <c r="AS408" s="27"/>
      <c r="AT408"/>
      <c r="AU408"/>
      <c r="AW408" s="13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</row>
    <row r="409" spans="1:65" s="6" customFormat="1" x14ac:dyDescent="0.25">
      <c r="A409"/>
      <c r="B409"/>
      <c r="C409"/>
      <c r="D409"/>
      <c r="E409"/>
      <c r="F409"/>
      <c r="G409"/>
      <c r="H409" s="13"/>
      <c r="I409" s="7"/>
      <c r="J409"/>
      <c r="K409"/>
      <c r="L409"/>
      <c r="M409"/>
      <c r="N409"/>
      <c r="O409"/>
      <c r="P409"/>
      <c r="Q409"/>
      <c r="R409"/>
      <c r="S409"/>
      <c r="T409"/>
      <c r="U409" s="27"/>
      <c r="V409" s="14"/>
      <c r="W409" s="27"/>
      <c r="X409" s="27"/>
      <c r="Y409" s="27"/>
      <c r="Z409" s="27"/>
      <c r="AA409"/>
      <c r="AB409"/>
      <c r="AC409" s="27"/>
      <c r="AD409"/>
      <c r="AE409" s="27"/>
      <c r="AF409" s="27"/>
      <c r="AG409" s="28"/>
      <c r="AH409" s="7"/>
      <c r="AI409" s="15"/>
      <c r="AJ409"/>
      <c r="AK409" s="27"/>
      <c r="AL409"/>
      <c r="AM409"/>
      <c r="AN409"/>
      <c r="AO409" s="27"/>
      <c r="AP409" s="27"/>
      <c r="AQ409" s="15"/>
      <c r="AR409"/>
      <c r="AS409" s="27"/>
      <c r="AT409"/>
      <c r="AU409"/>
      <c r="AW409" s="13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</row>
    <row r="410" spans="1:65" s="6" customFormat="1" x14ac:dyDescent="0.25">
      <c r="F410" s="21"/>
      <c r="G410" s="10"/>
      <c r="H410" s="7"/>
      <c r="I410" s="13"/>
      <c r="U410" s="16"/>
      <c r="W410" s="16"/>
      <c r="X410" s="16"/>
      <c r="Y410" s="16"/>
      <c r="Z410" s="16"/>
      <c r="AC410" s="16"/>
      <c r="AE410" s="16"/>
      <c r="AF410" s="22"/>
      <c r="AG410" s="18"/>
      <c r="AH410" s="7"/>
      <c r="AI410" s="7"/>
      <c r="AK410" s="16"/>
      <c r="AO410" s="23"/>
      <c r="AP410" s="17"/>
      <c r="AQ410" s="7"/>
      <c r="AR410"/>
      <c r="AS410" s="17"/>
      <c r="AV410"/>
      <c r="AW410" s="7"/>
      <c r="BB410" s="24"/>
      <c r="BC410"/>
      <c r="BG410"/>
    </row>
    <row r="411" spans="1:65" s="6" customFormat="1" x14ac:dyDescent="0.25">
      <c r="F411" s="21"/>
      <c r="G411" s="10"/>
      <c r="H411" s="7"/>
      <c r="I411" s="13"/>
      <c r="U411" s="16"/>
      <c r="W411" s="16"/>
      <c r="X411" s="16"/>
      <c r="Y411" s="16"/>
      <c r="Z411" s="16"/>
      <c r="AC411" s="16"/>
      <c r="AE411" s="16"/>
      <c r="AF411" s="22"/>
      <c r="AG411" s="18"/>
      <c r="AH411" s="7"/>
      <c r="AI411" s="7"/>
      <c r="AK411" s="16"/>
      <c r="AO411" s="23"/>
      <c r="AP411" s="17"/>
      <c r="AQ411" s="7"/>
      <c r="AR411"/>
      <c r="AS411" s="17"/>
      <c r="AW411" s="7"/>
      <c r="BB411" s="24"/>
      <c r="BC411"/>
      <c r="BG411"/>
    </row>
    <row r="412" spans="1:65" s="6" customFormat="1" x14ac:dyDescent="0.25">
      <c r="A412"/>
      <c r="B412"/>
      <c r="C412"/>
      <c r="D412"/>
      <c r="E412"/>
      <c r="F412"/>
      <c r="G412"/>
      <c r="H412" s="13"/>
      <c r="I412" s="13"/>
      <c r="J412"/>
      <c r="K412"/>
      <c r="L412"/>
      <c r="M412"/>
      <c r="N412"/>
      <c r="O412"/>
      <c r="P412"/>
      <c r="Q412"/>
      <c r="R412"/>
      <c r="S412"/>
      <c r="T412"/>
      <c r="U412" s="27"/>
      <c r="V412" s="14"/>
      <c r="W412" s="27"/>
      <c r="X412" s="27"/>
      <c r="Y412" s="27"/>
      <c r="Z412" s="27"/>
      <c r="AA412"/>
      <c r="AB412"/>
      <c r="AC412" s="27"/>
      <c r="AD412"/>
      <c r="AE412" s="27"/>
      <c r="AF412" s="27"/>
      <c r="AG412" s="28"/>
      <c r="AH412" s="15"/>
      <c r="AI412" s="15"/>
      <c r="AJ412"/>
      <c r="AK412" s="27"/>
      <c r="AL412"/>
      <c r="AM412"/>
      <c r="AN412"/>
      <c r="AO412" s="27"/>
      <c r="AP412" s="27"/>
      <c r="AQ412" s="15"/>
      <c r="AR412"/>
      <c r="AS412" s="27"/>
      <c r="AT412"/>
      <c r="AU412"/>
      <c r="AV412"/>
      <c r="AW412" s="13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</row>
    <row r="413" spans="1:65" s="6" customFormat="1" x14ac:dyDescent="0.25">
      <c r="A413"/>
      <c r="B413"/>
      <c r="C413"/>
      <c r="D413"/>
      <c r="E413"/>
      <c r="F413"/>
      <c r="G413"/>
      <c r="H413" s="13"/>
      <c r="I413" s="13"/>
      <c r="J413"/>
      <c r="K413"/>
      <c r="L413"/>
      <c r="M413"/>
      <c r="N413"/>
      <c r="O413"/>
      <c r="P413"/>
      <c r="Q413"/>
      <c r="R413"/>
      <c r="S413"/>
      <c r="T413"/>
      <c r="U413" s="27"/>
      <c r="V413" s="14"/>
      <c r="W413" s="27"/>
      <c r="X413" s="27"/>
      <c r="Y413" s="27"/>
      <c r="Z413" s="27"/>
      <c r="AA413"/>
      <c r="AB413"/>
      <c r="AC413" s="27"/>
      <c r="AD413"/>
      <c r="AE413" s="27"/>
      <c r="AF413" s="27"/>
      <c r="AG413" s="28"/>
      <c r="AH413" s="15"/>
      <c r="AI413" s="15"/>
      <c r="AJ413"/>
      <c r="AK413" s="27"/>
      <c r="AL413"/>
      <c r="AM413"/>
      <c r="AN413"/>
      <c r="AO413" s="27"/>
      <c r="AP413" s="27"/>
      <c r="AQ413" s="15"/>
      <c r="AR413"/>
      <c r="AS413" s="27"/>
      <c r="AT413"/>
      <c r="AU413"/>
      <c r="AV413"/>
      <c r="AW413" s="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</row>
    <row r="414" spans="1:65" s="6" customFormat="1" x14ac:dyDescent="0.25">
      <c r="F414" s="21"/>
      <c r="G414" s="10"/>
      <c r="H414" s="7"/>
      <c r="I414" s="13"/>
      <c r="U414" s="16"/>
      <c r="W414" s="16"/>
      <c r="X414" s="16"/>
      <c r="Y414" s="16"/>
      <c r="Z414" s="16"/>
      <c r="AC414" s="16"/>
      <c r="AE414" s="16"/>
      <c r="AF414" s="22"/>
      <c r="AG414" s="18"/>
      <c r="AH414" s="7"/>
      <c r="AI414" s="7"/>
      <c r="AK414" s="16"/>
      <c r="AO414" s="23"/>
      <c r="AP414" s="17"/>
      <c r="AQ414" s="7"/>
      <c r="AR414"/>
      <c r="AS414" s="17"/>
      <c r="AW414" s="7"/>
      <c r="BB414" s="24"/>
      <c r="BC414"/>
      <c r="BG414"/>
    </row>
    <row r="415" spans="1:65" s="6" customFormat="1" x14ac:dyDescent="0.25">
      <c r="A415"/>
      <c r="B415"/>
      <c r="C415"/>
      <c r="D415"/>
      <c r="E415"/>
      <c r="F415"/>
      <c r="G415"/>
      <c r="H415" s="13"/>
      <c r="I415" s="7"/>
      <c r="J415"/>
      <c r="K415"/>
      <c r="L415"/>
      <c r="M415"/>
      <c r="N415"/>
      <c r="O415"/>
      <c r="P415"/>
      <c r="Q415"/>
      <c r="R415"/>
      <c r="S415"/>
      <c r="T415"/>
      <c r="U415" s="27"/>
      <c r="V415" s="14"/>
      <c r="W415" s="27"/>
      <c r="X415" s="27"/>
      <c r="Y415" s="27"/>
      <c r="Z415" s="27"/>
      <c r="AA415"/>
      <c r="AB415"/>
      <c r="AC415" s="27"/>
      <c r="AD415"/>
      <c r="AE415" s="27"/>
      <c r="AF415" s="27"/>
      <c r="AG415" s="28"/>
      <c r="AH415" s="7"/>
      <c r="AI415" s="15"/>
      <c r="AJ415"/>
      <c r="AK415" s="27"/>
      <c r="AL415"/>
      <c r="AM415"/>
      <c r="AN415"/>
      <c r="AO415" s="27"/>
      <c r="AP415" s="27"/>
      <c r="AQ415" s="15"/>
      <c r="AR415"/>
      <c r="AS415" s="27"/>
      <c r="AT415"/>
      <c r="AU415"/>
      <c r="AW415" s="7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</row>
    <row r="416" spans="1:65" s="6" customFormat="1" x14ac:dyDescent="0.25">
      <c r="F416" s="21"/>
      <c r="G416" s="10"/>
      <c r="H416" s="7"/>
      <c r="I416" s="13"/>
      <c r="U416" s="16"/>
      <c r="W416" s="16"/>
      <c r="X416" s="16"/>
      <c r="Y416" s="16"/>
      <c r="Z416" s="16"/>
      <c r="AC416" s="16"/>
      <c r="AE416" s="16"/>
      <c r="AF416" s="22"/>
      <c r="AG416" s="18"/>
      <c r="AH416" s="7"/>
      <c r="AI416" s="7"/>
      <c r="AK416" s="16"/>
      <c r="AO416" s="23"/>
      <c r="AP416" s="17"/>
      <c r="AQ416" s="7"/>
      <c r="AR416"/>
      <c r="AS416" s="17"/>
      <c r="AV416"/>
      <c r="AW416" s="7"/>
      <c r="BB416" s="24"/>
      <c r="BC416"/>
      <c r="BG416"/>
    </row>
    <row r="417" spans="1:65" s="6" customFormat="1" x14ac:dyDescent="0.25">
      <c r="A417"/>
      <c r="B417"/>
      <c r="C417"/>
      <c r="D417"/>
      <c r="E417"/>
      <c r="F417"/>
      <c r="G417"/>
      <c r="H417" s="13"/>
      <c r="I417" s="13"/>
      <c r="J417"/>
      <c r="K417"/>
      <c r="L417"/>
      <c r="M417"/>
      <c r="N417"/>
      <c r="O417"/>
      <c r="P417"/>
      <c r="Q417"/>
      <c r="R417"/>
      <c r="S417"/>
      <c r="T417"/>
      <c r="U417" s="27"/>
      <c r="V417" s="14"/>
      <c r="W417" s="27"/>
      <c r="X417" s="27"/>
      <c r="Y417" s="27"/>
      <c r="Z417" s="27"/>
      <c r="AA417"/>
      <c r="AB417"/>
      <c r="AC417" s="27"/>
      <c r="AD417"/>
      <c r="AE417" s="27"/>
      <c r="AF417" s="27"/>
      <c r="AG417" s="28"/>
      <c r="AH417" s="15"/>
      <c r="AI417" s="15"/>
      <c r="AJ417"/>
      <c r="AK417" s="27"/>
      <c r="AL417"/>
      <c r="AM417"/>
      <c r="AN417"/>
      <c r="AO417" s="27"/>
      <c r="AP417" s="27"/>
      <c r="AQ417" s="15"/>
      <c r="AR417"/>
      <c r="AS417" s="27"/>
      <c r="AT417"/>
      <c r="AU417"/>
      <c r="AW417" s="13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</row>
    <row r="418" spans="1:65" s="6" customFormat="1" x14ac:dyDescent="0.25">
      <c r="A418"/>
      <c r="B418"/>
      <c r="C418"/>
      <c r="D418"/>
      <c r="E418"/>
      <c r="F418"/>
      <c r="G418"/>
      <c r="H418" s="13"/>
      <c r="I418" s="7"/>
      <c r="J418"/>
      <c r="K418"/>
      <c r="L418"/>
      <c r="M418"/>
      <c r="N418"/>
      <c r="O418"/>
      <c r="P418"/>
      <c r="Q418"/>
      <c r="R418"/>
      <c r="S418"/>
      <c r="T418"/>
      <c r="U418" s="27"/>
      <c r="V418" s="14"/>
      <c r="W418" s="27"/>
      <c r="X418" s="27"/>
      <c r="Y418" s="27"/>
      <c r="Z418" s="27"/>
      <c r="AA418"/>
      <c r="AB418"/>
      <c r="AC418" s="27"/>
      <c r="AD418"/>
      <c r="AE418" s="27"/>
      <c r="AF418" s="27"/>
      <c r="AG418" s="28"/>
      <c r="AH418" s="7"/>
      <c r="AI418" s="15"/>
      <c r="AJ418"/>
      <c r="AK418" s="27"/>
      <c r="AL418"/>
      <c r="AM418"/>
      <c r="AN418"/>
      <c r="AO418" s="27"/>
      <c r="AP418" s="27"/>
      <c r="AQ418" s="15"/>
      <c r="AR418"/>
      <c r="AS418" s="27"/>
      <c r="AT418"/>
      <c r="AU418"/>
      <c r="AW418" s="13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</row>
    <row r="419" spans="1:65" s="6" customFormat="1" x14ac:dyDescent="0.25">
      <c r="F419" s="21"/>
      <c r="G419" s="10"/>
      <c r="H419" s="7"/>
      <c r="I419" s="13"/>
      <c r="U419" s="16"/>
      <c r="W419" s="16"/>
      <c r="X419" s="16"/>
      <c r="Y419" s="16"/>
      <c r="Z419" s="16"/>
      <c r="AC419" s="16"/>
      <c r="AE419" s="16"/>
      <c r="AF419" s="22"/>
      <c r="AG419" s="18"/>
      <c r="AH419" s="7"/>
      <c r="AI419" s="7"/>
      <c r="AK419" s="16"/>
      <c r="AO419" s="23"/>
      <c r="AP419" s="17"/>
      <c r="AQ419" s="7"/>
      <c r="AR419"/>
      <c r="AS419" s="17"/>
      <c r="AV419"/>
      <c r="AW419" s="7"/>
      <c r="BB419" s="24"/>
      <c r="BC419"/>
      <c r="BG419"/>
    </row>
    <row r="420" spans="1:65" s="6" customFormat="1" x14ac:dyDescent="0.25">
      <c r="F420" s="21"/>
      <c r="G420" s="10"/>
      <c r="H420" s="7"/>
      <c r="I420" s="13"/>
      <c r="U420" s="16"/>
      <c r="W420" s="16"/>
      <c r="X420" s="16"/>
      <c r="Y420" s="16"/>
      <c r="Z420" s="16"/>
      <c r="AC420" s="16"/>
      <c r="AE420" s="16"/>
      <c r="AF420" s="22"/>
      <c r="AG420" s="18"/>
      <c r="AH420" s="7"/>
      <c r="AI420" s="7"/>
      <c r="AK420" s="16"/>
      <c r="AO420" s="23"/>
      <c r="AP420" s="17"/>
      <c r="AQ420" s="7"/>
      <c r="AR420"/>
      <c r="AS420" s="17"/>
      <c r="AW420" s="7"/>
      <c r="BB420" s="24"/>
      <c r="BC420"/>
      <c r="BG420"/>
    </row>
    <row r="421" spans="1:65" s="6" customFormat="1" x14ac:dyDescent="0.25">
      <c r="A421"/>
      <c r="B421"/>
      <c r="C421"/>
      <c r="D421"/>
      <c r="E421"/>
      <c r="F421"/>
      <c r="G421"/>
      <c r="H421" s="13"/>
      <c r="I421" s="13"/>
      <c r="J421"/>
      <c r="K421"/>
      <c r="L421"/>
      <c r="M421"/>
      <c r="N421"/>
      <c r="O421"/>
      <c r="P421"/>
      <c r="Q421"/>
      <c r="R421"/>
      <c r="S421"/>
      <c r="T421"/>
      <c r="U421" s="27"/>
      <c r="V421" s="14"/>
      <c r="W421" s="27"/>
      <c r="X421" s="27"/>
      <c r="Y421" s="27"/>
      <c r="Z421" s="27"/>
      <c r="AA421"/>
      <c r="AB421"/>
      <c r="AC421" s="27"/>
      <c r="AD421"/>
      <c r="AE421" s="27"/>
      <c r="AF421" s="27"/>
      <c r="AG421" s="28"/>
      <c r="AH421" s="15"/>
      <c r="AI421" s="15"/>
      <c r="AJ421"/>
      <c r="AK421" s="27"/>
      <c r="AL421"/>
      <c r="AM421"/>
      <c r="AN421"/>
      <c r="AO421" s="27"/>
      <c r="AP421" s="27"/>
      <c r="AQ421" s="15"/>
      <c r="AR421"/>
      <c r="AS421" s="27"/>
      <c r="AT421"/>
      <c r="AU421"/>
      <c r="AV421"/>
      <c r="AW421" s="13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</row>
    <row r="422" spans="1:65" s="6" customFormat="1" x14ac:dyDescent="0.25">
      <c r="A422"/>
      <c r="B422"/>
      <c r="C422"/>
      <c r="D422"/>
      <c r="E422"/>
      <c r="F422"/>
      <c r="G422"/>
      <c r="H422" s="13"/>
      <c r="I422" s="13"/>
      <c r="J422"/>
      <c r="K422"/>
      <c r="L422"/>
      <c r="M422"/>
      <c r="N422"/>
      <c r="O422"/>
      <c r="P422"/>
      <c r="Q422"/>
      <c r="R422"/>
      <c r="S422"/>
      <c r="T422"/>
      <c r="U422" s="27"/>
      <c r="V422" s="14"/>
      <c r="W422" s="27"/>
      <c r="X422" s="27"/>
      <c r="Y422" s="27"/>
      <c r="Z422" s="27"/>
      <c r="AA422"/>
      <c r="AB422"/>
      <c r="AC422" s="27"/>
      <c r="AD422"/>
      <c r="AE422" s="27"/>
      <c r="AF422" s="27"/>
      <c r="AG422" s="28"/>
      <c r="AH422" s="15"/>
      <c r="AI422" s="15"/>
      <c r="AJ422"/>
      <c r="AK422" s="27"/>
      <c r="AL422"/>
      <c r="AM422"/>
      <c r="AN422"/>
      <c r="AO422" s="27"/>
      <c r="AP422" s="27"/>
      <c r="AQ422" s="15"/>
      <c r="AR422"/>
      <c r="AS422" s="27"/>
      <c r="AT422"/>
      <c r="AU422"/>
      <c r="AV422"/>
      <c r="AW422" s="13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</row>
    <row r="423" spans="1:65" s="6" customFormat="1" x14ac:dyDescent="0.25">
      <c r="F423" s="21"/>
      <c r="G423" s="10"/>
      <c r="H423" s="7"/>
      <c r="I423" s="13"/>
      <c r="U423" s="16"/>
      <c r="W423" s="16"/>
      <c r="X423" s="16"/>
      <c r="Y423" s="16"/>
      <c r="Z423" s="16"/>
      <c r="AC423" s="16"/>
      <c r="AE423" s="16"/>
      <c r="AF423" s="22"/>
      <c r="AG423" s="18"/>
      <c r="AH423" s="7"/>
      <c r="AI423" s="7"/>
      <c r="AK423" s="16"/>
      <c r="AO423" s="23"/>
      <c r="AP423" s="17"/>
      <c r="AQ423" s="7"/>
      <c r="AR423"/>
      <c r="AS423" s="17"/>
      <c r="AW423" s="7"/>
      <c r="BB423" s="24"/>
      <c r="BC423"/>
      <c r="BG423"/>
    </row>
    <row r="424" spans="1:65" s="6" customFormat="1" x14ac:dyDescent="0.25">
      <c r="A424"/>
      <c r="B424"/>
      <c r="C424"/>
      <c r="D424"/>
      <c r="E424"/>
      <c r="F424"/>
      <c r="G424"/>
      <c r="H424" s="13"/>
      <c r="I424" s="7"/>
      <c r="J424"/>
      <c r="K424"/>
      <c r="L424"/>
      <c r="M424"/>
      <c r="N424"/>
      <c r="O424"/>
      <c r="P424"/>
      <c r="Q424"/>
      <c r="R424"/>
      <c r="S424"/>
      <c r="T424"/>
      <c r="U424" s="27"/>
      <c r="V424" s="14"/>
      <c r="W424" s="27"/>
      <c r="X424" s="27"/>
      <c r="Y424" s="27"/>
      <c r="Z424" s="27"/>
      <c r="AA424"/>
      <c r="AB424"/>
      <c r="AC424" s="27"/>
      <c r="AD424"/>
      <c r="AE424" s="27"/>
      <c r="AF424" s="27"/>
      <c r="AG424" s="28"/>
      <c r="AH424" s="7"/>
      <c r="AI424" s="15"/>
      <c r="AJ424"/>
      <c r="AK424" s="27"/>
      <c r="AL424"/>
      <c r="AM424"/>
      <c r="AN424"/>
      <c r="AO424" s="27"/>
      <c r="AP424" s="27"/>
      <c r="AQ424" s="15"/>
      <c r="AR424"/>
      <c r="AS424" s="27"/>
      <c r="AT424"/>
      <c r="AU424"/>
      <c r="AW424" s="7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</row>
    <row r="425" spans="1:65" s="6" customFormat="1" x14ac:dyDescent="0.25">
      <c r="F425" s="21"/>
      <c r="G425" s="10"/>
      <c r="H425" s="7"/>
      <c r="I425" s="13"/>
      <c r="U425" s="16"/>
      <c r="W425" s="16"/>
      <c r="X425" s="16"/>
      <c r="Y425" s="16"/>
      <c r="Z425" s="16"/>
      <c r="AC425" s="16"/>
      <c r="AE425" s="16"/>
      <c r="AF425" s="22"/>
      <c r="AG425" s="18"/>
      <c r="AH425" s="7"/>
      <c r="AI425" s="7"/>
      <c r="AK425" s="16"/>
      <c r="AO425" s="23"/>
      <c r="AP425" s="17"/>
      <c r="AQ425" s="7"/>
      <c r="AR425"/>
      <c r="AS425" s="17"/>
      <c r="AV425"/>
      <c r="AW425" s="7"/>
      <c r="BB425" s="24"/>
      <c r="BC425"/>
      <c r="BG425"/>
    </row>
    <row r="426" spans="1:65" s="6" customFormat="1" x14ac:dyDescent="0.25">
      <c r="A426"/>
      <c r="B426"/>
      <c r="C426"/>
      <c r="D426"/>
      <c r="E426"/>
      <c r="F426"/>
      <c r="G426"/>
      <c r="H426" s="13"/>
      <c r="I426" s="13"/>
      <c r="J426"/>
      <c r="K426"/>
      <c r="L426"/>
      <c r="M426"/>
      <c r="N426"/>
      <c r="O426"/>
      <c r="P426"/>
      <c r="Q426"/>
      <c r="R426"/>
      <c r="S426"/>
      <c r="T426"/>
      <c r="U426" s="27"/>
      <c r="V426" s="14"/>
      <c r="W426" s="27"/>
      <c r="X426" s="27"/>
      <c r="Y426" s="27"/>
      <c r="Z426" s="27"/>
      <c r="AA426"/>
      <c r="AB426"/>
      <c r="AC426" s="27"/>
      <c r="AD426"/>
      <c r="AE426" s="27"/>
      <c r="AF426" s="27"/>
      <c r="AG426" s="28"/>
      <c r="AH426" s="15"/>
      <c r="AI426" s="15"/>
      <c r="AJ426"/>
      <c r="AK426" s="27"/>
      <c r="AL426"/>
      <c r="AM426"/>
      <c r="AN426"/>
      <c r="AO426" s="27"/>
      <c r="AP426" s="27"/>
      <c r="AQ426" s="15"/>
      <c r="AR426"/>
      <c r="AS426" s="27"/>
      <c r="AT426"/>
      <c r="AU426"/>
      <c r="AW426" s="13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</row>
    <row r="427" spans="1:65" s="6" customFormat="1" x14ac:dyDescent="0.25">
      <c r="A427"/>
      <c r="B427"/>
      <c r="C427"/>
      <c r="D427"/>
      <c r="E427"/>
      <c r="F427"/>
      <c r="G427"/>
      <c r="H427" s="13"/>
      <c r="I427" s="7"/>
      <c r="J427"/>
      <c r="K427"/>
      <c r="L427"/>
      <c r="M427"/>
      <c r="N427"/>
      <c r="O427"/>
      <c r="P427"/>
      <c r="Q427"/>
      <c r="R427"/>
      <c r="S427"/>
      <c r="T427"/>
      <c r="U427" s="27"/>
      <c r="V427" s="14"/>
      <c r="W427" s="27"/>
      <c r="X427" s="27"/>
      <c r="Y427" s="27"/>
      <c r="Z427" s="27"/>
      <c r="AA427"/>
      <c r="AB427"/>
      <c r="AC427" s="27"/>
      <c r="AD427"/>
      <c r="AE427" s="27"/>
      <c r="AF427" s="27"/>
      <c r="AG427" s="28"/>
      <c r="AH427" s="7"/>
      <c r="AI427" s="15"/>
      <c r="AJ427"/>
      <c r="AK427" s="27"/>
      <c r="AL427"/>
      <c r="AM427"/>
      <c r="AN427"/>
      <c r="AO427" s="27"/>
      <c r="AP427" s="27"/>
      <c r="AQ427" s="15"/>
      <c r="AR427"/>
      <c r="AS427" s="27"/>
      <c r="AT427"/>
      <c r="AU427"/>
      <c r="AW427" s="13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</row>
    <row r="428" spans="1:65" s="6" customFormat="1" x14ac:dyDescent="0.25">
      <c r="F428" s="21"/>
      <c r="G428" s="10"/>
      <c r="H428" s="7"/>
      <c r="I428" s="13"/>
      <c r="U428" s="16"/>
      <c r="W428" s="16"/>
      <c r="X428" s="16"/>
      <c r="Y428" s="16"/>
      <c r="Z428" s="16"/>
      <c r="AC428" s="16"/>
      <c r="AE428" s="16"/>
      <c r="AF428" s="22"/>
      <c r="AG428" s="18"/>
      <c r="AH428" s="7"/>
      <c r="AI428" s="7"/>
      <c r="AK428" s="16"/>
      <c r="AO428" s="23"/>
      <c r="AP428" s="17"/>
      <c r="AQ428" s="7"/>
      <c r="AR428"/>
      <c r="AS428" s="17"/>
      <c r="AV428"/>
      <c r="AW428" s="7"/>
      <c r="BB428" s="24"/>
      <c r="BC428"/>
      <c r="BG428"/>
    </row>
    <row r="429" spans="1:65" s="6" customFormat="1" x14ac:dyDescent="0.25">
      <c r="F429" s="21"/>
      <c r="G429" s="10"/>
      <c r="H429" s="7"/>
      <c r="I429" s="13"/>
      <c r="U429" s="16"/>
      <c r="W429" s="16"/>
      <c r="X429" s="16"/>
      <c r="Y429" s="16"/>
      <c r="Z429" s="16"/>
      <c r="AC429" s="16"/>
      <c r="AE429" s="16"/>
      <c r="AF429" s="22"/>
      <c r="AG429" s="18"/>
      <c r="AH429" s="7"/>
      <c r="AI429" s="7"/>
      <c r="AK429" s="16"/>
      <c r="AO429" s="23"/>
      <c r="AP429" s="17"/>
      <c r="AQ429" s="7"/>
      <c r="AR429"/>
      <c r="AS429" s="17"/>
      <c r="AW429" s="7"/>
      <c r="BB429" s="24"/>
      <c r="BC429"/>
      <c r="BG429"/>
    </row>
    <row r="430" spans="1:65" s="6" customFormat="1" x14ac:dyDescent="0.25">
      <c r="A430"/>
      <c r="B430"/>
      <c r="C430"/>
      <c r="D430"/>
      <c r="E430"/>
      <c r="F430"/>
      <c r="G430"/>
      <c r="H430" s="13"/>
      <c r="I430" s="13"/>
      <c r="J430"/>
      <c r="K430"/>
      <c r="L430"/>
      <c r="M430"/>
      <c r="N430"/>
      <c r="O430"/>
      <c r="P430"/>
      <c r="Q430"/>
      <c r="R430"/>
      <c r="S430"/>
      <c r="T430"/>
      <c r="U430" s="27"/>
      <c r="V430" s="14"/>
      <c r="W430" s="27"/>
      <c r="X430" s="27"/>
      <c r="Y430" s="27"/>
      <c r="Z430" s="27"/>
      <c r="AA430"/>
      <c r="AB430"/>
      <c r="AC430" s="27"/>
      <c r="AD430"/>
      <c r="AE430" s="27"/>
      <c r="AF430" s="27"/>
      <c r="AG430" s="28"/>
      <c r="AH430" s="15"/>
      <c r="AI430" s="15"/>
      <c r="AJ430"/>
      <c r="AK430" s="27"/>
      <c r="AL430"/>
      <c r="AM430"/>
      <c r="AN430"/>
      <c r="AO430" s="27"/>
      <c r="AP430" s="27"/>
      <c r="AQ430" s="15"/>
      <c r="AR430"/>
      <c r="AS430" s="27"/>
      <c r="AT430"/>
      <c r="AU430"/>
      <c r="AV430"/>
      <c r="AW430" s="13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</row>
    <row r="431" spans="1:65" s="6" customFormat="1" x14ac:dyDescent="0.25">
      <c r="A431"/>
      <c r="B431"/>
      <c r="C431"/>
      <c r="D431"/>
      <c r="E431"/>
      <c r="F431"/>
      <c r="G431"/>
      <c r="H431" s="13"/>
      <c r="I431" s="13"/>
      <c r="J431"/>
      <c r="K431"/>
      <c r="L431"/>
      <c r="M431"/>
      <c r="N431"/>
      <c r="O431"/>
      <c r="P431"/>
      <c r="Q431"/>
      <c r="R431"/>
      <c r="S431"/>
      <c r="T431"/>
      <c r="U431" s="27"/>
      <c r="V431" s="14"/>
      <c r="W431" s="27"/>
      <c r="X431" s="27"/>
      <c r="Y431" s="27"/>
      <c r="Z431" s="27"/>
      <c r="AA431"/>
      <c r="AB431"/>
      <c r="AC431" s="27"/>
      <c r="AD431"/>
      <c r="AE431" s="27"/>
      <c r="AF431" s="27"/>
      <c r="AG431" s="28"/>
      <c r="AH431" s="15"/>
      <c r="AI431" s="15"/>
      <c r="AJ431"/>
      <c r="AK431" s="27"/>
      <c r="AL431"/>
      <c r="AM431"/>
      <c r="AN431"/>
      <c r="AO431" s="27"/>
      <c r="AP431" s="27"/>
      <c r="AQ431" s="15"/>
      <c r="AR431"/>
      <c r="AS431" s="27"/>
      <c r="AT431"/>
      <c r="AU431"/>
      <c r="AV431"/>
      <c r="AW431" s="13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</row>
    <row r="432" spans="1:65" s="6" customFormat="1" x14ac:dyDescent="0.25">
      <c r="F432" s="21"/>
      <c r="G432" s="10"/>
      <c r="H432" s="7"/>
      <c r="I432" s="13"/>
      <c r="U432" s="16"/>
      <c r="W432" s="16"/>
      <c r="X432" s="16"/>
      <c r="Y432" s="16"/>
      <c r="Z432" s="16"/>
      <c r="AC432" s="16"/>
      <c r="AE432" s="16"/>
      <c r="AF432" s="22"/>
      <c r="AG432" s="18"/>
      <c r="AH432" s="7"/>
      <c r="AI432" s="7"/>
      <c r="AK432" s="16"/>
      <c r="AO432" s="23"/>
      <c r="AP432" s="17"/>
      <c r="AQ432" s="7"/>
      <c r="AR432"/>
      <c r="AS432" s="17"/>
      <c r="AW432" s="7"/>
      <c r="BB432" s="24"/>
      <c r="BC432"/>
      <c r="BG432"/>
    </row>
    <row r="433" spans="1:65" s="6" customFormat="1" x14ac:dyDescent="0.25">
      <c r="A433"/>
      <c r="B433"/>
      <c r="C433"/>
      <c r="D433"/>
      <c r="E433"/>
      <c r="F433"/>
      <c r="G433"/>
      <c r="H433" s="13"/>
      <c r="I433" s="7"/>
      <c r="J433"/>
      <c r="K433"/>
      <c r="L433"/>
      <c r="M433"/>
      <c r="N433"/>
      <c r="O433"/>
      <c r="P433"/>
      <c r="Q433"/>
      <c r="R433"/>
      <c r="S433"/>
      <c r="T433"/>
      <c r="U433" s="27"/>
      <c r="V433" s="14"/>
      <c r="W433" s="27"/>
      <c r="X433" s="27"/>
      <c r="Y433" s="27"/>
      <c r="Z433" s="27"/>
      <c r="AA433"/>
      <c r="AB433"/>
      <c r="AC433" s="27"/>
      <c r="AD433"/>
      <c r="AE433" s="27"/>
      <c r="AF433" s="27"/>
      <c r="AG433" s="28"/>
      <c r="AH433" s="7"/>
      <c r="AI433" s="15"/>
      <c r="AJ433"/>
      <c r="AK433" s="27"/>
      <c r="AL433"/>
      <c r="AM433"/>
      <c r="AN433"/>
      <c r="AO433" s="27"/>
      <c r="AP433" s="27"/>
      <c r="AQ433" s="15"/>
      <c r="AR433"/>
      <c r="AS433" s="27"/>
      <c r="AT433"/>
      <c r="AU433"/>
      <c r="AW433" s="7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</row>
    <row r="434" spans="1:65" s="6" customFormat="1" x14ac:dyDescent="0.25">
      <c r="F434" s="21"/>
      <c r="G434" s="10"/>
      <c r="H434" s="7"/>
      <c r="I434" s="13"/>
      <c r="U434" s="16"/>
      <c r="W434" s="16"/>
      <c r="X434" s="16"/>
      <c r="Y434" s="16"/>
      <c r="Z434" s="16"/>
      <c r="AC434" s="16"/>
      <c r="AE434" s="16"/>
      <c r="AF434" s="22"/>
      <c r="AG434" s="18"/>
      <c r="AH434" s="7"/>
      <c r="AI434" s="7"/>
      <c r="AK434" s="16"/>
      <c r="AO434" s="23"/>
      <c r="AP434" s="17"/>
      <c r="AQ434" s="7"/>
      <c r="AR434"/>
      <c r="AS434" s="17"/>
      <c r="AV434"/>
      <c r="AW434" s="7"/>
      <c r="BB434" s="24"/>
      <c r="BC434"/>
      <c r="BG434"/>
    </row>
    <row r="435" spans="1:65" s="6" customFormat="1" x14ac:dyDescent="0.25">
      <c r="A435"/>
      <c r="B435"/>
      <c r="C435"/>
      <c r="D435"/>
      <c r="E435"/>
      <c r="F435"/>
      <c r="G435"/>
      <c r="H435" s="13"/>
      <c r="I435" s="13"/>
      <c r="J435"/>
      <c r="K435"/>
      <c r="L435"/>
      <c r="M435"/>
      <c r="N435"/>
      <c r="O435"/>
      <c r="P435"/>
      <c r="Q435"/>
      <c r="R435"/>
      <c r="S435"/>
      <c r="T435"/>
      <c r="U435" s="27"/>
      <c r="V435" s="14"/>
      <c r="W435" s="27"/>
      <c r="X435" s="27"/>
      <c r="Y435" s="27"/>
      <c r="Z435" s="27"/>
      <c r="AA435"/>
      <c r="AB435"/>
      <c r="AC435" s="27"/>
      <c r="AD435"/>
      <c r="AE435" s="27"/>
      <c r="AF435" s="27"/>
      <c r="AG435" s="28"/>
      <c r="AH435" s="15"/>
      <c r="AI435" s="15"/>
      <c r="AJ435"/>
      <c r="AK435" s="27"/>
      <c r="AL435"/>
      <c r="AM435"/>
      <c r="AN435"/>
      <c r="AO435" s="27"/>
      <c r="AP435" s="27"/>
      <c r="AQ435" s="15"/>
      <c r="AR435"/>
      <c r="AS435" s="27"/>
      <c r="AT435"/>
      <c r="AU435"/>
      <c r="AW435" s="13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</row>
    <row r="436" spans="1:65" s="6" customFormat="1" x14ac:dyDescent="0.25">
      <c r="A436"/>
      <c r="B436"/>
      <c r="C436"/>
      <c r="D436"/>
      <c r="E436"/>
      <c r="F436"/>
      <c r="G436"/>
      <c r="H436" s="13"/>
      <c r="I436" s="7"/>
      <c r="J436"/>
      <c r="K436"/>
      <c r="L436"/>
      <c r="M436"/>
      <c r="N436"/>
      <c r="O436"/>
      <c r="P436"/>
      <c r="Q436"/>
      <c r="R436"/>
      <c r="S436"/>
      <c r="T436"/>
      <c r="U436" s="27"/>
      <c r="V436" s="14"/>
      <c r="W436" s="27"/>
      <c r="X436" s="27"/>
      <c r="Y436" s="27"/>
      <c r="Z436" s="27"/>
      <c r="AA436"/>
      <c r="AB436"/>
      <c r="AC436" s="27"/>
      <c r="AD436"/>
      <c r="AE436" s="27"/>
      <c r="AF436" s="27"/>
      <c r="AG436" s="28"/>
      <c r="AH436" s="7"/>
      <c r="AI436" s="15"/>
      <c r="AJ436"/>
      <c r="AK436" s="27"/>
      <c r="AL436"/>
      <c r="AM436"/>
      <c r="AN436"/>
      <c r="AO436" s="27"/>
      <c r="AP436" s="27"/>
      <c r="AQ436" s="15"/>
      <c r="AR436"/>
      <c r="AS436" s="27"/>
      <c r="AT436"/>
      <c r="AU436"/>
      <c r="AW436" s="13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</row>
    <row r="437" spans="1:65" s="6" customFormat="1" x14ac:dyDescent="0.25">
      <c r="F437" s="21"/>
      <c r="G437" s="10"/>
      <c r="H437" s="7"/>
      <c r="I437" s="13"/>
      <c r="U437" s="16"/>
      <c r="W437" s="16"/>
      <c r="X437" s="16"/>
      <c r="Y437" s="16"/>
      <c r="Z437" s="16"/>
      <c r="AC437" s="16"/>
      <c r="AE437" s="16"/>
      <c r="AF437" s="22"/>
      <c r="AG437" s="18"/>
      <c r="AH437" s="7"/>
      <c r="AI437" s="7"/>
      <c r="AK437" s="16"/>
      <c r="AO437" s="23"/>
      <c r="AP437" s="17"/>
      <c r="AQ437" s="7"/>
      <c r="AR437"/>
      <c r="AS437" s="17"/>
      <c r="AV437"/>
      <c r="AW437" s="7"/>
      <c r="BB437" s="24"/>
      <c r="BC437"/>
      <c r="BG437"/>
    </row>
    <row r="438" spans="1:65" s="6" customFormat="1" x14ac:dyDescent="0.25">
      <c r="F438" s="21"/>
      <c r="G438" s="10"/>
      <c r="H438" s="7"/>
      <c r="I438" s="13"/>
      <c r="U438" s="16"/>
      <c r="W438" s="16"/>
      <c r="X438" s="16"/>
      <c r="Y438" s="16"/>
      <c r="Z438" s="16"/>
      <c r="AC438" s="16"/>
      <c r="AE438" s="16"/>
      <c r="AF438" s="22"/>
      <c r="AG438" s="18"/>
      <c r="AH438" s="7"/>
      <c r="AI438" s="7"/>
      <c r="AK438" s="16"/>
      <c r="AO438" s="23"/>
      <c r="AP438" s="17"/>
      <c r="AQ438" s="7"/>
      <c r="AR438"/>
      <c r="AS438" s="17"/>
      <c r="AW438" s="7"/>
      <c r="BB438" s="24"/>
      <c r="BC438"/>
      <c r="BG438"/>
    </row>
    <row r="439" spans="1:65" s="6" customFormat="1" x14ac:dyDescent="0.25">
      <c r="A439"/>
      <c r="B439"/>
      <c r="C439"/>
      <c r="D439"/>
      <c r="E439"/>
      <c r="F439"/>
      <c r="G439"/>
      <c r="H439" s="13"/>
      <c r="I439" s="13"/>
      <c r="J439"/>
      <c r="K439"/>
      <c r="L439"/>
      <c r="M439"/>
      <c r="N439"/>
      <c r="O439"/>
      <c r="P439"/>
      <c r="Q439"/>
      <c r="R439"/>
      <c r="S439"/>
      <c r="T439"/>
      <c r="U439" s="27"/>
      <c r="V439" s="14"/>
      <c r="W439" s="27"/>
      <c r="X439" s="27"/>
      <c r="Y439" s="27"/>
      <c r="Z439" s="27"/>
      <c r="AA439"/>
      <c r="AB439"/>
      <c r="AC439" s="27"/>
      <c r="AD439"/>
      <c r="AE439" s="27"/>
      <c r="AF439" s="27"/>
      <c r="AG439" s="28"/>
      <c r="AH439" s="15"/>
      <c r="AI439" s="15"/>
      <c r="AJ439"/>
      <c r="AK439" s="27"/>
      <c r="AL439"/>
      <c r="AM439"/>
      <c r="AN439"/>
      <c r="AO439" s="27"/>
      <c r="AP439" s="27"/>
      <c r="AQ439" s="15"/>
      <c r="AR439"/>
      <c r="AS439" s="27"/>
      <c r="AT439"/>
      <c r="AU439"/>
      <c r="AV439"/>
      <c r="AW439" s="13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</row>
    <row r="440" spans="1:65" s="6" customFormat="1" x14ac:dyDescent="0.25">
      <c r="A440"/>
      <c r="B440"/>
      <c r="C440"/>
      <c r="D440"/>
      <c r="E440"/>
      <c r="F440"/>
      <c r="G440"/>
      <c r="H440" s="13"/>
      <c r="I440" s="13"/>
      <c r="J440"/>
      <c r="K440"/>
      <c r="L440"/>
      <c r="M440"/>
      <c r="N440"/>
      <c r="O440"/>
      <c r="P440"/>
      <c r="Q440"/>
      <c r="R440"/>
      <c r="S440"/>
      <c r="T440"/>
      <c r="U440" s="27"/>
      <c r="V440" s="14"/>
      <c r="W440" s="27"/>
      <c r="X440" s="27"/>
      <c r="Y440" s="27"/>
      <c r="Z440" s="27"/>
      <c r="AA440"/>
      <c r="AB440"/>
      <c r="AC440" s="27"/>
      <c r="AD440"/>
      <c r="AE440" s="27"/>
      <c r="AF440" s="27"/>
      <c r="AG440" s="28"/>
      <c r="AH440" s="15"/>
      <c r="AI440" s="15"/>
      <c r="AJ440"/>
      <c r="AK440" s="27"/>
      <c r="AL440"/>
      <c r="AM440"/>
      <c r="AN440"/>
      <c r="AO440" s="27"/>
      <c r="AP440" s="27"/>
      <c r="AQ440" s="15"/>
      <c r="AR440"/>
      <c r="AS440" s="27"/>
      <c r="AT440"/>
      <c r="AU440"/>
      <c r="AV440"/>
      <c r="AW440" s="13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</row>
    <row r="441" spans="1:65" s="6" customFormat="1" x14ac:dyDescent="0.25">
      <c r="F441" s="21"/>
      <c r="G441" s="10"/>
      <c r="H441" s="7"/>
      <c r="I441" s="13"/>
      <c r="U441" s="16"/>
      <c r="W441" s="16"/>
      <c r="X441" s="16"/>
      <c r="Y441" s="16"/>
      <c r="Z441" s="16"/>
      <c r="AC441" s="16"/>
      <c r="AE441" s="16"/>
      <c r="AF441" s="22"/>
      <c r="AG441" s="18"/>
      <c r="AH441" s="7"/>
      <c r="AI441" s="7"/>
      <c r="AK441" s="16"/>
      <c r="AO441" s="23"/>
      <c r="AP441" s="17"/>
      <c r="AQ441" s="7"/>
      <c r="AR441"/>
      <c r="AS441" s="17"/>
      <c r="AW441" s="7"/>
      <c r="BB441" s="24"/>
      <c r="BC441"/>
      <c r="BG441"/>
    </row>
    <row r="442" spans="1:65" s="6" customFormat="1" x14ac:dyDescent="0.25">
      <c r="A442"/>
      <c r="B442"/>
      <c r="C442"/>
      <c r="D442"/>
      <c r="E442"/>
      <c r="F442"/>
      <c r="G442"/>
      <c r="H442" s="13"/>
      <c r="I442" s="7"/>
      <c r="J442"/>
      <c r="K442"/>
      <c r="L442"/>
      <c r="M442"/>
      <c r="N442"/>
      <c r="O442"/>
      <c r="P442"/>
      <c r="Q442"/>
      <c r="R442"/>
      <c r="S442"/>
      <c r="T442"/>
      <c r="U442" s="27"/>
      <c r="V442" s="14"/>
      <c r="W442" s="27"/>
      <c r="X442" s="27"/>
      <c r="Y442" s="27"/>
      <c r="Z442" s="27"/>
      <c r="AA442"/>
      <c r="AB442"/>
      <c r="AC442" s="27"/>
      <c r="AD442"/>
      <c r="AE442" s="27"/>
      <c r="AF442" s="27"/>
      <c r="AG442" s="28"/>
      <c r="AH442" s="7"/>
      <c r="AI442" s="15"/>
      <c r="AJ442"/>
      <c r="AK442" s="27"/>
      <c r="AL442"/>
      <c r="AM442"/>
      <c r="AN442"/>
      <c r="AO442" s="27"/>
      <c r="AP442" s="27"/>
      <c r="AQ442" s="15"/>
      <c r="AR442"/>
      <c r="AS442" s="27"/>
      <c r="AT442"/>
      <c r="AU442"/>
      <c r="AW442" s="7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</row>
    <row r="443" spans="1:65" s="6" customFormat="1" x14ac:dyDescent="0.25">
      <c r="F443" s="21"/>
      <c r="G443" s="10"/>
      <c r="H443" s="7"/>
      <c r="I443" s="13"/>
      <c r="U443" s="16"/>
      <c r="W443" s="16"/>
      <c r="X443" s="16"/>
      <c r="Y443" s="16"/>
      <c r="Z443" s="16"/>
      <c r="AC443" s="16"/>
      <c r="AE443" s="16"/>
      <c r="AF443" s="22"/>
      <c r="AG443" s="18"/>
      <c r="AH443" s="7"/>
      <c r="AI443" s="7"/>
      <c r="AK443" s="16"/>
      <c r="AO443" s="23"/>
      <c r="AP443" s="17"/>
      <c r="AQ443" s="7"/>
      <c r="AR443"/>
      <c r="AS443" s="17"/>
      <c r="AV443"/>
      <c r="AW443" s="7"/>
      <c r="BB443" s="24"/>
      <c r="BC443"/>
      <c r="BG443"/>
    </row>
    <row r="444" spans="1:65" s="6" customFormat="1" x14ac:dyDescent="0.25">
      <c r="A444"/>
      <c r="B444"/>
      <c r="C444"/>
      <c r="D444"/>
      <c r="E444"/>
      <c r="F444"/>
      <c r="G444"/>
      <c r="H444" s="13"/>
      <c r="I444" s="13"/>
      <c r="J444"/>
      <c r="K444"/>
      <c r="L444"/>
      <c r="M444"/>
      <c r="N444"/>
      <c r="O444"/>
      <c r="P444"/>
      <c r="Q444"/>
      <c r="R444"/>
      <c r="S444"/>
      <c r="T444"/>
      <c r="U444" s="27"/>
      <c r="V444" s="14"/>
      <c r="W444" s="27"/>
      <c r="X444" s="27"/>
      <c r="Y444" s="27"/>
      <c r="Z444" s="27"/>
      <c r="AA444"/>
      <c r="AB444"/>
      <c r="AC444" s="27"/>
      <c r="AD444"/>
      <c r="AE444" s="27"/>
      <c r="AF444" s="27"/>
      <c r="AG444" s="28"/>
      <c r="AH444" s="15"/>
      <c r="AI444" s="15"/>
      <c r="AJ444"/>
      <c r="AK444" s="27"/>
      <c r="AL444"/>
      <c r="AM444"/>
      <c r="AN444"/>
      <c r="AO444" s="27"/>
      <c r="AP444" s="27"/>
      <c r="AQ444" s="15"/>
      <c r="AR444"/>
      <c r="AS444" s="27"/>
      <c r="AT444"/>
      <c r="AU444"/>
      <c r="AW444" s="13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</row>
    <row r="445" spans="1:65" s="6" customFormat="1" x14ac:dyDescent="0.25">
      <c r="A445"/>
      <c r="B445"/>
      <c r="C445"/>
      <c r="D445"/>
      <c r="E445"/>
      <c r="F445"/>
      <c r="G445"/>
      <c r="H445" s="13"/>
      <c r="I445" s="7"/>
      <c r="J445"/>
      <c r="K445"/>
      <c r="L445"/>
      <c r="M445"/>
      <c r="N445"/>
      <c r="O445"/>
      <c r="P445"/>
      <c r="Q445"/>
      <c r="R445"/>
      <c r="S445"/>
      <c r="T445"/>
      <c r="U445" s="27"/>
      <c r="V445" s="14"/>
      <c r="W445" s="27"/>
      <c r="X445" s="27"/>
      <c r="Y445" s="27"/>
      <c r="Z445" s="27"/>
      <c r="AA445"/>
      <c r="AB445"/>
      <c r="AC445" s="27"/>
      <c r="AD445"/>
      <c r="AE445" s="27"/>
      <c r="AF445" s="27"/>
      <c r="AG445" s="28"/>
      <c r="AH445" s="7"/>
      <c r="AI445" s="15"/>
      <c r="AJ445"/>
      <c r="AK445" s="27"/>
      <c r="AL445"/>
      <c r="AM445"/>
      <c r="AN445"/>
      <c r="AO445" s="27"/>
      <c r="AP445" s="27"/>
      <c r="AQ445" s="15"/>
      <c r="AR445"/>
      <c r="AS445" s="27"/>
      <c r="AT445"/>
      <c r="AU445"/>
      <c r="AW445" s="13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</row>
    <row r="446" spans="1:65" s="6" customFormat="1" x14ac:dyDescent="0.25">
      <c r="F446" s="21"/>
      <c r="G446" s="10"/>
      <c r="H446" s="7"/>
      <c r="I446" s="13"/>
      <c r="U446" s="16"/>
      <c r="W446" s="16"/>
      <c r="X446" s="16"/>
      <c r="Y446" s="16"/>
      <c r="Z446" s="16"/>
      <c r="AC446" s="16"/>
      <c r="AE446" s="16"/>
      <c r="AF446" s="22"/>
      <c r="AG446" s="18"/>
      <c r="AH446" s="7"/>
      <c r="AI446" s="7"/>
      <c r="AK446" s="16"/>
      <c r="AO446" s="23"/>
      <c r="AP446" s="17"/>
      <c r="AQ446" s="7"/>
      <c r="AR446"/>
      <c r="AS446" s="17"/>
      <c r="AV446"/>
      <c r="AW446" s="7"/>
      <c r="BB446" s="24"/>
      <c r="BC446"/>
      <c r="BG446"/>
    </row>
    <row r="447" spans="1:65" s="6" customFormat="1" x14ac:dyDescent="0.25">
      <c r="F447" s="21"/>
      <c r="G447" s="10"/>
      <c r="H447" s="7"/>
      <c r="I447" s="13"/>
      <c r="U447" s="16"/>
      <c r="W447" s="16"/>
      <c r="X447" s="16"/>
      <c r="Y447" s="16"/>
      <c r="Z447" s="16"/>
      <c r="AC447" s="16"/>
      <c r="AE447" s="16"/>
      <c r="AF447" s="22"/>
      <c r="AG447" s="18"/>
      <c r="AH447" s="7"/>
      <c r="AI447" s="7"/>
      <c r="AK447" s="16"/>
      <c r="AO447" s="23"/>
      <c r="AP447" s="17"/>
      <c r="AQ447" s="7"/>
      <c r="AR447"/>
      <c r="AS447" s="17"/>
      <c r="AW447" s="7"/>
      <c r="BB447" s="24"/>
      <c r="BC447"/>
      <c r="BG447"/>
    </row>
    <row r="448" spans="1:65" s="6" customFormat="1" x14ac:dyDescent="0.25">
      <c r="A448"/>
      <c r="B448"/>
      <c r="C448"/>
      <c r="D448"/>
      <c r="E448"/>
      <c r="F448"/>
      <c r="G448"/>
      <c r="H448" s="13"/>
      <c r="I448" s="13"/>
      <c r="J448"/>
      <c r="K448"/>
      <c r="L448"/>
      <c r="M448"/>
      <c r="N448"/>
      <c r="O448"/>
      <c r="P448"/>
      <c r="Q448"/>
      <c r="R448"/>
      <c r="S448"/>
      <c r="T448"/>
      <c r="U448" s="27"/>
      <c r="V448" s="14"/>
      <c r="W448" s="27"/>
      <c r="X448" s="27"/>
      <c r="Y448" s="27"/>
      <c r="Z448" s="27"/>
      <c r="AA448"/>
      <c r="AB448"/>
      <c r="AC448" s="27"/>
      <c r="AD448"/>
      <c r="AE448" s="27"/>
      <c r="AF448" s="27"/>
      <c r="AG448" s="28"/>
      <c r="AH448" s="15"/>
      <c r="AI448" s="15"/>
      <c r="AJ448"/>
      <c r="AK448" s="27"/>
      <c r="AL448"/>
      <c r="AM448"/>
      <c r="AN448"/>
      <c r="AO448" s="27"/>
      <c r="AP448" s="27"/>
      <c r="AQ448" s="15"/>
      <c r="AR448"/>
      <c r="AS448" s="27"/>
      <c r="AT448"/>
      <c r="AU448"/>
      <c r="AV448"/>
      <c r="AW448" s="13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</row>
    <row r="449" spans="1:65" s="6" customFormat="1" x14ac:dyDescent="0.25">
      <c r="A449"/>
      <c r="B449"/>
      <c r="C449"/>
      <c r="D449"/>
      <c r="E449"/>
      <c r="F449"/>
      <c r="G449"/>
      <c r="H449" s="13"/>
      <c r="I449" s="13"/>
      <c r="J449"/>
      <c r="K449"/>
      <c r="L449"/>
      <c r="M449"/>
      <c r="N449"/>
      <c r="O449"/>
      <c r="P449"/>
      <c r="Q449"/>
      <c r="R449"/>
      <c r="S449"/>
      <c r="T449"/>
      <c r="U449" s="27"/>
      <c r="V449" s="14"/>
      <c r="W449" s="27"/>
      <c r="X449" s="27"/>
      <c r="Y449" s="27"/>
      <c r="Z449" s="27"/>
      <c r="AA449"/>
      <c r="AB449"/>
      <c r="AC449" s="27"/>
      <c r="AD449"/>
      <c r="AE449" s="27"/>
      <c r="AF449" s="27"/>
      <c r="AG449" s="28"/>
      <c r="AH449" s="15"/>
      <c r="AI449" s="15"/>
      <c r="AJ449"/>
      <c r="AK449" s="27"/>
      <c r="AL449"/>
      <c r="AM449"/>
      <c r="AN449"/>
      <c r="AO449" s="27"/>
      <c r="AP449" s="27"/>
      <c r="AQ449" s="15"/>
      <c r="AR449"/>
      <c r="AS449" s="27"/>
      <c r="AT449"/>
      <c r="AU449"/>
      <c r="AV449"/>
      <c r="AW449" s="13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</row>
    <row r="450" spans="1:65" s="6" customFormat="1" x14ac:dyDescent="0.25">
      <c r="F450" s="21"/>
      <c r="G450" s="10"/>
      <c r="H450" s="7"/>
      <c r="I450" s="13"/>
      <c r="U450" s="16"/>
      <c r="W450" s="16"/>
      <c r="X450" s="16"/>
      <c r="Y450" s="16"/>
      <c r="Z450" s="16"/>
      <c r="AC450" s="16"/>
      <c r="AE450" s="16"/>
      <c r="AF450" s="22"/>
      <c r="AG450" s="18"/>
      <c r="AH450" s="7"/>
      <c r="AI450" s="7"/>
      <c r="AK450" s="16"/>
      <c r="AO450" s="23"/>
      <c r="AP450" s="17"/>
      <c r="AQ450" s="7"/>
      <c r="AR450"/>
      <c r="AS450" s="17"/>
      <c r="AW450" s="7"/>
      <c r="BB450" s="24"/>
      <c r="BC450"/>
      <c r="BG450"/>
    </row>
    <row r="451" spans="1:65" s="6" customFormat="1" x14ac:dyDescent="0.25">
      <c r="A451"/>
      <c r="B451"/>
      <c r="C451"/>
      <c r="D451"/>
      <c r="E451"/>
      <c r="F451"/>
      <c r="G451"/>
      <c r="H451" s="13"/>
      <c r="I451" s="7"/>
      <c r="J451"/>
      <c r="K451"/>
      <c r="L451"/>
      <c r="M451"/>
      <c r="N451"/>
      <c r="O451"/>
      <c r="P451"/>
      <c r="Q451"/>
      <c r="R451"/>
      <c r="S451"/>
      <c r="T451"/>
      <c r="U451" s="27"/>
      <c r="V451" s="14"/>
      <c r="W451" s="27"/>
      <c r="X451" s="27"/>
      <c r="Y451" s="27"/>
      <c r="Z451" s="27"/>
      <c r="AA451"/>
      <c r="AB451"/>
      <c r="AC451" s="27"/>
      <c r="AD451"/>
      <c r="AE451" s="27"/>
      <c r="AF451" s="27"/>
      <c r="AG451" s="28"/>
      <c r="AH451" s="7"/>
      <c r="AI451" s="15"/>
      <c r="AJ451"/>
      <c r="AK451" s="27"/>
      <c r="AL451"/>
      <c r="AM451"/>
      <c r="AN451"/>
      <c r="AO451" s="27"/>
      <c r="AP451" s="27"/>
      <c r="AQ451" s="15"/>
      <c r="AR451"/>
      <c r="AS451" s="27"/>
      <c r="AT451"/>
      <c r="AU451"/>
      <c r="AW451" s="13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</row>
    <row r="452" spans="1:65" s="6" customFormat="1" x14ac:dyDescent="0.25">
      <c r="F452" s="21"/>
      <c r="G452" s="10"/>
      <c r="H452" s="7"/>
      <c r="I452" s="13"/>
      <c r="U452" s="16"/>
      <c r="W452" s="16"/>
      <c r="X452" s="16"/>
      <c r="Y452" s="16"/>
      <c r="Z452" s="16"/>
      <c r="AC452" s="16"/>
      <c r="AE452" s="16"/>
      <c r="AF452" s="22"/>
      <c r="AG452" s="18"/>
      <c r="AH452" s="7"/>
      <c r="AI452" s="7"/>
      <c r="AK452" s="16"/>
      <c r="AO452" s="23"/>
      <c r="AP452" s="17"/>
      <c r="AQ452" s="7"/>
      <c r="AR452"/>
      <c r="AS452" s="17"/>
      <c r="AV452"/>
      <c r="AW452" s="7"/>
      <c r="BB452" s="24"/>
      <c r="BC452"/>
      <c r="BG452"/>
    </row>
    <row r="453" spans="1:65" s="6" customFormat="1" x14ac:dyDescent="0.25">
      <c r="A453"/>
      <c r="B453"/>
      <c r="C453"/>
      <c r="D453"/>
      <c r="E453"/>
      <c r="F453"/>
      <c r="G453"/>
      <c r="H453" s="13"/>
      <c r="I453" s="13"/>
      <c r="J453"/>
      <c r="K453"/>
      <c r="L453"/>
      <c r="M453"/>
      <c r="N453"/>
      <c r="O453"/>
      <c r="P453"/>
      <c r="Q453"/>
      <c r="R453"/>
      <c r="S453"/>
      <c r="T453"/>
      <c r="U453" s="27"/>
      <c r="V453" s="14"/>
      <c r="W453" s="27"/>
      <c r="X453" s="27"/>
      <c r="Y453" s="27"/>
      <c r="Z453" s="27"/>
      <c r="AA453"/>
      <c r="AB453"/>
      <c r="AC453" s="27"/>
      <c r="AD453"/>
      <c r="AE453" s="27"/>
      <c r="AF453" s="27"/>
      <c r="AG453" s="28"/>
      <c r="AH453" s="15"/>
      <c r="AI453" s="15"/>
      <c r="AJ453"/>
      <c r="AK453" s="27"/>
      <c r="AL453"/>
      <c r="AM453"/>
      <c r="AN453"/>
      <c r="AO453" s="27"/>
      <c r="AP453" s="27"/>
      <c r="AQ453" s="15"/>
      <c r="AR453"/>
      <c r="AS453" s="27"/>
      <c r="AT453"/>
      <c r="AU453"/>
      <c r="AW453" s="1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</row>
    <row r="454" spans="1:65" s="6" customFormat="1" x14ac:dyDescent="0.25">
      <c r="A454"/>
      <c r="B454"/>
      <c r="C454"/>
      <c r="D454"/>
      <c r="E454"/>
      <c r="F454"/>
      <c r="G454"/>
      <c r="H454" s="13"/>
      <c r="I454" s="7"/>
      <c r="J454"/>
      <c r="K454"/>
      <c r="L454"/>
      <c r="M454"/>
      <c r="N454"/>
      <c r="O454"/>
      <c r="P454"/>
      <c r="Q454"/>
      <c r="R454"/>
      <c r="S454"/>
      <c r="T454"/>
      <c r="U454" s="27"/>
      <c r="V454" s="14"/>
      <c r="W454" s="27"/>
      <c r="X454" s="27"/>
      <c r="Y454" s="27"/>
      <c r="Z454" s="27"/>
      <c r="AA454"/>
      <c r="AB454"/>
      <c r="AC454" s="27"/>
      <c r="AD454"/>
      <c r="AE454" s="27"/>
      <c r="AF454" s="27"/>
      <c r="AG454" s="28"/>
      <c r="AH454" s="7"/>
      <c r="AI454" s="15"/>
      <c r="AJ454"/>
      <c r="AK454" s="27"/>
      <c r="AL454"/>
      <c r="AM454"/>
      <c r="AN454"/>
      <c r="AO454" s="27"/>
      <c r="AP454" s="27"/>
      <c r="AQ454" s="15"/>
      <c r="AR454"/>
      <c r="AS454" s="27"/>
      <c r="AT454"/>
      <c r="AU454"/>
      <c r="AW454" s="13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</row>
    <row r="455" spans="1:65" s="6" customFormat="1" x14ac:dyDescent="0.25">
      <c r="F455" s="21"/>
      <c r="G455" s="10"/>
      <c r="H455" s="7"/>
      <c r="I455" s="13"/>
      <c r="U455" s="16"/>
      <c r="W455" s="16"/>
      <c r="X455" s="16"/>
      <c r="Y455" s="16"/>
      <c r="Z455" s="16"/>
      <c r="AC455" s="16"/>
      <c r="AE455" s="16"/>
      <c r="AF455" s="22"/>
      <c r="AG455" s="18"/>
      <c r="AH455" s="7"/>
      <c r="AI455" s="7"/>
      <c r="AK455" s="16"/>
      <c r="AO455" s="23"/>
      <c r="AP455" s="17"/>
      <c r="AQ455" s="7"/>
      <c r="AR455"/>
      <c r="AS455" s="17"/>
      <c r="AV455"/>
      <c r="AW455" s="7"/>
      <c r="BB455" s="24"/>
      <c r="BC455"/>
      <c r="BG455"/>
    </row>
    <row r="456" spans="1:65" s="6" customFormat="1" x14ac:dyDescent="0.25">
      <c r="F456" s="21"/>
      <c r="G456" s="10"/>
      <c r="H456" s="7"/>
      <c r="I456" s="13"/>
      <c r="U456" s="16"/>
      <c r="W456" s="16"/>
      <c r="X456" s="16"/>
      <c r="Y456" s="16"/>
      <c r="Z456" s="16"/>
      <c r="AC456" s="16"/>
      <c r="AE456" s="16"/>
      <c r="AF456" s="22"/>
      <c r="AG456" s="18"/>
      <c r="AH456" s="7"/>
      <c r="AI456" s="7"/>
      <c r="AK456" s="16"/>
      <c r="AO456" s="23"/>
      <c r="AP456" s="17"/>
      <c r="AQ456" s="7"/>
      <c r="AR456"/>
      <c r="AS456" s="17"/>
      <c r="AW456" s="7"/>
      <c r="BB456" s="24"/>
      <c r="BC456"/>
      <c r="BG456"/>
    </row>
    <row r="457" spans="1:65" s="6" customFormat="1" x14ac:dyDescent="0.25">
      <c r="A457"/>
      <c r="B457"/>
      <c r="C457"/>
      <c r="D457"/>
      <c r="E457"/>
      <c r="F457"/>
      <c r="G457"/>
      <c r="H457" s="13"/>
      <c r="I457" s="13"/>
      <c r="J457"/>
      <c r="K457"/>
      <c r="L457"/>
      <c r="M457"/>
      <c r="N457"/>
      <c r="O457"/>
      <c r="P457"/>
      <c r="Q457"/>
      <c r="R457"/>
      <c r="S457"/>
      <c r="T457"/>
      <c r="U457" s="27"/>
      <c r="V457" s="14"/>
      <c r="W457" s="27"/>
      <c r="X457" s="27"/>
      <c r="Y457" s="27"/>
      <c r="Z457" s="27"/>
      <c r="AA457"/>
      <c r="AB457"/>
      <c r="AC457" s="27"/>
      <c r="AD457"/>
      <c r="AE457" s="27"/>
      <c r="AF457" s="27"/>
      <c r="AG457" s="28"/>
      <c r="AH457" s="15"/>
      <c r="AI457" s="15"/>
      <c r="AJ457"/>
      <c r="AK457" s="27"/>
      <c r="AL457"/>
      <c r="AM457"/>
      <c r="AN457"/>
      <c r="AO457" s="27"/>
      <c r="AP457" s="27"/>
      <c r="AQ457" s="15"/>
      <c r="AR457"/>
      <c r="AS457" s="27"/>
      <c r="AT457"/>
      <c r="AU457"/>
      <c r="AV457"/>
      <c r="AW457" s="13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</row>
    <row r="458" spans="1:65" s="6" customFormat="1" x14ac:dyDescent="0.25">
      <c r="A458"/>
      <c r="B458"/>
      <c r="C458"/>
      <c r="D458"/>
      <c r="E458"/>
      <c r="F458"/>
      <c r="G458"/>
      <c r="H458" s="13"/>
      <c r="I458" s="13"/>
      <c r="J458"/>
      <c r="K458"/>
      <c r="L458"/>
      <c r="M458"/>
      <c r="N458"/>
      <c r="O458"/>
      <c r="P458"/>
      <c r="Q458"/>
      <c r="R458"/>
      <c r="S458"/>
      <c r="T458"/>
      <c r="U458" s="27"/>
      <c r="V458" s="14"/>
      <c r="W458" s="27"/>
      <c r="X458" s="27"/>
      <c r="Y458" s="27"/>
      <c r="Z458" s="27"/>
      <c r="AA458"/>
      <c r="AB458"/>
      <c r="AC458" s="27"/>
      <c r="AD458"/>
      <c r="AE458" s="27"/>
      <c r="AF458" s="27"/>
      <c r="AG458" s="28"/>
      <c r="AH458" s="15"/>
      <c r="AI458" s="15"/>
      <c r="AJ458"/>
      <c r="AK458" s="27"/>
      <c r="AL458"/>
      <c r="AM458"/>
      <c r="AN458"/>
      <c r="AO458" s="27"/>
      <c r="AP458" s="27"/>
      <c r="AQ458" s="15"/>
      <c r="AR458"/>
      <c r="AS458" s="27"/>
      <c r="AT458"/>
      <c r="AU458"/>
      <c r="AV458"/>
      <c r="AW458" s="13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</row>
    <row r="459" spans="1:65" s="6" customFormat="1" x14ac:dyDescent="0.25">
      <c r="F459" s="21"/>
      <c r="G459" s="10"/>
      <c r="H459" s="7"/>
      <c r="I459" s="13"/>
      <c r="U459" s="16"/>
      <c r="W459" s="16"/>
      <c r="X459" s="16"/>
      <c r="Y459" s="16"/>
      <c r="Z459" s="16"/>
      <c r="AC459" s="16"/>
      <c r="AE459" s="16"/>
      <c r="AF459" s="22"/>
      <c r="AG459" s="18"/>
      <c r="AH459" s="7"/>
      <c r="AI459" s="7"/>
      <c r="AK459" s="16"/>
      <c r="AO459" s="23"/>
      <c r="AP459" s="17"/>
      <c r="AQ459" s="7"/>
      <c r="AR459"/>
      <c r="AS459" s="17"/>
      <c r="AW459" s="7"/>
      <c r="BB459" s="24"/>
      <c r="BC459"/>
      <c r="BG459"/>
    </row>
    <row r="460" spans="1:65" s="6" customFormat="1" x14ac:dyDescent="0.25">
      <c r="A460"/>
      <c r="B460"/>
      <c r="C460"/>
      <c r="D460"/>
      <c r="E460"/>
      <c r="F460"/>
      <c r="G460"/>
      <c r="H460" s="13"/>
      <c r="I460" s="7"/>
      <c r="J460"/>
      <c r="K460"/>
      <c r="L460"/>
      <c r="M460"/>
      <c r="N460"/>
      <c r="O460"/>
      <c r="P460"/>
      <c r="Q460"/>
      <c r="R460"/>
      <c r="S460"/>
      <c r="T460"/>
      <c r="U460" s="27"/>
      <c r="V460" s="14"/>
      <c r="W460" s="27"/>
      <c r="X460" s="27"/>
      <c r="Y460" s="27"/>
      <c r="Z460" s="27"/>
      <c r="AA460"/>
      <c r="AB460"/>
      <c r="AC460" s="27"/>
      <c r="AD460"/>
      <c r="AE460" s="27"/>
      <c r="AF460" s="27"/>
      <c r="AG460" s="28"/>
      <c r="AH460" s="7"/>
      <c r="AI460" s="15"/>
      <c r="AJ460"/>
      <c r="AK460" s="27"/>
      <c r="AL460"/>
      <c r="AM460"/>
      <c r="AN460"/>
      <c r="AO460" s="27"/>
      <c r="AP460" s="27"/>
      <c r="AQ460" s="15"/>
      <c r="AR460"/>
      <c r="AS460" s="27"/>
      <c r="AT460"/>
      <c r="AU460"/>
      <c r="AW460" s="7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</row>
    <row r="461" spans="1:65" s="6" customFormat="1" x14ac:dyDescent="0.25">
      <c r="F461" s="21"/>
      <c r="G461" s="10"/>
      <c r="H461" s="7"/>
      <c r="I461" s="13"/>
      <c r="U461" s="16"/>
      <c r="W461" s="16"/>
      <c r="X461" s="16"/>
      <c r="Y461" s="16"/>
      <c r="Z461" s="16"/>
      <c r="AC461" s="16"/>
      <c r="AE461" s="16"/>
      <c r="AF461" s="22"/>
      <c r="AG461" s="18"/>
      <c r="AH461" s="7"/>
      <c r="AI461" s="7"/>
      <c r="AK461" s="16"/>
      <c r="AO461" s="23"/>
      <c r="AP461" s="17"/>
      <c r="AQ461" s="7"/>
      <c r="AR461"/>
      <c r="AS461" s="17"/>
      <c r="AV461"/>
      <c r="AW461" s="7"/>
      <c r="BB461" s="24"/>
      <c r="BC461"/>
      <c r="BG461"/>
    </row>
    <row r="462" spans="1:65" s="6" customFormat="1" x14ac:dyDescent="0.25">
      <c r="A462"/>
      <c r="B462"/>
      <c r="C462"/>
      <c r="D462"/>
      <c r="E462"/>
      <c r="F462"/>
      <c r="G462"/>
      <c r="H462" s="13"/>
      <c r="I462" s="13"/>
      <c r="J462"/>
      <c r="K462"/>
      <c r="L462"/>
      <c r="M462"/>
      <c r="N462"/>
      <c r="O462"/>
      <c r="P462"/>
      <c r="Q462"/>
      <c r="R462"/>
      <c r="S462"/>
      <c r="T462"/>
      <c r="U462" s="27"/>
      <c r="V462" s="14"/>
      <c r="W462" s="27"/>
      <c r="X462" s="27"/>
      <c r="Y462" s="27"/>
      <c r="Z462" s="27"/>
      <c r="AA462"/>
      <c r="AB462"/>
      <c r="AC462" s="27"/>
      <c r="AD462"/>
      <c r="AE462" s="27"/>
      <c r="AF462" s="27"/>
      <c r="AG462" s="28"/>
      <c r="AH462" s="15"/>
      <c r="AI462" s="15"/>
      <c r="AJ462"/>
      <c r="AK462" s="27"/>
      <c r="AL462"/>
      <c r="AM462"/>
      <c r="AN462"/>
      <c r="AO462" s="27"/>
      <c r="AP462" s="27"/>
      <c r="AQ462" s="15"/>
      <c r="AR462"/>
      <c r="AS462" s="27"/>
      <c r="AT462"/>
      <c r="AU462"/>
      <c r="AW462" s="13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</row>
    <row r="463" spans="1:65" s="6" customFormat="1" x14ac:dyDescent="0.25">
      <c r="A463"/>
      <c r="B463"/>
      <c r="C463"/>
      <c r="D463"/>
      <c r="E463"/>
      <c r="F463"/>
      <c r="G463"/>
      <c r="H463" s="13"/>
      <c r="I463" s="7"/>
      <c r="J463"/>
      <c r="K463"/>
      <c r="L463"/>
      <c r="M463"/>
      <c r="N463"/>
      <c r="O463"/>
      <c r="P463"/>
      <c r="Q463"/>
      <c r="R463"/>
      <c r="S463"/>
      <c r="T463"/>
      <c r="U463" s="27"/>
      <c r="V463" s="14"/>
      <c r="W463" s="27"/>
      <c r="X463" s="27"/>
      <c r="Y463" s="27"/>
      <c r="Z463" s="27"/>
      <c r="AA463"/>
      <c r="AB463"/>
      <c r="AC463" s="27"/>
      <c r="AD463"/>
      <c r="AE463" s="27"/>
      <c r="AF463" s="27"/>
      <c r="AG463" s="28"/>
      <c r="AH463" s="7"/>
      <c r="AI463" s="15"/>
      <c r="AJ463"/>
      <c r="AK463" s="27"/>
      <c r="AL463"/>
      <c r="AM463"/>
      <c r="AN463"/>
      <c r="AO463" s="27"/>
      <c r="AP463" s="27"/>
      <c r="AQ463" s="15"/>
      <c r="AR463"/>
      <c r="AS463" s="27"/>
      <c r="AT463"/>
      <c r="AU463"/>
      <c r="AW463" s="1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</row>
    <row r="464" spans="1:65" s="6" customFormat="1" x14ac:dyDescent="0.25">
      <c r="F464" s="21"/>
      <c r="G464" s="10"/>
      <c r="H464" s="7"/>
      <c r="I464" s="13"/>
      <c r="U464" s="16"/>
      <c r="W464" s="16"/>
      <c r="X464" s="16"/>
      <c r="Y464" s="16"/>
      <c r="Z464" s="16"/>
      <c r="AC464" s="16"/>
      <c r="AE464" s="16"/>
      <c r="AF464" s="22"/>
      <c r="AG464" s="18"/>
      <c r="AH464" s="7"/>
      <c r="AI464" s="7"/>
      <c r="AK464" s="16"/>
      <c r="AO464" s="23"/>
      <c r="AP464" s="17"/>
      <c r="AQ464" s="7"/>
      <c r="AR464"/>
      <c r="AS464" s="17"/>
      <c r="AV464"/>
      <c r="AW464" s="7"/>
      <c r="BB464" s="24"/>
      <c r="BC464"/>
      <c r="BG464"/>
    </row>
    <row r="465" spans="1:65" s="6" customFormat="1" x14ac:dyDescent="0.25">
      <c r="F465" s="21"/>
      <c r="G465" s="10"/>
      <c r="H465" s="7"/>
      <c r="I465" s="13"/>
      <c r="U465" s="16"/>
      <c r="W465" s="16"/>
      <c r="X465" s="16"/>
      <c r="Y465" s="16"/>
      <c r="Z465" s="16"/>
      <c r="AC465" s="16"/>
      <c r="AE465" s="16"/>
      <c r="AF465" s="22"/>
      <c r="AG465" s="18"/>
      <c r="AH465" s="7"/>
      <c r="AI465" s="7"/>
      <c r="AK465" s="16"/>
      <c r="AO465" s="23"/>
      <c r="AP465" s="17"/>
      <c r="AQ465" s="7"/>
      <c r="AR465"/>
      <c r="AS465" s="17"/>
      <c r="AW465" s="7"/>
      <c r="BB465" s="24"/>
      <c r="BC465"/>
      <c r="BG465"/>
    </row>
    <row r="466" spans="1:65" s="6" customFormat="1" x14ac:dyDescent="0.25">
      <c r="A466"/>
      <c r="B466"/>
      <c r="C466"/>
      <c r="D466"/>
      <c r="E466"/>
      <c r="F466"/>
      <c r="G466"/>
      <c r="H466" s="13"/>
      <c r="I466" s="13"/>
      <c r="J466"/>
      <c r="K466"/>
      <c r="L466"/>
      <c r="M466"/>
      <c r="N466"/>
      <c r="O466"/>
      <c r="P466"/>
      <c r="Q466"/>
      <c r="R466"/>
      <c r="S466"/>
      <c r="T466"/>
      <c r="U466" s="27"/>
      <c r="V466" s="14"/>
      <c r="W466" s="27"/>
      <c r="X466" s="27"/>
      <c r="Y466" s="27"/>
      <c r="Z466" s="27"/>
      <c r="AA466"/>
      <c r="AB466"/>
      <c r="AC466" s="27"/>
      <c r="AD466"/>
      <c r="AE466" s="27"/>
      <c r="AF466" s="27"/>
      <c r="AG466" s="28"/>
      <c r="AH466" s="15"/>
      <c r="AI466" s="15"/>
      <c r="AJ466"/>
      <c r="AK466" s="27"/>
      <c r="AL466"/>
      <c r="AM466"/>
      <c r="AN466"/>
      <c r="AO466" s="27"/>
      <c r="AP466" s="27"/>
      <c r="AQ466" s="15"/>
      <c r="AR466"/>
      <c r="AS466" s="27"/>
      <c r="AT466"/>
      <c r="AU466"/>
      <c r="AV466"/>
      <c r="AW466" s="13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</row>
    <row r="467" spans="1:65" s="6" customFormat="1" x14ac:dyDescent="0.25">
      <c r="A467"/>
      <c r="B467"/>
      <c r="C467"/>
      <c r="D467"/>
      <c r="E467"/>
      <c r="F467"/>
      <c r="G467"/>
      <c r="H467" s="13"/>
      <c r="I467" s="13"/>
      <c r="J467"/>
      <c r="K467"/>
      <c r="L467"/>
      <c r="M467"/>
      <c r="N467"/>
      <c r="O467"/>
      <c r="P467"/>
      <c r="Q467"/>
      <c r="R467"/>
      <c r="S467"/>
      <c r="T467"/>
      <c r="U467" s="27"/>
      <c r="V467" s="14"/>
      <c r="W467" s="27"/>
      <c r="X467" s="27"/>
      <c r="Y467" s="27"/>
      <c r="Z467" s="27"/>
      <c r="AA467"/>
      <c r="AB467"/>
      <c r="AC467" s="27"/>
      <c r="AD467"/>
      <c r="AE467" s="27"/>
      <c r="AF467" s="27"/>
      <c r="AG467" s="28"/>
      <c r="AH467" s="15"/>
      <c r="AI467" s="15"/>
      <c r="AJ467"/>
      <c r="AK467" s="27"/>
      <c r="AL467"/>
      <c r="AM467"/>
      <c r="AN467"/>
      <c r="AO467" s="27"/>
      <c r="AP467" s="27"/>
      <c r="AQ467" s="15"/>
      <c r="AR467"/>
      <c r="AS467" s="27"/>
      <c r="AT467"/>
      <c r="AU467"/>
      <c r="AV467"/>
      <c r="AW467" s="13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</row>
    <row r="468" spans="1:65" s="6" customFormat="1" x14ac:dyDescent="0.25">
      <c r="F468" s="21"/>
      <c r="G468" s="10"/>
      <c r="H468" s="7"/>
      <c r="I468" s="13"/>
      <c r="U468" s="16"/>
      <c r="W468" s="16"/>
      <c r="X468" s="16"/>
      <c r="Y468" s="16"/>
      <c r="Z468" s="16"/>
      <c r="AC468" s="16"/>
      <c r="AE468" s="16"/>
      <c r="AF468" s="22"/>
      <c r="AG468" s="18"/>
      <c r="AH468" s="7"/>
      <c r="AI468" s="7"/>
      <c r="AK468" s="16"/>
      <c r="AO468" s="23"/>
      <c r="AP468" s="17"/>
      <c r="AQ468" s="7"/>
      <c r="AR468"/>
      <c r="AS468" s="17"/>
      <c r="AW468" s="7"/>
      <c r="BB468" s="24"/>
      <c r="BC468"/>
      <c r="BG468"/>
    </row>
    <row r="469" spans="1:65" s="6" customFormat="1" x14ac:dyDescent="0.25">
      <c r="A469"/>
      <c r="B469"/>
      <c r="C469"/>
      <c r="D469"/>
      <c r="E469"/>
      <c r="F469"/>
      <c r="G469"/>
      <c r="H469" s="13"/>
      <c r="I469" s="7"/>
      <c r="J469"/>
      <c r="K469"/>
      <c r="L469"/>
      <c r="M469"/>
      <c r="N469"/>
      <c r="O469"/>
      <c r="P469"/>
      <c r="Q469"/>
      <c r="R469"/>
      <c r="S469"/>
      <c r="T469"/>
      <c r="U469" s="27"/>
      <c r="V469" s="14"/>
      <c r="W469" s="27"/>
      <c r="X469" s="27"/>
      <c r="Y469" s="27"/>
      <c r="Z469" s="27"/>
      <c r="AA469"/>
      <c r="AB469"/>
      <c r="AC469" s="27"/>
      <c r="AD469"/>
      <c r="AE469" s="27"/>
      <c r="AF469" s="27"/>
      <c r="AG469" s="28"/>
      <c r="AH469" s="7"/>
      <c r="AI469" s="15"/>
      <c r="AJ469"/>
      <c r="AK469" s="27"/>
      <c r="AL469"/>
      <c r="AM469"/>
      <c r="AN469"/>
      <c r="AO469" s="27"/>
      <c r="AP469" s="27"/>
      <c r="AQ469" s="15"/>
      <c r="AR469"/>
      <c r="AS469" s="27"/>
      <c r="AT469"/>
      <c r="AU469"/>
      <c r="AW469" s="7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</row>
    <row r="470" spans="1:65" s="6" customFormat="1" x14ac:dyDescent="0.25">
      <c r="F470" s="21"/>
      <c r="G470" s="10"/>
      <c r="H470" s="7"/>
      <c r="I470" s="13"/>
      <c r="U470" s="16"/>
      <c r="W470" s="16"/>
      <c r="X470" s="16"/>
      <c r="Y470" s="16"/>
      <c r="Z470" s="16"/>
      <c r="AC470" s="16"/>
      <c r="AE470" s="16"/>
      <c r="AF470" s="22"/>
      <c r="AG470" s="18"/>
      <c r="AH470" s="7"/>
      <c r="AI470" s="7"/>
      <c r="AK470" s="16"/>
      <c r="AO470" s="23"/>
      <c r="AP470" s="17"/>
      <c r="AQ470" s="7"/>
      <c r="AR470"/>
      <c r="AS470" s="17"/>
      <c r="AV470"/>
      <c r="AW470" s="7"/>
      <c r="BB470" s="24"/>
      <c r="BC470"/>
      <c r="BG470"/>
    </row>
    <row r="471" spans="1:65" s="6" customFormat="1" x14ac:dyDescent="0.25">
      <c r="A471"/>
      <c r="B471"/>
      <c r="C471"/>
      <c r="D471"/>
      <c r="E471"/>
      <c r="F471"/>
      <c r="G471"/>
      <c r="H471" s="13"/>
      <c r="I471" s="13"/>
      <c r="J471"/>
      <c r="K471"/>
      <c r="L471"/>
      <c r="M471"/>
      <c r="N471"/>
      <c r="O471"/>
      <c r="P471"/>
      <c r="Q471"/>
      <c r="R471"/>
      <c r="S471"/>
      <c r="T471"/>
      <c r="U471" s="27"/>
      <c r="V471" s="14"/>
      <c r="W471" s="27"/>
      <c r="X471" s="27"/>
      <c r="Y471" s="27"/>
      <c r="Z471" s="27"/>
      <c r="AA471"/>
      <c r="AB471"/>
      <c r="AC471" s="27"/>
      <c r="AD471"/>
      <c r="AE471" s="27"/>
      <c r="AF471" s="27"/>
      <c r="AG471" s="28"/>
      <c r="AH471" s="15"/>
      <c r="AI471" s="15"/>
      <c r="AJ471"/>
      <c r="AK471" s="27"/>
      <c r="AL471"/>
      <c r="AM471"/>
      <c r="AN471"/>
      <c r="AO471" s="27"/>
      <c r="AP471" s="27"/>
      <c r="AQ471" s="15"/>
      <c r="AR471"/>
      <c r="AS471" s="27"/>
      <c r="AT471"/>
      <c r="AU471"/>
      <c r="AW471" s="13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</row>
    <row r="472" spans="1:65" s="6" customFormat="1" x14ac:dyDescent="0.25">
      <c r="A472"/>
      <c r="B472"/>
      <c r="C472"/>
      <c r="D472"/>
      <c r="E472"/>
      <c r="F472"/>
      <c r="G472"/>
      <c r="H472" s="13"/>
      <c r="I472" s="7"/>
      <c r="J472"/>
      <c r="K472"/>
      <c r="L472"/>
      <c r="M472"/>
      <c r="N472"/>
      <c r="O472"/>
      <c r="P472"/>
      <c r="Q472"/>
      <c r="R472"/>
      <c r="S472"/>
      <c r="T472"/>
      <c r="U472" s="27"/>
      <c r="V472" s="14"/>
      <c r="W472" s="27"/>
      <c r="X472" s="27"/>
      <c r="Y472" s="27"/>
      <c r="Z472" s="27"/>
      <c r="AA472"/>
      <c r="AB472"/>
      <c r="AC472" s="27"/>
      <c r="AD472"/>
      <c r="AE472" s="27"/>
      <c r="AF472" s="27"/>
      <c r="AG472" s="28"/>
      <c r="AH472" s="7"/>
      <c r="AI472" s="15"/>
      <c r="AJ472"/>
      <c r="AK472" s="27"/>
      <c r="AL472"/>
      <c r="AM472"/>
      <c r="AN472"/>
      <c r="AO472" s="27"/>
      <c r="AP472" s="27"/>
      <c r="AQ472" s="15"/>
      <c r="AR472"/>
      <c r="AS472" s="27"/>
      <c r="AT472"/>
      <c r="AU472"/>
      <c r="AW472" s="13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</row>
    <row r="473" spans="1:65" s="6" customFormat="1" x14ac:dyDescent="0.25">
      <c r="F473" s="21"/>
      <c r="G473" s="10"/>
      <c r="H473" s="7"/>
      <c r="I473" s="13"/>
      <c r="U473" s="16"/>
      <c r="W473" s="16"/>
      <c r="X473" s="16"/>
      <c r="Y473" s="16"/>
      <c r="Z473" s="16"/>
      <c r="AC473" s="16"/>
      <c r="AE473" s="16"/>
      <c r="AF473" s="22"/>
      <c r="AG473" s="18"/>
      <c r="AH473" s="7"/>
      <c r="AI473" s="7"/>
      <c r="AK473" s="16"/>
      <c r="AO473" s="23"/>
      <c r="AP473" s="17"/>
      <c r="AQ473" s="7"/>
      <c r="AR473"/>
      <c r="AS473" s="17"/>
      <c r="AV473"/>
      <c r="AW473" s="7"/>
      <c r="BB473" s="24"/>
      <c r="BC473"/>
      <c r="BG473"/>
    </row>
    <row r="474" spans="1:65" s="6" customFormat="1" x14ac:dyDescent="0.25">
      <c r="F474" s="21"/>
      <c r="G474" s="10"/>
      <c r="H474" s="7"/>
      <c r="I474" s="13"/>
      <c r="U474" s="16"/>
      <c r="W474" s="16"/>
      <c r="X474" s="16"/>
      <c r="Y474" s="16"/>
      <c r="Z474" s="16"/>
      <c r="AC474" s="16"/>
      <c r="AE474" s="16"/>
      <c r="AF474" s="22"/>
      <c r="AG474" s="18"/>
      <c r="AH474" s="7"/>
      <c r="AI474" s="7"/>
      <c r="AK474" s="16"/>
      <c r="AO474" s="23"/>
      <c r="AP474" s="17"/>
      <c r="AQ474" s="7"/>
      <c r="AR474"/>
      <c r="AS474" s="17"/>
      <c r="AW474" s="7"/>
      <c r="BB474" s="24"/>
      <c r="BC474"/>
      <c r="BG474"/>
    </row>
    <row r="475" spans="1:65" s="6" customFormat="1" x14ac:dyDescent="0.25">
      <c r="A475"/>
      <c r="B475"/>
      <c r="C475"/>
      <c r="D475"/>
      <c r="E475"/>
      <c r="F475"/>
      <c r="G475"/>
      <c r="H475" s="13"/>
      <c r="I475" s="13"/>
      <c r="J475"/>
      <c r="K475"/>
      <c r="L475"/>
      <c r="M475"/>
      <c r="N475"/>
      <c r="O475"/>
      <c r="P475"/>
      <c r="Q475"/>
      <c r="R475"/>
      <c r="S475"/>
      <c r="T475"/>
      <c r="U475" s="27"/>
      <c r="V475" s="14"/>
      <c r="W475" s="27"/>
      <c r="X475" s="27"/>
      <c r="Y475" s="27"/>
      <c r="Z475" s="27"/>
      <c r="AA475"/>
      <c r="AB475"/>
      <c r="AC475" s="27"/>
      <c r="AD475"/>
      <c r="AE475" s="27"/>
      <c r="AF475" s="27"/>
      <c r="AG475" s="28"/>
      <c r="AH475" s="15"/>
      <c r="AI475" s="15"/>
      <c r="AJ475"/>
      <c r="AK475" s="27"/>
      <c r="AL475"/>
      <c r="AM475"/>
      <c r="AN475"/>
      <c r="AO475" s="27"/>
      <c r="AP475" s="27"/>
      <c r="AQ475" s="15"/>
      <c r="AR475"/>
      <c r="AS475" s="27"/>
      <c r="AT475"/>
      <c r="AU475"/>
      <c r="AV475"/>
      <c r="AW475" s="13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</row>
    <row r="476" spans="1:65" s="6" customFormat="1" x14ac:dyDescent="0.25">
      <c r="A476"/>
      <c r="B476"/>
      <c r="C476"/>
      <c r="D476"/>
      <c r="E476"/>
      <c r="F476"/>
      <c r="G476"/>
      <c r="H476" s="13"/>
      <c r="I476" s="13"/>
      <c r="J476"/>
      <c r="K476"/>
      <c r="L476"/>
      <c r="M476"/>
      <c r="N476"/>
      <c r="O476"/>
      <c r="P476"/>
      <c r="Q476"/>
      <c r="R476"/>
      <c r="S476"/>
      <c r="T476"/>
      <c r="U476" s="27"/>
      <c r="V476" s="14"/>
      <c r="W476" s="27"/>
      <c r="X476" s="27"/>
      <c r="Y476" s="27"/>
      <c r="Z476" s="27"/>
      <c r="AA476"/>
      <c r="AB476"/>
      <c r="AC476" s="27"/>
      <c r="AD476"/>
      <c r="AE476" s="27"/>
      <c r="AF476" s="27"/>
      <c r="AG476" s="28"/>
      <c r="AH476" s="15"/>
      <c r="AI476" s="15"/>
      <c r="AJ476"/>
      <c r="AK476" s="27"/>
      <c r="AL476"/>
      <c r="AM476"/>
      <c r="AN476"/>
      <c r="AO476" s="27"/>
      <c r="AP476" s="27"/>
      <c r="AQ476" s="15"/>
      <c r="AR476"/>
      <c r="AS476" s="27"/>
      <c r="AT476"/>
      <c r="AU476"/>
      <c r="AV476"/>
      <c r="AW476" s="13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</row>
    <row r="477" spans="1:65" s="6" customFormat="1" x14ac:dyDescent="0.25">
      <c r="F477" s="21"/>
      <c r="G477" s="10"/>
      <c r="H477" s="7"/>
      <c r="I477" s="13"/>
      <c r="U477" s="16"/>
      <c r="W477" s="16"/>
      <c r="X477" s="16"/>
      <c r="Y477" s="16"/>
      <c r="Z477" s="16"/>
      <c r="AC477" s="16"/>
      <c r="AE477" s="16"/>
      <c r="AF477" s="22"/>
      <c r="AG477" s="18"/>
      <c r="AH477" s="7"/>
      <c r="AI477" s="7"/>
      <c r="AK477" s="16"/>
      <c r="AO477" s="23"/>
      <c r="AP477" s="17"/>
      <c r="AQ477" s="7"/>
      <c r="AR477"/>
      <c r="AS477" s="17"/>
      <c r="AW477" s="7"/>
      <c r="BB477" s="24"/>
      <c r="BC477"/>
      <c r="BG477"/>
    </row>
    <row r="478" spans="1:65" s="6" customFormat="1" x14ac:dyDescent="0.25">
      <c r="A478"/>
      <c r="B478"/>
      <c r="C478"/>
      <c r="D478"/>
      <c r="E478"/>
      <c r="F478"/>
      <c r="G478"/>
      <c r="H478" s="13"/>
      <c r="I478" s="7"/>
      <c r="J478"/>
      <c r="K478"/>
      <c r="L478"/>
      <c r="M478"/>
      <c r="N478"/>
      <c r="O478"/>
      <c r="P478"/>
      <c r="Q478"/>
      <c r="R478"/>
      <c r="S478"/>
      <c r="T478"/>
      <c r="U478" s="27"/>
      <c r="V478" s="14"/>
      <c r="W478" s="27"/>
      <c r="X478" s="27"/>
      <c r="Y478" s="27"/>
      <c r="Z478" s="27"/>
      <c r="AA478"/>
      <c r="AB478"/>
      <c r="AC478" s="27"/>
      <c r="AD478"/>
      <c r="AE478" s="27"/>
      <c r="AF478" s="27"/>
      <c r="AG478" s="28"/>
      <c r="AH478" s="7"/>
      <c r="AI478" s="15"/>
      <c r="AJ478"/>
      <c r="AK478" s="27"/>
      <c r="AL478"/>
      <c r="AM478"/>
      <c r="AN478"/>
      <c r="AO478" s="27"/>
      <c r="AP478" s="27"/>
      <c r="AQ478" s="15"/>
      <c r="AR478"/>
      <c r="AS478" s="27"/>
      <c r="AT478"/>
      <c r="AU478"/>
      <c r="AW478" s="7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</row>
    <row r="479" spans="1:65" s="6" customFormat="1" x14ac:dyDescent="0.25">
      <c r="F479" s="21"/>
      <c r="G479" s="10"/>
      <c r="H479" s="7"/>
      <c r="I479" s="13"/>
      <c r="U479" s="16"/>
      <c r="W479" s="16"/>
      <c r="X479" s="16"/>
      <c r="Y479" s="16"/>
      <c r="Z479" s="16"/>
      <c r="AC479" s="16"/>
      <c r="AE479" s="16"/>
      <c r="AF479" s="22"/>
      <c r="AG479" s="18"/>
      <c r="AH479" s="7"/>
      <c r="AI479" s="7"/>
      <c r="AK479" s="16"/>
      <c r="AO479" s="23"/>
      <c r="AP479" s="17"/>
      <c r="AQ479" s="7"/>
      <c r="AR479"/>
      <c r="AS479" s="17"/>
      <c r="AV479"/>
      <c r="AW479" s="7"/>
      <c r="BB479" s="24"/>
      <c r="BC479"/>
      <c r="BG479"/>
    </row>
    <row r="480" spans="1:65" s="6" customFormat="1" x14ac:dyDescent="0.25">
      <c r="A480"/>
      <c r="B480"/>
      <c r="C480"/>
      <c r="D480"/>
      <c r="E480"/>
      <c r="F480"/>
      <c r="G480"/>
      <c r="H480" s="13"/>
      <c r="I480" s="13"/>
      <c r="J480"/>
      <c r="K480"/>
      <c r="L480"/>
      <c r="M480"/>
      <c r="N480"/>
      <c r="O480"/>
      <c r="P480"/>
      <c r="Q480"/>
      <c r="R480"/>
      <c r="S480"/>
      <c r="T480"/>
      <c r="U480" s="27"/>
      <c r="V480" s="14"/>
      <c r="W480" s="27"/>
      <c r="X480" s="27"/>
      <c r="Y480" s="27"/>
      <c r="Z480" s="27"/>
      <c r="AA480"/>
      <c r="AB480"/>
      <c r="AC480" s="27"/>
      <c r="AD480"/>
      <c r="AE480" s="27"/>
      <c r="AF480" s="27"/>
      <c r="AG480" s="28"/>
      <c r="AH480" s="15"/>
      <c r="AI480" s="15"/>
      <c r="AJ480"/>
      <c r="AK480" s="27"/>
      <c r="AL480"/>
      <c r="AM480"/>
      <c r="AN480"/>
      <c r="AO480" s="27"/>
      <c r="AP480" s="27"/>
      <c r="AQ480" s="15"/>
      <c r="AR480"/>
      <c r="AS480" s="27"/>
      <c r="AT480"/>
      <c r="AU480"/>
      <c r="AW480" s="13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</row>
    <row r="481" spans="1:65" s="6" customFormat="1" x14ac:dyDescent="0.25">
      <c r="A481"/>
      <c r="B481"/>
      <c r="C481"/>
      <c r="D481"/>
      <c r="E481"/>
      <c r="F481"/>
      <c r="G481"/>
      <c r="H481" s="13"/>
      <c r="I481" s="7"/>
      <c r="J481"/>
      <c r="K481"/>
      <c r="L481"/>
      <c r="M481"/>
      <c r="N481"/>
      <c r="O481"/>
      <c r="P481"/>
      <c r="Q481"/>
      <c r="R481"/>
      <c r="S481"/>
      <c r="T481"/>
      <c r="U481" s="27"/>
      <c r="V481" s="14"/>
      <c r="W481" s="27"/>
      <c r="X481" s="27"/>
      <c r="Y481" s="27"/>
      <c r="Z481" s="27"/>
      <c r="AA481"/>
      <c r="AB481"/>
      <c r="AC481" s="27"/>
      <c r="AD481"/>
      <c r="AE481" s="27"/>
      <c r="AF481" s="27"/>
      <c r="AG481" s="28"/>
      <c r="AH481" s="7"/>
      <c r="AI481" s="15"/>
      <c r="AJ481"/>
      <c r="AK481" s="27"/>
      <c r="AL481"/>
      <c r="AM481"/>
      <c r="AN481"/>
      <c r="AO481" s="27"/>
      <c r="AP481" s="27"/>
      <c r="AQ481" s="15"/>
      <c r="AR481"/>
      <c r="AS481" s="27"/>
      <c r="AT481"/>
      <c r="AU481"/>
      <c r="AW481" s="13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</row>
    <row r="482" spans="1:65" s="6" customFormat="1" x14ac:dyDescent="0.25">
      <c r="F482" s="21"/>
      <c r="G482" s="10"/>
      <c r="H482" s="7"/>
      <c r="I482" s="13"/>
      <c r="U482" s="16"/>
      <c r="W482" s="16"/>
      <c r="X482" s="16"/>
      <c r="Y482" s="16"/>
      <c r="Z482" s="16"/>
      <c r="AC482" s="16"/>
      <c r="AE482" s="16"/>
      <c r="AF482" s="22"/>
      <c r="AG482" s="18"/>
      <c r="AH482" s="7"/>
      <c r="AI482" s="7"/>
      <c r="AK482" s="16"/>
      <c r="AO482" s="23"/>
      <c r="AP482" s="17"/>
      <c r="AQ482" s="7"/>
      <c r="AR482"/>
      <c r="AS482" s="17"/>
      <c r="AV482"/>
      <c r="AW482" s="7"/>
      <c r="BB482" s="24"/>
      <c r="BC482"/>
      <c r="BG482"/>
    </row>
    <row r="483" spans="1:65" s="6" customFormat="1" x14ac:dyDescent="0.25">
      <c r="F483" s="21"/>
      <c r="G483" s="10"/>
      <c r="H483" s="7"/>
      <c r="I483" s="13"/>
      <c r="U483" s="16"/>
      <c r="W483" s="16"/>
      <c r="X483" s="16"/>
      <c r="Y483" s="16"/>
      <c r="Z483" s="16"/>
      <c r="AC483" s="16"/>
      <c r="AE483" s="16"/>
      <c r="AF483" s="22"/>
      <c r="AG483" s="18"/>
      <c r="AH483" s="7"/>
      <c r="AI483" s="7"/>
      <c r="AK483" s="16"/>
      <c r="AO483" s="23"/>
      <c r="AP483" s="17"/>
      <c r="AQ483" s="7"/>
      <c r="AR483"/>
      <c r="AS483" s="17"/>
      <c r="AW483" s="7"/>
      <c r="BB483" s="24"/>
      <c r="BC483"/>
      <c r="BG483"/>
    </row>
    <row r="484" spans="1:65" s="6" customFormat="1" x14ac:dyDescent="0.25">
      <c r="A484"/>
      <c r="B484"/>
      <c r="C484"/>
      <c r="D484"/>
      <c r="E484"/>
      <c r="F484"/>
      <c r="G484"/>
      <c r="H484" s="13"/>
      <c r="I484" s="13"/>
      <c r="J484"/>
      <c r="K484"/>
      <c r="L484"/>
      <c r="M484"/>
      <c r="N484"/>
      <c r="O484"/>
      <c r="P484"/>
      <c r="Q484"/>
      <c r="R484"/>
      <c r="S484"/>
      <c r="T484"/>
      <c r="U484" s="27"/>
      <c r="V484" s="14"/>
      <c r="W484" s="27"/>
      <c r="X484" s="27"/>
      <c r="Y484" s="27"/>
      <c r="Z484" s="27"/>
      <c r="AA484"/>
      <c r="AB484"/>
      <c r="AC484" s="27"/>
      <c r="AD484"/>
      <c r="AE484" s="27"/>
      <c r="AF484" s="27"/>
      <c r="AG484" s="28"/>
      <c r="AH484" s="15"/>
      <c r="AI484" s="15"/>
      <c r="AJ484"/>
      <c r="AK484" s="27"/>
      <c r="AL484"/>
      <c r="AM484"/>
      <c r="AN484"/>
      <c r="AO484" s="27"/>
      <c r="AP484" s="27"/>
      <c r="AQ484" s="15"/>
      <c r="AR484"/>
      <c r="AS484" s="27"/>
      <c r="AT484"/>
      <c r="AU484"/>
      <c r="AV484"/>
      <c r="AW484" s="13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</row>
    <row r="485" spans="1:65" s="6" customFormat="1" x14ac:dyDescent="0.25">
      <c r="A485"/>
      <c r="B485"/>
      <c r="C485"/>
      <c r="D485"/>
      <c r="E485"/>
      <c r="F485"/>
      <c r="G485"/>
      <c r="H485" s="13"/>
      <c r="I485" s="13"/>
      <c r="J485"/>
      <c r="K485"/>
      <c r="L485"/>
      <c r="M485"/>
      <c r="N485"/>
      <c r="O485"/>
      <c r="P485"/>
      <c r="Q485"/>
      <c r="R485"/>
      <c r="S485"/>
      <c r="T485"/>
      <c r="U485" s="27"/>
      <c r="V485" s="14"/>
      <c r="W485" s="27"/>
      <c r="X485" s="27"/>
      <c r="Y485" s="27"/>
      <c r="Z485" s="27"/>
      <c r="AA485"/>
      <c r="AB485"/>
      <c r="AC485" s="27"/>
      <c r="AD485"/>
      <c r="AE485" s="27"/>
      <c r="AF485" s="27"/>
      <c r="AG485" s="28"/>
      <c r="AH485" s="15"/>
      <c r="AI485" s="15"/>
      <c r="AJ485"/>
      <c r="AK485" s="27"/>
      <c r="AL485"/>
      <c r="AM485"/>
      <c r="AN485"/>
      <c r="AO485" s="27"/>
      <c r="AP485" s="27"/>
      <c r="AQ485" s="15"/>
      <c r="AR485"/>
      <c r="AS485" s="27"/>
      <c r="AT485"/>
      <c r="AU485"/>
      <c r="AV485"/>
      <c r="AW485" s="13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</row>
    <row r="486" spans="1:65" s="6" customFormat="1" x14ac:dyDescent="0.25">
      <c r="F486" s="21"/>
      <c r="G486" s="10"/>
      <c r="H486" s="7"/>
      <c r="I486" s="13"/>
      <c r="U486" s="16"/>
      <c r="W486" s="16"/>
      <c r="X486" s="16"/>
      <c r="Y486" s="16"/>
      <c r="Z486" s="16"/>
      <c r="AC486" s="16"/>
      <c r="AE486" s="16"/>
      <c r="AF486" s="22"/>
      <c r="AG486" s="18"/>
      <c r="AH486" s="7"/>
      <c r="AI486" s="7"/>
      <c r="AK486" s="16"/>
      <c r="AO486" s="23"/>
      <c r="AP486" s="17"/>
      <c r="AQ486" s="7"/>
      <c r="AR486"/>
      <c r="AS486" s="17"/>
      <c r="AW486" s="7"/>
      <c r="BB486" s="24"/>
      <c r="BC486"/>
      <c r="BG486"/>
    </row>
    <row r="487" spans="1:65" s="6" customFormat="1" x14ac:dyDescent="0.25">
      <c r="A487"/>
      <c r="B487"/>
      <c r="C487"/>
      <c r="D487"/>
      <c r="E487"/>
      <c r="F487"/>
      <c r="G487"/>
      <c r="H487" s="13"/>
      <c r="I487" s="7"/>
      <c r="J487"/>
      <c r="K487"/>
      <c r="L487"/>
      <c r="M487"/>
      <c r="N487"/>
      <c r="O487"/>
      <c r="P487"/>
      <c r="Q487"/>
      <c r="R487"/>
      <c r="S487"/>
      <c r="T487"/>
      <c r="U487" s="27"/>
      <c r="V487" s="14"/>
      <c r="W487" s="27"/>
      <c r="X487" s="27"/>
      <c r="Y487" s="27"/>
      <c r="Z487" s="27"/>
      <c r="AA487"/>
      <c r="AB487"/>
      <c r="AC487" s="27"/>
      <c r="AD487"/>
      <c r="AE487" s="27"/>
      <c r="AF487" s="27"/>
      <c r="AG487" s="28"/>
      <c r="AH487" s="7"/>
      <c r="AI487" s="15"/>
      <c r="AJ487"/>
      <c r="AK487" s="27"/>
      <c r="AL487"/>
      <c r="AM487"/>
      <c r="AN487"/>
      <c r="AO487" s="27"/>
      <c r="AP487" s="27"/>
      <c r="AQ487" s="15"/>
      <c r="AR487"/>
      <c r="AS487" s="27"/>
      <c r="AT487"/>
      <c r="AU487"/>
      <c r="AW487" s="13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</row>
    <row r="488" spans="1:65" s="6" customFormat="1" x14ac:dyDescent="0.25">
      <c r="F488" s="21"/>
      <c r="G488" s="10"/>
      <c r="H488" s="7"/>
      <c r="I488" s="13"/>
      <c r="U488" s="16"/>
      <c r="W488" s="16"/>
      <c r="X488" s="16"/>
      <c r="Y488" s="16"/>
      <c r="Z488" s="16"/>
      <c r="AC488" s="16"/>
      <c r="AE488" s="16"/>
      <c r="AF488" s="22"/>
      <c r="AG488" s="18"/>
      <c r="AH488" s="7"/>
      <c r="AI488" s="7"/>
      <c r="AK488" s="16"/>
      <c r="AO488" s="23"/>
      <c r="AP488" s="17"/>
      <c r="AQ488" s="7"/>
      <c r="AR488"/>
      <c r="AS488" s="17"/>
      <c r="AV488"/>
      <c r="AW488" s="7"/>
      <c r="BB488" s="24"/>
      <c r="BC488"/>
      <c r="BG488"/>
    </row>
    <row r="489" spans="1:65" s="6" customFormat="1" x14ac:dyDescent="0.25">
      <c r="A489"/>
      <c r="B489"/>
      <c r="C489"/>
      <c r="D489"/>
      <c r="E489"/>
      <c r="F489"/>
      <c r="G489"/>
      <c r="H489" s="13"/>
      <c r="I489" s="13"/>
      <c r="J489"/>
      <c r="K489"/>
      <c r="L489"/>
      <c r="M489"/>
      <c r="N489"/>
      <c r="O489"/>
      <c r="P489"/>
      <c r="Q489"/>
      <c r="R489"/>
      <c r="S489"/>
      <c r="T489"/>
      <c r="U489" s="27"/>
      <c r="V489" s="14"/>
      <c r="W489" s="27"/>
      <c r="X489" s="27"/>
      <c r="Y489" s="27"/>
      <c r="Z489" s="27"/>
      <c r="AA489"/>
      <c r="AB489"/>
      <c r="AC489" s="27"/>
      <c r="AD489"/>
      <c r="AE489" s="27"/>
      <c r="AF489" s="27"/>
      <c r="AG489" s="28"/>
      <c r="AH489" s="15"/>
      <c r="AI489" s="15"/>
      <c r="AJ489"/>
      <c r="AK489" s="27"/>
      <c r="AL489"/>
      <c r="AM489"/>
      <c r="AN489"/>
      <c r="AO489" s="27"/>
      <c r="AP489" s="27"/>
      <c r="AQ489" s="15"/>
      <c r="AR489"/>
      <c r="AS489" s="27"/>
      <c r="AT489"/>
      <c r="AU489"/>
      <c r="AW489" s="13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</row>
    <row r="490" spans="1:65" s="6" customFormat="1" x14ac:dyDescent="0.25">
      <c r="A490"/>
      <c r="B490"/>
      <c r="C490"/>
      <c r="D490"/>
      <c r="E490"/>
      <c r="F490"/>
      <c r="G490"/>
      <c r="H490" s="13"/>
      <c r="I490" s="7"/>
      <c r="J490"/>
      <c r="K490"/>
      <c r="L490"/>
      <c r="M490"/>
      <c r="N490"/>
      <c r="O490"/>
      <c r="P490"/>
      <c r="Q490"/>
      <c r="R490"/>
      <c r="S490"/>
      <c r="T490"/>
      <c r="U490" s="27"/>
      <c r="V490" s="14"/>
      <c r="W490" s="27"/>
      <c r="X490" s="27"/>
      <c r="Y490" s="27"/>
      <c r="Z490" s="27"/>
      <c r="AA490"/>
      <c r="AB490"/>
      <c r="AC490" s="27"/>
      <c r="AD490"/>
      <c r="AE490" s="27"/>
      <c r="AF490" s="27"/>
      <c r="AG490" s="28"/>
      <c r="AH490" s="7"/>
      <c r="AI490" s="15"/>
      <c r="AJ490"/>
      <c r="AK490" s="27"/>
      <c r="AL490"/>
      <c r="AM490"/>
      <c r="AN490"/>
      <c r="AO490" s="27"/>
      <c r="AP490" s="27"/>
      <c r="AQ490" s="15"/>
      <c r="AR490"/>
      <c r="AS490" s="27"/>
      <c r="AT490"/>
      <c r="AU490"/>
      <c r="AW490" s="13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</row>
    <row r="491" spans="1:65" s="6" customFormat="1" x14ac:dyDescent="0.25">
      <c r="F491" s="21"/>
      <c r="G491" s="10"/>
      <c r="H491" s="7"/>
      <c r="I491" s="13"/>
      <c r="U491" s="16"/>
      <c r="W491" s="16"/>
      <c r="X491" s="16"/>
      <c r="Y491" s="16"/>
      <c r="Z491" s="16"/>
      <c r="AC491" s="16"/>
      <c r="AE491" s="16"/>
      <c r="AF491" s="22"/>
      <c r="AG491" s="18"/>
      <c r="AH491" s="7"/>
      <c r="AI491" s="7"/>
      <c r="AK491" s="16"/>
      <c r="AO491" s="23"/>
      <c r="AP491" s="17"/>
      <c r="AQ491" s="7"/>
      <c r="AR491"/>
      <c r="AS491" s="17"/>
      <c r="AV491"/>
      <c r="AW491" s="7"/>
      <c r="BB491" s="24"/>
      <c r="BC491"/>
      <c r="BG491"/>
    </row>
    <row r="492" spans="1:65" s="6" customFormat="1" x14ac:dyDescent="0.25">
      <c r="F492" s="21"/>
      <c r="G492" s="10"/>
      <c r="H492" s="7"/>
      <c r="I492" s="13"/>
      <c r="U492" s="16"/>
      <c r="W492" s="16"/>
      <c r="X492" s="16"/>
      <c r="Y492" s="16"/>
      <c r="Z492" s="16"/>
      <c r="AC492" s="16"/>
      <c r="AE492" s="16"/>
      <c r="AF492" s="22"/>
      <c r="AG492" s="18"/>
      <c r="AH492" s="7"/>
      <c r="AI492" s="7"/>
      <c r="AK492" s="16"/>
      <c r="AO492" s="23"/>
      <c r="AP492" s="17"/>
      <c r="AQ492" s="7"/>
      <c r="AR492"/>
      <c r="AS492" s="17"/>
      <c r="AW492" s="7"/>
      <c r="BB492" s="24"/>
      <c r="BC492"/>
      <c r="BG492"/>
    </row>
    <row r="493" spans="1:65" s="6" customFormat="1" x14ac:dyDescent="0.25">
      <c r="A493"/>
      <c r="B493"/>
      <c r="C493"/>
      <c r="D493"/>
      <c r="E493"/>
      <c r="F493"/>
      <c r="G493"/>
      <c r="H493" s="13"/>
      <c r="I493" s="13"/>
      <c r="J493"/>
      <c r="K493"/>
      <c r="L493"/>
      <c r="M493"/>
      <c r="N493"/>
      <c r="O493"/>
      <c r="P493"/>
      <c r="Q493"/>
      <c r="R493"/>
      <c r="S493"/>
      <c r="T493"/>
      <c r="U493" s="27"/>
      <c r="V493" s="14"/>
      <c r="W493" s="27"/>
      <c r="X493" s="27"/>
      <c r="Y493" s="27"/>
      <c r="Z493" s="27"/>
      <c r="AA493"/>
      <c r="AB493"/>
      <c r="AC493" s="27"/>
      <c r="AD493"/>
      <c r="AE493" s="27"/>
      <c r="AF493" s="27"/>
      <c r="AG493" s="28"/>
      <c r="AH493" s="15"/>
      <c r="AI493" s="15"/>
      <c r="AJ493"/>
      <c r="AK493" s="27"/>
      <c r="AL493"/>
      <c r="AM493"/>
      <c r="AN493"/>
      <c r="AO493" s="27"/>
      <c r="AP493" s="27"/>
      <c r="AQ493" s="15"/>
      <c r="AR493"/>
      <c r="AS493" s="27"/>
      <c r="AT493"/>
      <c r="AU493"/>
      <c r="AV493"/>
      <c r="AW493" s="1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</row>
    <row r="494" spans="1:65" s="6" customFormat="1" x14ac:dyDescent="0.25">
      <c r="A494"/>
      <c r="B494"/>
      <c r="C494"/>
      <c r="D494"/>
      <c r="E494"/>
      <c r="F494"/>
      <c r="G494"/>
      <c r="H494" s="13"/>
      <c r="I494" s="13"/>
      <c r="J494"/>
      <c r="K494"/>
      <c r="L494"/>
      <c r="M494"/>
      <c r="N494"/>
      <c r="O494"/>
      <c r="P494"/>
      <c r="Q494"/>
      <c r="R494"/>
      <c r="S494"/>
      <c r="T494"/>
      <c r="U494" s="27"/>
      <c r="V494" s="14"/>
      <c r="W494" s="27"/>
      <c r="X494" s="27"/>
      <c r="Y494" s="27"/>
      <c r="Z494" s="27"/>
      <c r="AA494"/>
      <c r="AB494"/>
      <c r="AC494" s="27"/>
      <c r="AD494"/>
      <c r="AE494" s="27"/>
      <c r="AF494" s="27"/>
      <c r="AG494" s="28"/>
      <c r="AH494" s="15"/>
      <c r="AI494" s="15"/>
      <c r="AJ494"/>
      <c r="AK494" s="27"/>
      <c r="AL494"/>
      <c r="AM494"/>
      <c r="AN494"/>
      <c r="AO494" s="27"/>
      <c r="AP494" s="27"/>
      <c r="AQ494" s="15"/>
      <c r="AR494"/>
      <c r="AS494" s="27"/>
      <c r="AT494"/>
      <c r="AU494"/>
      <c r="AV494"/>
      <c r="AW494" s="13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</row>
    <row r="495" spans="1:65" s="6" customFormat="1" x14ac:dyDescent="0.25">
      <c r="F495" s="21"/>
      <c r="G495" s="10"/>
      <c r="H495" s="7"/>
      <c r="I495" s="13"/>
      <c r="U495" s="16"/>
      <c r="W495" s="16"/>
      <c r="X495" s="16"/>
      <c r="Y495" s="16"/>
      <c r="Z495" s="16"/>
      <c r="AC495" s="16"/>
      <c r="AE495" s="16"/>
      <c r="AF495" s="22"/>
      <c r="AG495" s="18"/>
      <c r="AH495" s="7"/>
      <c r="AI495" s="7"/>
      <c r="AK495" s="16"/>
      <c r="AO495" s="23"/>
      <c r="AP495" s="17"/>
      <c r="AQ495" s="7"/>
      <c r="AR495"/>
      <c r="AS495" s="17"/>
      <c r="AW495" s="7"/>
      <c r="BB495" s="24"/>
      <c r="BC495"/>
      <c r="BG495"/>
    </row>
    <row r="496" spans="1:65" s="6" customFormat="1" x14ac:dyDescent="0.25">
      <c r="A496"/>
      <c r="B496"/>
      <c r="C496"/>
      <c r="D496"/>
      <c r="E496"/>
      <c r="F496"/>
      <c r="G496"/>
      <c r="H496" s="13"/>
      <c r="I496" s="7"/>
      <c r="J496"/>
      <c r="K496"/>
      <c r="L496"/>
      <c r="M496"/>
      <c r="N496"/>
      <c r="O496"/>
      <c r="P496"/>
      <c r="Q496"/>
      <c r="R496"/>
      <c r="S496"/>
      <c r="T496"/>
      <c r="U496" s="27"/>
      <c r="V496" s="14"/>
      <c r="W496" s="27"/>
      <c r="X496" s="27"/>
      <c r="Y496" s="27"/>
      <c r="Z496" s="27"/>
      <c r="AA496"/>
      <c r="AB496"/>
      <c r="AC496" s="27"/>
      <c r="AD496"/>
      <c r="AE496" s="27"/>
      <c r="AF496" s="27"/>
      <c r="AG496" s="28"/>
      <c r="AH496" s="7"/>
      <c r="AI496" s="15"/>
      <c r="AJ496"/>
      <c r="AK496" s="27"/>
      <c r="AL496"/>
      <c r="AM496"/>
      <c r="AN496"/>
      <c r="AO496" s="27"/>
      <c r="AP496" s="27"/>
      <c r="AQ496" s="15"/>
      <c r="AR496"/>
      <c r="AS496" s="27"/>
      <c r="AT496"/>
      <c r="AU496"/>
      <c r="AW496" s="7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</row>
    <row r="497" spans="1:65" s="6" customFormat="1" x14ac:dyDescent="0.25">
      <c r="F497" s="21"/>
      <c r="G497" s="10"/>
      <c r="H497" s="7"/>
      <c r="I497" s="13"/>
      <c r="U497" s="16"/>
      <c r="W497" s="16"/>
      <c r="X497" s="16"/>
      <c r="Y497" s="16"/>
      <c r="Z497" s="16"/>
      <c r="AC497" s="16"/>
      <c r="AE497" s="16"/>
      <c r="AF497" s="22"/>
      <c r="AG497" s="18"/>
      <c r="AH497" s="7"/>
      <c r="AI497" s="7"/>
      <c r="AK497" s="16"/>
      <c r="AO497" s="23"/>
      <c r="AP497" s="17"/>
      <c r="AQ497" s="7"/>
      <c r="AR497"/>
      <c r="AS497" s="17"/>
      <c r="AV497"/>
      <c r="AW497" s="7"/>
      <c r="BB497" s="24"/>
      <c r="BC497"/>
      <c r="BG497"/>
    </row>
    <row r="498" spans="1:65" s="6" customFormat="1" x14ac:dyDescent="0.25">
      <c r="A498"/>
      <c r="B498"/>
      <c r="C498"/>
      <c r="D498"/>
      <c r="E498"/>
      <c r="F498"/>
      <c r="G498"/>
      <c r="H498" s="13"/>
      <c r="I498" s="13"/>
      <c r="J498"/>
      <c r="K498"/>
      <c r="L498"/>
      <c r="M498"/>
      <c r="N498"/>
      <c r="O498"/>
      <c r="P498"/>
      <c r="Q498"/>
      <c r="R498"/>
      <c r="S498"/>
      <c r="T498"/>
      <c r="U498" s="27"/>
      <c r="V498" s="14"/>
      <c r="W498" s="27"/>
      <c r="X498" s="27"/>
      <c r="Y498" s="27"/>
      <c r="Z498" s="27"/>
      <c r="AA498"/>
      <c r="AB498"/>
      <c r="AC498" s="27"/>
      <c r="AD498"/>
      <c r="AE498" s="27"/>
      <c r="AF498" s="27"/>
      <c r="AG498" s="28"/>
      <c r="AH498" s="15"/>
      <c r="AI498" s="15"/>
      <c r="AJ498"/>
      <c r="AK498" s="27"/>
      <c r="AL498"/>
      <c r="AM498"/>
      <c r="AN498"/>
      <c r="AO498" s="27"/>
      <c r="AP498" s="27"/>
      <c r="AQ498" s="15"/>
      <c r="AR498"/>
      <c r="AS498" s="27"/>
      <c r="AT498"/>
      <c r="AU498"/>
      <c r="AW498" s="13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</row>
    <row r="499" spans="1:65" s="6" customFormat="1" x14ac:dyDescent="0.25">
      <c r="A499"/>
      <c r="B499"/>
      <c r="C499"/>
      <c r="D499"/>
      <c r="E499"/>
      <c r="F499"/>
      <c r="G499"/>
      <c r="H499" s="13"/>
      <c r="I499" s="7"/>
      <c r="J499"/>
      <c r="K499"/>
      <c r="L499"/>
      <c r="M499"/>
      <c r="N499"/>
      <c r="O499"/>
      <c r="P499"/>
      <c r="Q499"/>
      <c r="R499"/>
      <c r="S499"/>
      <c r="T499"/>
      <c r="U499" s="27"/>
      <c r="V499" s="14"/>
      <c r="W499" s="27"/>
      <c r="X499" s="27"/>
      <c r="Y499" s="27"/>
      <c r="Z499" s="27"/>
      <c r="AA499"/>
      <c r="AB499"/>
      <c r="AC499" s="27"/>
      <c r="AD499"/>
      <c r="AE499" s="27"/>
      <c r="AF499" s="27"/>
      <c r="AG499" s="28"/>
      <c r="AH499" s="7"/>
      <c r="AI499" s="15"/>
      <c r="AJ499"/>
      <c r="AK499" s="27"/>
      <c r="AL499"/>
      <c r="AM499"/>
      <c r="AN499"/>
      <c r="AO499" s="27"/>
      <c r="AP499" s="27"/>
      <c r="AQ499" s="15"/>
      <c r="AR499"/>
      <c r="AS499" s="27"/>
      <c r="AT499"/>
      <c r="AU499"/>
      <c r="AW499" s="13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</row>
    <row r="500" spans="1:65" s="6" customFormat="1" x14ac:dyDescent="0.25">
      <c r="F500" s="21"/>
      <c r="G500" s="10"/>
      <c r="H500" s="7"/>
      <c r="I500" s="13"/>
      <c r="U500" s="16"/>
      <c r="W500" s="16"/>
      <c r="X500" s="16"/>
      <c r="Y500" s="16"/>
      <c r="Z500" s="16"/>
      <c r="AC500" s="16"/>
      <c r="AE500" s="16"/>
      <c r="AF500" s="22"/>
      <c r="AG500" s="18"/>
      <c r="AH500" s="7"/>
      <c r="AI500" s="7"/>
      <c r="AK500" s="16"/>
      <c r="AO500" s="23"/>
      <c r="AP500" s="17"/>
      <c r="AQ500" s="7"/>
      <c r="AR500"/>
      <c r="AS500" s="17"/>
      <c r="AV500"/>
      <c r="AW500" s="7"/>
      <c r="BB500" s="24"/>
      <c r="BC500"/>
      <c r="BG500"/>
    </row>
    <row r="501" spans="1:65" s="6" customFormat="1" x14ac:dyDescent="0.25">
      <c r="H501" s="7"/>
      <c r="I501" s="13"/>
      <c r="U501" s="16"/>
      <c r="W501" s="16"/>
      <c r="X501" s="16"/>
      <c r="Y501" s="16"/>
      <c r="Z501" s="16"/>
      <c r="AC501" s="16"/>
      <c r="AE501" s="16"/>
      <c r="AF501" s="16"/>
      <c r="AG501" s="18"/>
      <c r="AH501" s="7"/>
      <c r="AI501" s="7"/>
      <c r="AK501" s="16"/>
      <c r="AO501" s="16"/>
      <c r="AP501" s="16"/>
      <c r="AQ501" s="7"/>
      <c r="AR501"/>
      <c r="AS501" s="16"/>
      <c r="AW501" s="7"/>
      <c r="BC501"/>
      <c r="BG501"/>
    </row>
    <row r="502" spans="1:65" s="6" customFormat="1" x14ac:dyDescent="0.25">
      <c r="A502"/>
      <c r="B502"/>
      <c r="C502"/>
      <c r="D502"/>
      <c r="E502"/>
      <c r="F502"/>
      <c r="G502"/>
      <c r="H502" s="13"/>
      <c r="I502" s="13"/>
      <c r="J502"/>
      <c r="K502"/>
      <c r="L502"/>
      <c r="M502"/>
      <c r="N502"/>
      <c r="O502"/>
      <c r="P502"/>
      <c r="Q502"/>
      <c r="R502"/>
      <c r="S502"/>
      <c r="T502"/>
      <c r="U502" s="27"/>
      <c r="V502" s="14"/>
      <c r="W502" s="27"/>
      <c r="X502" s="27"/>
      <c r="Y502" s="27"/>
      <c r="Z502" s="27"/>
      <c r="AA502"/>
      <c r="AB502"/>
      <c r="AC502" s="27"/>
      <c r="AD502"/>
      <c r="AE502" s="27"/>
      <c r="AF502" s="27"/>
      <c r="AG502" s="28"/>
      <c r="AH502" s="15"/>
      <c r="AI502" s="15"/>
      <c r="AJ502"/>
      <c r="AK502" s="27"/>
      <c r="AL502"/>
      <c r="AM502"/>
      <c r="AN502"/>
      <c r="AO502" s="27"/>
      <c r="AP502" s="27"/>
      <c r="AQ502" s="15"/>
      <c r="AR502"/>
      <c r="AS502" s="27"/>
      <c r="AT502"/>
      <c r="AU502"/>
      <c r="AV502"/>
      <c r="AW502" s="13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</row>
    <row r="503" spans="1:65" s="6" customFormat="1" x14ac:dyDescent="0.25">
      <c r="A503"/>
      <c r="B503"/>
      <c r="C503"/>
      <c r="D503"/>
      <c r="E503"/>
      <c r="F503"/>
      <c r="G503"/>
      <c r="H503" s="13"/>
      <c r="I503" s="13"/>
      <c r="J503"/>
      <c r="K503"/>
      <c r="L503"/>
      <c r="M503"/>
      <c r="N503"/>
      <c r="O503"/>
      <c r="P503"/>
      <c r="Q503"/>
      <c r="R503"/>
      <c r="S503"/>
      <c r="T503"/>
      <c r="U503" s="27"/>
      <c r="V503" s="14"/>
      <c r="W503" s="27"/>
      <c r="X503" s="27"/>
      <c r="Y503" s="27"/>
      <c r="Z503" s="27"/>
      <c r="AA503"/>
      <c r="AB503"/>
      <c r="AC503" s="27"/>
      <c r="AD503"/>
      <c r="AE503" s="27"/>
      <c r="AF503" s="27"/>
      <c r="AG503" s="28"/>
      <c r="AH503" s="15"/>
      <c r="AI503" s="15"/>
      <c r="AJ503"/>
      <c r="AK503" s="27"/>
      <c r="AL503"/>
      <c r="AM503"/>
      <c r="AN503"/>
      <c r="AO503" s="27"/>
      <c r="AP503" s="27"/>
      <c r="AQ503" s="15"/>
      <c r="AR503"/>
      <c r="AS503" s="27"/>
      <c r="AT503"/>
      <c r="AU503"/>
      <c r="AV503"/>
      <c r="AW503" s="1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</row>
    <row r="504" spans="1:65" s="6" customFormat="1" x14ac:dyDescent="0.25">
      <c r="F504" s="21"/>
      <c r="G504" s="10"/>
      <c r="H504" s="7"/>
      <c r="I504" s="13"/>
      <c r="U504" s="16"/>
      <c r="W504" s="16"/>
      <c r="X504" s="16"/>
      <c r="Y504" s="16"/>
      <c r="Z504" s="16"/>
      <c r="AC504" s="16"/>
      <c r="AE504" s="16"/>
      <c r="AF504" s="22"/>
      <c r="AG504" s="18"/>
      <c r="AH504" s="7"/>
      <c r="AI504" s="7"/>
      <c r="AK504" s="16"/>
      <c r="AO504" s="23"/>
      <c r="AP504" s="17"/>
      <c r="AQ504" s="7"/>
      <c r="AR504"/>
      <c r="AS504" s="17"/>
      <c r="AW504" s="7"/>
      <c r="BB504" s="24"/>
      <c r="BC504"/>
      <c r="BG504"/>
    </row>
    <row r="505" spans="1:65" s="6" customFormat="1" x14ac:dyDescent="0.25">
      <c r="A505"/>
      <c r="B505"/>
      <c r="C505"/>
      <c r="D505"/>
      <c r="E505"/>
      <c r="F505"/>
      <c r="G505"/>
      <c r="H505" s="13"/>
      <c r="I505" s="7"/>
      <c r="J505"/>
      <c r="K505"/>
      <c r="L505"/>
      <c r="M505"/>
      <c r="N505"/>
      <c r="O505"/>
      <c r="P505"/>
      <c r="Q505"/>
      <c r="R505"/>
      <c r="S505"/>
      <c r="T505"/>
      <c r="U505" s="27"/>
      <c r="V505" s="14"/>
      <c r="W505" s="27"/>
      <c r="X505" s="27"/>
      <c r="Y505" s="27"/>
      <c r="Z505" s="27"/>
      <c r="AA505"/>
      <c r="AB505"/>
      <c r="AC505" s="27"/>
      <c r="AD505"/>
      <c r="AE505" s="27"/>
      <c r="AF505" s="27"/>
      <c r="AG505" s="28"/>
      <c r="AH505" s="7"/>
      <c r="AI505" s="15"/>
      <c r="AJ505"/>
      <c r="AK505" s="27"/>
      <c r="AL505"/>
      <c r="AM505"/>
      <c r="AN505"/>
      <c r="AO505" s="27"/>
      <c r="AP505" s="27"/>
      <c r="AQ505" s="15"/>
      <c r="AR505"/>
      <c r="AS505" s="27"/>
      <c r="AT505"/>
      <c r="AU505"/>
      <c r="AW505" s="7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</row>
    <row r="506" spans="1:65" s="6" customFormat="1" x14ac:dyDescent="0.25">
      <c r="F506" s="21"/>
      <c r="G506" s="10"/>
      <c r="H506" s="7"/>
      <c r="I506" s="13"/>
      <c r="U506" s="16"/>
      <c r="W506" s="16"/>
      <c r="X506" s="16"/>
      <c r="Y506" s="16"/>
      <c r="Z506" s="16"/>
      <c r="AC506" s="16"/>
      <c r="AE506" s="16"/>
      <c r="AF506" s="22"/>
      <c r="AG506" s="18"/>
      <c r="AH506" s="7"/>
      <c r="AI506" s="7"/>
      <c r="AK506" s="16"/>
      <c r="AO506" s="23"/>
      <c r="AP506" s="17"/>
      <c r="AQ506" s="7"/>
      <c r="AR506"/>
      <c r="AS506" s="17"/>
      <c r="AV506"/>
      <c r="AW506" s="7"/>
      <c r="BB506" s="24"/>
      <c r="BC506"/>
      <c r="BG506"/>
    </row>
    <row r="507" spans="1:65" s="6" customFormat="1" x14ac:dyDescent="0.25">
      <c r="A507"/>
      <c r="B507"/>
      <c r="C507"/>
      <c r="D507"/>
      <c r="E507"/>
      <c r="F507"/>
      <c r="G507"/>
      <c r="H507" s="13"/>
      <c r="I507" s="13"/>
      <c r="J507"/>
      <c r="K507"/>
      <c r="L507"/>
      <c r="M507"/>
      <c r="N507"/>
      <c r="O507"/>
      <c r="P507"/>
      <c r="Q507"/>
      <c r="R507"/>
      <c r="S507"/>
      <c r="T507"/>
      <c r="U507" s="27"/>
      <c r="V507" s="14"/>
      <c r="W507" s="27"/>
      <c r="X507" s="27"/>
      <c r="Y507" s="27"/>
      <c r="Z507" s="27"/>
      <c r="AA507"/>
      <c r="AB507"/>
      <c r="AC507" s="27"/>
      <c r="AD507"/>
      <c r="AE507" s="27"/>
      <c r="AF507" s="27"/>
      <c r="AG507" s="28"/>
      <c r="AH507" s="15"/>
      <c r="AI507" s="15"/>
      <c r="AJ507"/>
      <c r="AK507" s="27"/>
      <c r="AL507"/>
      <c r="AM507"/>
      <c r="AN507"/>
      <c r="AO507" s="27"/>
      <c r="AP507" s="27"/>
      <c r="AQ507" s="15"/>
      <c r="AR507"/>
      <c r="AS507" s="27"/>
      <c r="AT507"/>
      <c r="AU507"/>
      <c r="AW507" s="13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</row>
    <row r="508" spans="1:65" s="6" customFormat="1" x14ac:dyDescent="0.25">
      <c r="A508"/>
      <c r="B508"/>
      <c r="C508"/>
      <c r="D508"/>
      <c r="E508"/>
      <c r="F508"/>
      <c r="G508"/>
      <c r="H508" s="13"/>
      <c r="I508" s="7"/>
      <c r="J508"/>
      <c r="K508"/>
      <c r="L508"/>
      <c r="M508"/>
      <c r="N508"/>
      <c r="O508"/>
      <c r="P508"/>
      <c r="Q508"/>
      <c r="R508"/>
      <c r="S508"/>
      <c r="T508"/>
      <c r="U508" s="27"/>
      <c r="V508" s="14"/>
      <c r="W508" s="27"/>
      <c r="X508" s="27"/>
      <c r="Y508" s="27"/>
      <c r="Z508" s="27"/>
      <c r="AA508"/>
      <c r="AB508"/>
      <c r="AC508" s="27"/>
      <c r="AD508"/>
      <c r="AE508" s="27"/>
      <c r="AF508" s="27"/>
      <c r="AG508" s="28"/>
      <c r="AH508" s="7"/>
      <c r="AI508" s="15"/>
      <c r="AJ508"/>
      <c r="AK508" s="27"/>
      <c r="AL508"/>
      <c r="AM508"/>
      <c r="AN508"/>
      <c r="AO508" s="27"/>
      <c r="AP508" s="27"/>
      <c r="AQ508" s="15"/>
      <c r="AR508"/>
      <c r="AS508" s="27"/>
      <c r="AT508"/>
      <c r="AU508"/>
      <c r="AW508" s="13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</row>
    <row r="509" spans="1:65" s="6" customFormat="1" x14ac:dyDescent="0.25">
      <c r="F509" s="21"/>
      <c r="G509" s="10"/>
      <c r="H509" s="7"/>
      <c r="I509" s="13"/>
      <c r="U509" s="16"/>
      <c r="W509" s="16"/>
      <c r="X509" s="16"/>
      <c r="Y509" s="16"/>
      <c r="Z509" s="16"/>
      <c r="AC509" s="16"/>
      <c r="AE509" s="16"/>
      <c r="AF509" s="22"/>
      <c r="AG509" s="18"/>
      <c r="AH509" s="7"/>
      <c r="AI509" s="7"/>
      <c r="AK509" s="16"/>
      <c r="AO509" s="23"/>
      <c r="AP509" s="17"/>
      <c r="AQ509" s="7"/>
      <c r="AR509"/>
      <c r="AS509" s="17"/>
      <c r="AV509"/>
      <c r="AW509" s="7"/>
      <c r="BB509" s="24"/>
      <c r="BC509"/>
      <c r="BG509"/>
    </row>
    <row r="510" spans="1:65" s="6" customFormat="1" x14ac:dyDescent="0.25">
      <c r="F510" s="21"/>
      <c r="G510" s="10"/>
      <c r="H510" s="7"/>
      <c r="I510" s="13"/>
      <c r="U510" s="16"/>
      <c r="W510" s="16"/>
      <c r="X510" s="16"/>
      <c r="Y510" s="16"/>
      <c r="Z510" s="16"/>
      <c r="AC510" s="16"/>
      <c r="AE510" s="16"/>
      <c r="AF510" s="22"/>
      <c r="AG510" s="18"/>
      <c r="AH510" s="7"/>
      <c r="AI510" s="7"/>
      <c r="AK510" s="16"/>
      <c r="AO510" s="23"/>
      <c r="AP510" s="17"/>
      <c r="AQ510" s="7"/>
      <c r="AR510"/>
      <c r="AS510" s="17"/>
      <c r="AW510" s="7"/>
      <c r="BB510" s="24"/>
      <c r="BC510"/>
      <c r="BG510"/>
    </row>
    <row r="511" spans="1:65" s="6" customFormat="1" x14ac:dyDescent="0.25">
      <c r="A511"/>
      <c r="B511"/>
      <c r="C511"/>
      <c r="D511"/>
      <c r="E511"/>
      <c r="F511"/>
      <c r="G511"/>
      <c r="H511" s="13"/>
      <c r="I511" s="13"/>
      <c r="J511"/>
      <c r="K511"/>
      <c r="L511"/>
      <c r="M511"/>
      <c r="N511"/>
      <c r="O511"/>
      <c r="P511"/>
      <c r="Q511"/>
      <c r="R511"/>
      <c r="S511"/>
      <c r="T511"/>
      <c r="U511" s="27"/>
      <c r="V511" s="14"/>
      <c r="W511" s="27"/>
      <c r="X511" s="27"/>
      <c r="Y511" s="27"/>
      <c r="Z511" s="27"/>
      <c r="AA511"/>
      <c r="AB511"/>
      <c r="AC511" s="27"/>
      <c r="AD511"/>
      <c r="AE511" s="27"/>
      <c r="AF511" s="27"/>
      <c r="AG511" s="28"/>
      <c r="AH511" s="15"/>
      <c r="AI511" s="15"/>
      <c r="AJ511"/>
      <c r="AK511" s="27"/>
      <c r="AL511"/>
      <c r="AM511"/>
      <c r="AN511"/>
      <c r="AO511" s="27"/>
      <c r="AP511" s="27"/>
      <c r="AQ511" s="15"/>
      <c r="AR511"/>
      <c r="AS511" s="27"/>
      <c r="AT511"/>
      <c r="AU511"/>
      <c r="AV511"/>
      <c r="AW511" s="13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</row>
    <row r="512" spans="1:65" s="6" customFormat="1" x14ac:dyDescent="0.25">
      <c r="A512"/>
      <c r="B512"/>
      <c r="C512"/>
      <c r="D512"/>
      <c r="E512"/>
      <c r="F512"/>
      <c r="G512"/>
      <c r="H512" s="13"/>
      <c r="I512" s="13"/>
      <c r="J512"/>
      <c r="K512"/>
      <c r="L512"/>
      <c r="M512"/>
      <c r="N512"/>
      <c r="O512"/>
      <c r="P512"/>
      <c r="Q512"/>
      <c r="R512"/>
      <c r="S512"/>
      <c r="T512"/>
      <c r="U512" s="27"/>
      <c r="V512" s="14"/>
      <c r="W512" s="27"/>
      <c r="X512" s="27"/>
      <c r="Y512" s="27"/>
      <c r="Z512" s="27"/>
      <c r="AA512"/>
      <c r="AB512"/>
      <c r="AC512" s="27"/>
      <c r="AD512"/>
      <c r="AE512" s="27"/>
      <c r="AF512" s="27"/>
      <c r="AG512" s="28"/>
      <c r="AH512" s="15"/>
      <c r="AI512" s="15"/>
      <c r="AJ512"/>
      <c r="AK512" s="27"/>
      <c r="AL512"/>
      <c r="AM512"/>
      <c r="AN512"/>
      <c r="AO512" s="27"/>
      <c r="AP512" s="27"/>
      <c r="AQ512" s="15"/>
      <c r="AR512"/>
      <c r="AS512" s="27"/>
      <c r="AT512"/>
      <c r="AU512"/>
      <c r="AV512"/>
      <c r="AW512" s="13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</row>
    <row r="513" spans="1:65" s="6" customFormat="1" x14ac:dyDescent="0.25">
      <c r="F513" s="21"/>
      <c r="G513" s="10"/>
      <c r="H513" s="7"/>
      <c r="I513" s="13"/>
      <c r="U513" s="16"/>
      <c r="W513" s="16"/>
      <c r="X513" s="16"/>
      <c r="Y513" s="16"/>
      <c r="Z513" s="16"/>
      <c r="AC513" s="16"/>
      <c r="AE513" s="16"/>
      <c r="AF513" s="22"/>
      <c r="AG513" s="18"/>
      <c r="AH513" s="7"/>
      <c r="AI513" s="7"/>
      <c r="AK513" s="16"/>
      <c r="AO513" s="23"/>
      <c r="AP513" s="17"/>
      <c r="AQ513" s="7"/>
      <c r="AR513"/>
      <c r="AS513" s="17"/>
      <c r="AW513" s="7"/>
      <c r="BB513" s="24"/>
      <c r="BC513"/>
      <c r="BG513"/>
    </row>
    <row r="514" spans="1:65" s="6" customFormat="1" x14ac:dyDescent="0.25">
      <c r="A514"/>
      <c r="B514"/>
      <c r="C514"/>
      <c r="D514"/>
      <c r="E514"/>
      <c r="F514"/>
      <c r="G514"/>
      <c r="H514" s="13"/>
      <c r="I514" s="7"/>
      <c r="J514"/>
      <c r="K514"/>
      <c r="L514"/>
      <c r="M514"/>
      <c r="N514"/>
      <c r="O514"/>
      <c r="P514"/>
      <c r="Q514"/>
      <c r="R514"/>
      <c r="S514"/>
      <c r="T514"/>
      <c r="U514" s="27"/>
      <c r="V514" s="14"/>
      <c r="W514" s="27"/>
      <c r="X514" s="27"/>
      <c r="Y514" s="27"/>
      <c r="Z514" s="27"/>
      <c r="AA514"/>
      <c r="AB514"/>
      <c r="AC514" s="27"/>
      <c r="AD514"/>
      <c r="AE514" s="27"/>
      <c r="AF514" s="27"/>
      <c r="AG514" s="28"/>
      <c r="AH514" s="7"/>
      <c r="AI514" s="15"/>
      <c r="AJ514"/>
      <c r="AK514" s="27"/>
      <c r="AL514"/>
      <c r="AM514"/>
      <c r="AN514"/>
      <c r="AO514" s="27"/>
      <c r="AP514" s="27"/>
      <c r="AQ514" s="15"/>
      <c r="AR514"/>
      <c r="AS514" s="27"/>
      <c r="AT514"/>
      <c r="AU514"/>
      <c r="AW514" s="13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</row>
    <row r="515" spans="1:65" s="6" customFormat="1" x14ac:dyDescent="0.25">
      <c r="F515" s="21"/>
      <c r="G515" s="10"/>
      <c r="H515" s="7"/>
      <c r="I515" s="13"/>
      <c r="U515" s="16"/>
      <c r="W515" s="16"/>
      <c r="X515" s="16"/>
      <c r="Y515" s="16"/>
      <c r="Z515" s="16"/>
      <c r="AC515" s="16"/>
      <c r="AE515" s="16"/>
      <c r="AF515" s="22"/>
      <c r="AG515" s="18"/>
      <c r="AH515" s="7"/>
      <c r="AI515" s="7"/>
      <c r="AK515" s="16"/>
      <c r="AO515" s="23"/>
      <c r="AP515" s="17"/>
      <c r="AQ515" s="7"/>
      <c r="AR515"/>
      <c r="AS515" s="17"/>
      <c r="AV515"/>
      <c r="AW515" s="7"/>
      <c r="BB515" s="24"/>
      <c r="BC515"/>
      <c r="BG515"/>
    </row>
    <row r="516" spans="1:65" s="6" customFormat="1" x14ac:dyDescent="0.25">
      <c r="A516"/>
      <c r="B516"/>
      <c r="C516"/>
      <c r="D516"/>
      <c r="E516"/>
      <c r="F516"/>
      <c r="G516"/>
      <c r="H516" s="13"/>
      <c r="I516" s="13"/>
      <c r="J516"/>
      <c r="K516"/>
      <c r="L516"/>
      <c r="M516"/>
      <c r="N516"/>
      <c r="O516"/>
      <c r="P516"/>
      <c r="Q516"/>
      <c r="R516"/>
      <c r="S516"/>
      <c r="T516"/>
      <c r="U516" s="27"/>
      <c r="V516" s="14"/>
      <c r="W516" s="27"/>
      <c r="X516" s="27"/>
      <c r="Y516" s="27"/>
      <c r="Z516" s="27"/>
      <c r="AA516"/>
      <c r="AB516"/>
      <c r="AC516" s="27"/>
      <c r="AD516"/>
      <c r="AE516" s="27"/>
      <c r="AF516" s="27"/>
      <c r="AG516" s="28"/>
      <c r="AH516" s="15"/>
      <c r="AI516" s="15"/>
      <c r="AJ516"/>
      <c r="AK516" s="27"/>
      <c r="AL516"/>
      <c r="AM516"/>
      <c r="AN516"/>
      <c r="AO516" s="27"/>
      <c r="AP516" s="27"/>
      <c r="AQ516" s="15"/>
      <c r="AR516"/>
      <c r="AS516" s="27"/>
      <c r="AT516"/>
      <c r="AU516"/>
      <c r="AW516" s="13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</row>
    <row r="517" spans="1:65" s="6" customFormat="1" x14ac:dyDescent="0.25">
      <c r="A517"/>
      <c r="B517"/>
      <c r="C517"/>
      <c r="D517"/>
      <c r="E517"/>
      <c r="F517"/>
      <c r="G517"/>
      <c r="H517" s="13"/>
      <c r="I517" s="7"/>
      <c r="J517"/>
      <c r="K517"/>
      <c r="L517"/>
      <c r="M517"/>
      <c r="N517"/>
      <c r="O517"/>
      <c r="P517"/>
      <c r="Q517"/>
      <c r="R517"/>
      <c r="S517"/>
      <c r="T517"/>
      <c r="U517" s="27"/>
      <c r="V517" s="14"/>
      <c r="W517" s="27"/>
      <c r="X517" s="27"/>
      <c r="Y517" s="27"/>
      <c r="Z517" s="27"/>
      <c r="AA517"/>
      <c r="AB517"/>
      <c r="AC517" s="27"/>
      <c r="AD517"/>
      <c r="AE517" s="27"/>
      <c r="AF517" s="27"/>
      <c r="AG517" s="28"/>
      <c r="AH517" s="7"/>
      <c r="AI517" s="15"/>
      <c r="AJ517"/>
      <c r="AK517" s="27"/>
      <c r="AL517"/>
      <c r="AM517"/>
      <c r="AN517"/>
      <c r="AO517" s="27"/>
      <c r="AP517" s="27"/>
      <c r="AQ517" s="15"/>
      <c r="AR517"/>
      <c r="AS517" s="27"/>
      <c r="AT517"/>
      <c r="AU517"/>
      <c r="AW517" s="13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</row>
    <row r="518" spans="1:65" s="6" customFormat="1" x14ac:dyDescent="0.25">
      <c r="F518" s="21"/>
      <c r="G518" s="10"/>
      <c r="H518" s="7"/>
      <c r="I518" s="13"/>
      <c r="U518" s="16"/>
      <c r="W518" s="16"/>
      <c r="X518" s="16"/>
      <c r="Y518" s="16"/>
      <c r="Z518" s="16"/>
      <c r="AC518" s="16"/>
      <c r="AE518" s="16"/>
      <c r="AF518" s="22"/>
      <c r="AG518" s="18"/>
      <c r="AH518" s="7"/>
      <c r="AI518" s="7"/>
      <c r="AK518" s="16"/>
      <c r="AO518" s="23"/>
      <c r="AP518" s="17"/>
      <c r="AQ518" s="7"/>
      <c r="AR518"/>
      <c r="AS518" s="17"/>
      <c r="AV518"/>
      <c r="AW518" s="7"/>
      <c r="BB518" s="24"/>
      <c r="BC518"/>
      <c r="BG518"/>
    </row>
    <row r="519" spans="1:65" s="6" customFormat="1" x14ac:dyDescent="0.25">
      <c r="F519" s="21"/>
      <c r="G519" s="10"/>
      <c r="H519" s="7"/>
      <c r="I519" s="13"/>
      <c r="U519" s="16"/>
      <c r="W519" s="16"/>
      <c r="X519" s="16"/>
      <c r="Y519" s="16"/>
      <c r="Z519" s="16"/>
      <c r="AC519" s="16"/>
      <c r="AE519" s="16"/>
      <c r="AF519" s="22"/>
      <c r="AG519" s="18"/>
      <c r="AH519" s="7"/>
      <c r="AI519" s="7"/>
      <c r="AK519" s="16"/>
      <c r="AO519" s="23"/>
      <c r="AP519" s="17"/>
      <c r="AQ519" s="7"/>
      <c r="AR519"/>
      <c r="AS519" s="17"/>
      <c r="AW519" s="7"/>
      <c r="BB519" s="24"/>
      <c r="BC519"/>
      <c r="BG519"/>
    </row>
    <row r="520" spans="1:65" s="6" customFormat="1" x14ac:dyDescent="0.25">
      <c r="A520"/>
      <c r="B520"/>
      <c r="C520"/>
      <c r="D520"/>
      <c r="E520"/>
      <c r="F520"/>
      <c r="G520"/>
      <c r="H520" s="13"/>
      <c r="I520" s="13"/>
      <c r="J520"/>
      <c r="K520"/>
      <c r="L520"/>
      <c r="M520"/>
      <c r="N520"/>
      <c r="O520"/>
      <c r="P520"/>
      <c r="Q520"/>
      <c r="R520"/>
      <c r="S520"/>
      <c r="T520"/>
      <c r="U520" s="27"/>
      <c r="V520" s="14"/>
      <c r="W520" s="27"/>
      <c r="X520" s="27"/>
      <c r="Y520" s="27"/>
      <c r="Z520" s="27"/>
      <c r="AA520"/>
      <c r="AB520"/>
      <c r="AC520" s="27"/>
      <c r="AD520"/>
      <c r="AE520" s="27"/>
      <c r="AF520" s="27"/>
      <c r="AG520" s="28"/>
      <c r="AH520" s="15"/>
      <c r="AI520" s="15"/>
      <c r="AJ520"/>
      <c r="AK520" s="27"/>
      <c r="AL520"/>
      <c r="AM520"/>
      <c r="AN520"/>
      <c r="AO520" s="27"/>
      <c r="AP520" s="27"/>
      <c r="AQ520" s="15"/>
      <c r="AR520"/>
      <c r="AS520" s="27"/>
      <c r="AT520"/>
      <c r="AU520"/>
      <c r="AV520"/>
      <c r="AW520" s="13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</row>
    <row r="521" spans="1:65" s="6" customFormat="1" x14ac:dyDescent="0.25">
      <c r="A521"/>
      <c r="B521"/>
      <c r="C521"/>
      <c r="D521"/>
      <c r="E521"/>
      <c r="F521"/>
      <c r="G521"/>
      <c r="H521" s="13"/>
      <c r="I521" s="13"/>
      <c r="J521"/>
      <c r="K521"/>
      <c r="L521"/>
      <c r="M521"/>
      <c r="N521"/>
      <c r="O521"/>
      <c r="P521"/>
      <c r="Q521"/>
      <c r="R521"/>
      <c r="S521"/>
      <c r="T521"/>
      <c r="U521" s="27"/>
      <c r="V521" s="14"/>
      <c r="W521" s="27"/>
      <c r="X521" s="27"/>
      <c r="Y521" s="27"/>
      <c r="Z521" s="27"/>
      <c r="AA521"/>
      <c r="AB521"/>
      <c r="AC521" s="27"/>
      <c r="AD521"/>
      <c r="AE521" s="27"/>
      <c r="AF521" s="27"/>
      <c r="AG521" s="28"/>
      <c r="AH521" s="15"/>
      <c r="AI521" s="15"/>
      <c r="AJ521"/>
      <c r="AK521" s="27"/>
      <c r="AL521"/>
      <c r="AM521"/>
      <c r="AN521"/>
      <c r="AO521" s="27"/>
      <c r="AP521" s="27"/>
      <c r="AQ521" s="15"/>
      <c r="AR521"/>
      <c r="AS521" s="27"/>
      <c r="AT521"/>
      <c r="AU521"/>
      <c r="AV521"/>
      <c r="AW521" s="13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</row>
    <row r="522" spans="1:65" s="6" customFormat="1" x14ac:dyDescent="0.25">
      <c r="F522" s="21"/>
      <c r="G522" s="10"/>
      <c r="H522" s="7"/>
      <c r="I522" s="13"/>
      <c r="U522" s="16"/>
      <c r="W522" s="16"/>
      <c r="X522" s="16"/>
      <c r="Y522" s="16"/>
      <c r="Z522" s="16"/>
      <c r="AC522" s="16"/>
      <c r="AE522" s="16"/>
      <c r="AF522" s="22"/>
      <c r="AG522" s="18"/>
      <c r="AH522" s="7"/>
      <c r="AI522" s="7"/>
      <c r="AK522" s="16"/>
      <c r="AO522" s="23"/>
      <c r="AP522" s="17"/>
      <c r="AQ522" s="7"/>
      <c r="AR522"/>
      <c r="AS522" s="17"/>
      <c r="AW522" s="7"/>
      <c r="BB522" s="24"/>
      <c r="BC522"/>
      <c r="BG522"/>
    </row>
    <row r="523" spans="1:65" s="6" customFormat="1" x14ac:dyDescent="0.25">
      <c r="A523"/>
      <c r="B523"/>
      <c r="C523"/>
      <c r="D523"/>
      <c r="E523"/>
      <c r="F523"/>
      <c r="G523"/>
      <c r="H523" s="13"/>
      <c r="I523" s="7"/>
      <c r="J523"/>
      <c r="K523"/>
      <c r="L523"/>
      <c r="M523"/>
      <c r="N523"/>
      <c r="O523"/>
      <c r="P523"/>
      <c r="Q523"/>
      <c r="R523"/>
      <c r="S523"/>
      <c r="T523"/>
      <c r="U523" s="27"/>
      <c r="V523" s="14"/>
      <c r="W523" s="27"/>
      <c r="X523" s="27"/>
      <c r="Y523" s="27"/>
      <c r="Z523" s="27"/>
      <c r="AA523"/>
      <c r="AB523"/>
      <c r="AC523" s="27"/>
      <c r="AD523"/>
      <c r="AE523" s="27"/>
      <c r="AF523" s="27"/>
      <c r="AG523" s="28"/>
      <c r="AH523" s="7"/>
      <c r="AI523" s="15"/>
      <c r="AJ523"/>
      <c r="AK523" s="27"/>
      <c r="AL523"/>
      <c r="AM523"/>
      <c r="AN523"/>
      <c r="AO523" s="27"/>
      <c r="AP523" s="27"/>
      <c r="AQ523" s="15"/>
      <c r="AR523"/>
      <c r="AS523" s="27"/>
      <c r="AT523"/>
      <c r="AU523"/>
      <c r="AW523" s="1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</row>
    <row r="524" spans="1:65" s="6" customFormat="1" x14ac:dyDescent="0.25">
      <c r="F524" s="21"/>
      <c r="G524" s="10"/>
      <c r="H524" s="7"/>
      <c r="I524" s="13"/>
      <c r="U524" s="16"/>
      <c r="W524" s="16"/>
      <c r="X524" s="16"/>
      <c r="Y524" s="16"/>
      <c r="Z524" s="16"/>
      <c r="AC524" s="16"/>
      <c r="AE524" s="16"/>
      <c r="AF524" s="22"/>
      <c r="AG524" s="18"/>
      <c r="AH524" s="7"/>
      <c r="AI524" s="7"/>
      <c r="AK524" s="16"/>
      <c r="AO524" s="23"/>
      <c r="AP524" s="17"/>
      <c r="AQ524" s="7"/>
      <c r="AR524"/>
      <c r="AS524" s="17"/>
      <c r="AV524"/>
      <c r="AW524" s="7"/>
      <c r="BB524" s="24"/>
      <c r="BC524"/>
      <c r="BG524"/>
    </row>
    <row r="525" spans="1:65" s="6" customFormat="1" x14ac:dyDescent="0.25">
      <c r="A525"/>
      <c r="B525"/>
      <c r="C525"/>
      <c r="D525"/>
      <c r="E525"/>
      <c r="F525"/>
      <c r="G525"/>
      <c r="H525" s="13"/>
      <c r="I525" s="13"/>
      <c r="J525"/>
      <c r="K525"/>
      <c r="L525"/>
      <c r="M525"/>
      <c r="N525"/>
      <c r="O525"/>
      <c r="P525"/>
      <c r="Q525"/>
      <c r="R525"/>
      <c r="S525"/>
      <c r="T525"/>
      <c r="U525" s="27"/>
      <c r="V525" s="14"/>
      <c r="W525" s="27"/>
      <c r="X525" s="27"/>
      <c r="Y525" s="27"/>
      <c r="Z525" s="27"/>
      <c r="AA525"/>
      <c r="AB525"/>
      <c r="AC525" s="27"/>
      <c r="AD525"/>
      <c r="AE525" s="27"/>
      <c r="AF525" s="27"/>
      <c r="AG525" s="28"/>
      <c r="AH525" s="15"/>
      <c r="AI525" s="15"/>
      <c r="AJ525"/>
      <c r="AK525" s="27"/>
      <c r="AL525"/>
      <c r="AM525"/>
      <c r="AN525"/>
      <c r="AO525" s="27"/>
      <c r="AP525" s="27"/>
      <c r="AQ525" s="15"/>
      <c r="AR525"/>
      <c r="AS525" s="27"/>
      <c r="AT525"/>
      <c r="AU525"/>
      <c r="AW525" s="13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</row>
    <row r="526" spans="1:65" s="6" customFormat="1" x14ac:dyDescent="0.25">
      <c r="A526"/>
      <c r="B526"/>
      <c r="C526"/>
      <c r="D526"/>
      <c r="E526"/>
      <c r="F526"/>
      <c r="G526"/>
      <c r="H526" s="13"/>
      <c r="I526" s="7"/>
      <c r="J526"/>
      <c r="K526"/>
      <c r="L526"/>
      <c r="M526"/>
      <c r="N526"/>
      <c r="O526"/>
      <c r="P526"/>
      <c r="Q526"/>
      <c r="R526"/>
      <c r="S526"/>
      <c r="T526"/>
      <c r="U526" s="27"/>
      <c r="V526" s="14"/>
      <c r="W526" s="27"/>
      <c r="X526" s="27"/>
      <c r="Y526" s="27"/>
      <c r="Z526" s="27"/>
      <c r="AA526"/>
      <c r="AB526"/>
      <c r="AC526" s="27"/>
      <c r="AD526"/>
      <c r="AE526" s="27"/>
      <c r="AF526" s="27"/>
      <c r="AG526" s="28"/>
      <c r="AH526" s="7"/>
      <c r="AI526" s="15"/>
      <c r="AJ526"/>
      <c r="AK526" s="27"/>
      <c r="AL526"/>
      <c r="AM526"/>
      <c r="AN526"/>
      <c r="AO526" s="27"/>
      <c r="AP526" s="27"/>
      <c r="AQ526" s="15"/>
      <c r="AR526"/>
      <c r="AS526" s="27"/>
      <c r="AT526"/>
      <c r="AU526"/>
      <c r="AW526" s="13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</row>
    <row r="527" spans="1:65" s="6" customFormat="1" x14ac:dyDescent="0.25">
      <c r="F527" s="21"/>
      <c r="G527" s="10"/>
      <c r="H527" s="7"/>
      <c r="I527" s="13"/>
      <c r="U527" s="16"/>
      <c r="W527" s="16"/>
      <c r="X527" s="16"/>
      <c r="Y527" s="16"/>
      <c r="Z527" s="16"/>
      <c r="AC527" s="16"/>
      <c r="AE527" s="16"/>
      <c r="AF527" s="22"/>
      <c r="AG527" s="18"/>
      <c r="AH527" s="7"/>
      <c r="AI527" s="7"/>
      <c r="AK527" s="16"/>
      <c r="AO527" s="23"/>
      <c r="AP527" s="17"/>
      <c r="AQ527" s="7"/>
      <c r="AR527"/>
      <c r="AS527" s="17"/>
      <c r="AV527"/>
      <c r="AW527" s="7"/>
      <c r="BB527" s="24"/>
      <c r="BC527"/>
      <c r="BG527"/>
    </row>
    <row r="528" spans="1:65" s="6" customFormat="1" x14ac:dyDescent="0.25">
      <c r="F528" s="21"/>
      <c r="G528" s="10"/>
      <c r="H528" s="7"/>
      <c r="I528" s="13"/>
      <c r="U528" s="16"/>
      <c r="W528" s="16"/>
      <c r="X528" s="16"/>
      <c r="Y528" s="16"/>
      <c r="Z528" s="16"/>
      <c r="AC528" s="16"/>
      <c r="AE528" s="16"/>
      <c r="AF528" s="22"/>
      <c r="AG528" s="18"/>
      <c r="AH528" s="7"/>
      <c r="AI528" s="7"/>
      <c r="AK528" s="16"/>
      <c r="AO528" s="23"/>
      <c r="AP528" s="17"/>
      <c r="AQ528" s="7"/>
      <c r="AR528"/>
      <c r="AS528" s="17"/>
      <c r="AW528" s="7"/>
      <c r="BB528" s="24"/>
      <c r="BC528"/>
      <c r="BG528"/>
    </row>
    <row r="529" spans="1:65" s="6" customFormat="1" x14ac:dyDescent="0.25">
      <c r="A529"/>
      <c r="B529"/>
      <c r="C529"/>
      <c r="D529"/>
      <c r="E529"/>
      <c r="F529"/>
      <c r="G529"/>
      <c r="H529" s="13"/>
      <c r="I529" s="13"/>
      <c r="J529"/>
      <c r="K529"/>
      <c r="L529"/>
      <c r="M529"/>
      <c r="N529"/>
      <c r="O529"/>
      <c r="P529"/>
      <c r="Q529"/>
      <c r="R529"/>
      <c r="S529"/>
      <c r="T529"/>
      <c r="U529" s="27"/>
      <c r="V529" s="14"/>
      <c r="W529" s="27"/>
      <c r="X529" s="27"/>
      <c r="Y529" s="27"/>
      <c r="Z529" s="27"/>
      <c r="AA529"/>
      <c r="AB529"/>
      <c r="AC529" s="27"/>
      <c r="AD529"/>
      <c r="AE529" s="27"/>
      <c r="AF529" s="27"/>
      <c r="AG529" s="28"/>
      <c r="AH529" s="15"/>
      <c r="AI529" s="15"/>
      <c r="AJ529"/>
      <c r="AK529" s="27"/>
      <c r="AL529"/>
      <c r="AM529"/>
      <c r="AN529"/>
      <c r="AO529" s="27"/>
      <c r="AP529" s="27"/>
      <c r="AQ529" s="15"/>
      <c r="AR529"/>
      <c r="AS529" s="27"/>
      <c r="AT529"/>
      <c r="AU529"/>
      <c r="AV529"/>
      <c r="AW529" s="13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</row>
    <row r="530" spans="1:65" s="6" customFormat="1" x14ac:dyDescent="0.25">
      <c r="A530"/>
      <c r="B530"/>
      <c r="C530"/>
      <c r="D530"/>
      <c r="E530"/>
      <c r="F530"/>
      <c r="G530"/>
      <c r="H530" s="13"/>
      <c r="I530" s="13"/>
      <c r="J530"/>
      <c r="K530"/>
      <c r="L530"/>
      <c r="M530"/>
      <c r="N530"/>
      <c r="O530"/>
      <c r="P530"/>
      <c r="Q530"/>
      <c r="R530"/>
      <c r="S530"/>
      <c r="T530"/>
      <c r="U530" s="27"/>
      <c r="V530" s="14"/>
      <c r="W530" s="27"/>
      <c r="X530" s="27"/>
      <c r="Y530" s="27"/>
      <c r="Z530" s="27"/>
      <c r="AA530"/>
      <c r="AB530"/>
      <c r="AC530" s="27"/>
      <c r="AD530"/>
      <c r="AE530" s="27"/>
      <c r="AF530" s="27"/>
      <c r="AG530" s="28"/>
      <c r="AH530" s="15"/>
      <c r="AI530" s="15"/>
      <c r="AJ530"/>
      <c r="AK530" s="27"/>
      <c r="AL530"/>
      <c r="AM530"/>
      <c r="AN530"/>
      <c r="AO530" s="27"/>
      <c r="AP530" s="27"/>
      <c r="AQ530" s="15"/>
      <c r="AR530"/>
      <c r="AS530" s="27"/>
      <c r="AT530"/>
      <c r="AU530"/>
      <c r="AV530"/>
      <c r="AW530" s="13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</row>
    <row r="531" spans="1:65" s="6" customFormat="1" x14ac:dyDescent="0.25">
      <c r="F531" s="21"/>
      <c r="G531" s="10"/>
      <c r="H531" s="7"/>
      <c r="I531" s="13"/>
      <c r="U531" s="16"/>
      <c r="W531" s="16"/>
      <c r="X531" s="16"/>
      <c r="Y531" s="16"/>
      <c r="Z531" s="16"/>
      <c r="AC531" s="16"/>
      <c r="AE531" s="16"/>
      <c r="AF531" s="22"/>
      <c r="AG531" s="18"/>
      <c r="AH531" s="7"/>
      <c r="AI531" s="7"/>
      <c r="AK531" s="16"/>
      <c r="AO531" s="23"/>
      <c r="AP531" s="17"/>
      <c r="AQ531" s="7"/>
      <c r="AR531"/>
      <c r="AS531" s="17"/>
      <c r="AW531" s="7"/>
      <c r="BB531" s="24"/>
      <c r="BC531"/>
      <c r="BG531"/>
    </row>
    <row r="532" spans="1:65" s="6" customFormat="1" x14ac:dyDescent="0.25">
      <c r="A532"/>
      <c r="B532"/>
      <c r="C532"/>
      <c r="D532"/>
      <c r="E532"/>
      <c r="F532"/>
      <c r="G532"/>
      <c r="H532" s="13"/>
      <c r="I532" s="7"/>
      <c r="J532"/>
      <c r="K532"/>
      <c r="L532"/>
      <c r="M532"/>
      <c r="N532"/>
      <c r="O532"/>
      <c r="P532"/>
      <c r="Q532"/>
      <c r="R532"/>
      <c r="S532"/>
      <c r="T532"/>
      <c r="U532" s="27"/>
      <c r="V532" s="14"/>
      <c r="W532" s="27"/>
      <c r="X532" s="27"/>
      <c r="Y532" s="27"/>
      <c r="Z532" s="27"/>
      <c r="AA532"/>
      <c r="AB532"/>
      <c r="AC532" s="27"/>
      <c r="AD532"/>
      <c r="AE532" s="27"/>
      <c r="AF532" s="27"/>
      <c r="AG532" s="28"/>
      <c r="AH532" s="7"/>
      <c r="AI532" s="15"/>
      <c r="AJ532"/>
      <c r="AK532" s="27"/>
      <c r="AL532"/>
      <c r="AM532"/>
      <c r="AN532"/>
      <c r="AO532" s="27"/>
      <c r="AP532" s="27"/>
      <c r="AQ532" s="15"/>
      <c r="AR532"/>
      <c r="AS532" s="27"/>
      <c r="AT532"/>
      <c r="AU532"/>
      <c r="AW532" s="13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</row>
    <row r="533" spans="1:65" s="6" customFormat="1" x14ac:dyDescent="0.25">
      <c r="F533" s="21"/>
      <c r="G533" s="10"/>
      <c r="H533" s="7"/>
      <c r="I533" s="13"/>
      <c r="U533" s="16"/>
      <c r="W533" s="16"/>
      <c r="X533" s="16"/>
      <c r="Y533" s="16"/>
      <c r="Z533" s="16"/>
      <c r="AC533" s="16"/>
      <c r="AE533" s="16"/>
      <c r="AF533" s="22"/>
      <c r="AG533" s="18"/>
      <c r="AH533" s="7"/>
      <c r="AI533" s="7"/>
      <c r="AK533" s="16"/>
      <c r="AO533" s="23"/>
      <c r="AP533" s="17"/>
      <c r="AQ533" s="7"/>
      <c r="AR533"/>
      <c r="AS533" s="17"/>
      <c r="AV533"/>
      <c r="AW533" s="7"/>
      <c r="BB533" s="24"/>
      <c r="BC533"/>
      <c r="BG533"/>
    </row>
    <row r="534" spans="1:65" s="6" customFormat="1" x14ac:dyDescent="0.25">
      <c r="A534"/>
      <c r="B534"/>
      <c r="C534"/>
      <c r="D534"/>
      <c r="E534"/>
      <c r="F534"/>
      <c r="G534"/>
      <c r="H534" s="13"/>
      <c r="I534" s="13"/>
      <c r="J534"/>
      <c r="K534"/>
      <c r="L534"/>
      <c r="M534"/>
      <c r="N534"/>
      <c r="O534"/>
      <c r="P534"/>
      <c r="Q534"/>
      <c r="R534"/>
      <c r="S534"/>
      <c r="T534"/>
      <c r="U534" s="27"/>
      <c r="V534" s="14"/>
      <c r="W534" s="27"/>
      <c r="X534" s="27"/>
      <c r="Y534" s="27"/>
      <c r="Z534" s="27"/>
      <c r="AA534"/>
      <c r="AB534"/>
      <c r="AC534" s="27"/>
      <c r="AD534"/>
      <c r="AE534" s="27"/>
      <c r="AF534" s="27"/>
      <c r="AG534" s="28"/>
      <c r="AH534" s="15"/>
      <c r="AI534" s="15"/>
      <c r="AJ534"/>
      <c r="AK534" s="27"/>
      <c r="AL534"/>
      <c r="AM534"/>
      <c r="AN534"/>
      <c r="AO534" s="27"/>
      <c r="AP534" s="27"/>
      <c r="AQ534" s="15"/>
      <c r="AR534"/>
      <c r="AS534" s="27"/>
      <c r="AT534"/>
      <c r="AU534"/>
      <c r="AW534" s="13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</row>
    <row r="535" spans="1:65" s="6" customFormat="1" x14ac:dyDescent="0.25">
      <c r="A535"/>
      <c r="B535"/>
      <c r="C535"/>
      <c r="D535"/>
      <c r="E535"/>
      <c r="F535"/>
      <c r="G535"/>
      <c r="H535" s="13"/>
      <c r="I535" s="7"/>
      <c r="J535"/>
      <c r="K535"/>
      <c r="L535"/>
      <c r="M535"/>
      <c r="N535"/>
      <c r="O535"/>
      <c r="P535"/>
      <c r="Q535"/>
      <c r="R535"/>
      <c r="S535"/>
      <c r="T535"/>
      <c r="U535" s="27"/>
      <c r="V535" s="14"/>
      <c r="W535" s="27"/>
      <c r="X535" s="27"/>
      <c r="Y535" s="27"/>
      <c r="Z535" s="27"/>
      <c r="AA535"/>
      <c r="AB535"/>
      <c r="AC535" s="27"/>
      <c r="AD535"/>
      <c r="AE535" s="27"/>
      <c r="AF535" s="27"/>
      <c r="AG535" s="28"/>
      <c r="AH535" s="7"/>
      <c r="AI535" s="15"/>
      <c r="AJ535"/>
      <c r="AK535" s="27"/>
      <c r="AL535"/>
      <c r="AM535"/>
      <c r="AN535"/>
      <c r="AO535" s="27"/>
      <c r="AP535" s="27"/>
      <c r="AQ535" s="15"/>
      <c r="AR535"/>
      <c r="AS535" s="27"/>
      <c r="AT535"/>
      <c r="AU535"/>
      <c r="AW535" s="13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</row>
    <row r="536" spans="1:65" s="6" customFormat="1" x14ac:dyDescent="0.25">
      <c r="F536" s="21"/>
      <c r="G536" s="10"/>
      <c r="H536" s="7"/>
      <c r="I536" s="13"/>
      <c r="U536" s="16"/>
      <c r="W536" s="16"/>
      <c r="X536" s="16"/>
      <c r="Y536" s="16"/>
      <c r="Z536" s="16"/>
      <c r="AC536" s="16"/>
      <c r="AE536" s="16"/>
      <c r="AF536" s="22"/>
      <c r="AG536" s="18"/>
      <c r="AH536" s="7"/>
      <c r="AI536" s="7"/>
      <c r="AK536" s="16"/>
      <c r="AO536" s="23"/>
      <c r="AP536" s="17"/>
      <c r="AQ536" s="7"/>
      <c r="AR536"/>
      <c r="AS536" s="17"/>
      <c r="AV536"/>
      <c r="AW536" s="7"/>
      <c r="BB536" s="24"/>
      <c r="BC536"/>
      <c r="BG536"/>
    </row>
    <row r="537" spans="1:65" s="6" customFormat="1" x14ac:dyDescent="0.25">
      <c r="F537" s="21"/>
      <c r="G537" s="10"/>
      <c r="H537" s="7"/>
      <c r="I537" s="13"/>
      <c r="U537" s="16"/>
      <c r="W537" s="16"/>
      <c r="X537" s="16"/>
      <c r="Y537" s="16"/>
      <c r="Z537" s="16"/>
      <c r="AC537" s="16"/>
      <c r="AE537" s="16"/>
      <c r="AF537" s="22"/>
      <c r="AG537" s="18"/>
      <c r="AH537" s="7"/>
      <c r="AI537" s="7"/>
      <c r="AK537" s="16"/>
      <c r="AO537" s="23"/>
      <c r="AP537" s="17"/>
      <c r="AQ537" s="7"/>
      <c r="AR537"/>
      <c r="AS537" s="17"/>
      <c r="AW537" s="7"/>
      <c r="BB537" s="24"/>
      <c r="BC537"/>
      <c r="BG537"/>
    </row>
    <row r="538" spans="1:65" s="6" customFormat="1" x14ac:dyDescent="0.25">
      <c r="A538"/>
      <c r="B538"/>
      <c r="C538"/>
      <c r="D538"/>
      <c r="E538"/>
      <c r="F538"/>
      <c r="G538"/>
      <c r="H538" s="13"/>
      <c r="I538" s="13"/>
      <c r="J538"/>
      <c r="K538"/>
      <c r="L538"/>
      <c r="M538"/>
      <c r="N538"/>
      <c r="O538"/>
      <c r="P538"/>
      <c r="Q538"/>
      <c r="R538"/>
      <c r="S538"/>
      <c r="T538"/>
      <c r="U538" s="27"/>
      <c r="V538" s="14"/>
      <c r="W538" s="27"/>
      <c r="X538" s="27"/>
      <c r="Y538" s="27"/>
      <c r="Z538" s="27"/>
      <c r="AA538"/>
      <c r="AB538"/>
      <c r="AC538" s="27"/>
      <c r="AD538"/>
      <c r="AE538" s="27"/>
      <c r="AF538" s="27"/>
      <c r="AG538" s="28"/>
      <c r="AH538" s="15"/>
      <c r="AI538" s="15"/>
      <c r="AJ538"/>
      <c r="AK538" s="27"/>
      <c r="AL538"/>
      <c r="AM538"/>
      <c r="AN538"/>
      <c r="AO538" s="27"/>
      <c r="AP538" s="27"/>
      <c r="AQ538" s="15"/>
      <c r="AR538"/>
      <c r="AS538" s="27"/>
      <c r="AT538"/>
      <c r="AU538"/>
      <c r="AV538"/>
      <c r="AW538" s="13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</row>
    <row r="539" spans="1:65" s="6" customFormat="1" x14ac:dyDescent="0.25">
      <c r="A539"/>
      <c r="B539"/>
      <c r="C539"/>
      <c r="D539"/>
      <c r="E539"/>
      <c r="F539"/>
      <c r="G539"/>
      <c r="H539" s="13"/>
      <c r="I539" s="13"/>
      <c r="J539"/>
      <c r="K539"/>
      <c r="L539"/>
      <c r="M539"/>
      <c r="N539"/>
      <c r="O539"/>
      <c r="P539"/>
      <c r="Q539"/>
      <c r="R539"/>
      <c r="S539"/>
      <c r="T539"/>
      <c r="U539" s="27"/>
      <c r="V539" s="14"/>
      <c r="W539" s="27"/>
      <c r="X539" s="27"/>
      <c r="Y539" s="27"/>
      <c r="Z539" s="27"/>
      <c r="AA539"/>
      <c r="AB539"/>
      <c r="AC539" s="27"/>
      <c r="AD539"/>
      <c r="AE539" s="27"/>
      <c r="AF539" s="27"/>
      <c r="AG539" s="28"/>
      <c r="AH539" s="15"/>
      <c r="AI539" s="15"/>
      <c r="AJ539"/>
      <c r="AK539" s="27"/>
      <c r="AL539"/>
      <c r="AM539"/>
      <c r="AN539"/>
      <c r="AO539" s="27"/>
      <c r="AP539" s="27"/>
      <c r="AQ539" s="15"/>
      <c r="AR539"/>
      <c r="AS539" s="27"/>
      <c r="AT539"/>
      <c r="AU539"/>
      <c r="AV539"/>
      <c r="AW539" s="13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</row>
    <row r="540" spans="1:65" s="6" customFormat="1" x14ac:dyDescent="0.25">
      <c r="F540" s="21"/>
      <c r="G540" s="10"/>
      <c r="H540" s="7"/>
      <c r="I540" s="13"/>
      <c r="U540" s="16"/>
      <c r="W540" s="16"/>
      <c r="X540" s="16"/>
      <c r="Y540" s="16"/>
      <c r="Z540" s="16"/>
      <c r="AC540" s="16"/>
      <c r="AE540" s="16"/>
      <c r="AF540" s="22"/>
      <c r="AG540" s="18"/>
      <c r="AH540" s="7"/>
      <c r="AI540" s="7"/>
      <c r="AK540" s="16"/>
      <c r="AO540" s="23"/>
      <c r="AP540" s="17"/>
      <c r="AQ540" s="7"/>
      <c r="AR540"/>
      <c r="AS540" s="17"/>
      <c r="AW540" s="7"/>
      <c r="BB540" s="24"/>
      <c r="BC540"/>
      <c r="BG540"/>
    </row>
    <row r="541" spans="1:65" s="6" customFormat="1" x14ac:dyDescent="0.25">
      <c r="A541"/>
      <c r="B541"/>
      <c r="C541"/>
      <c r="D541"/>
      <c r="E541"/>
      <c r="F541"/>
      <c r="G541"/>
      <c r="H541" s="13"/>
      <c r="I541" s="7"/>
      <c r="J541"/>
      <c r="K541"/>
      <c r="L541"/>
      <c r="M541"/>
      <c r="N541"/>
      <c r="O541"/>
      <c r="P541"/>
      <c r="Q541"/>
      <c r="R541"/>
      <c r="S541"/>
      <c r="T541"/>
      <c r="U541" s="27"/>
      <c r="V541" s="14"/>
      <c r="W541" s="27"/>
      <c r="X541" s="27"/>
      <c r="Y541" s="27"/>
      <c r="Z541" s="27"/>
      <c r="AA541"/>
      <c r="AB541"/>
      <c r="AC541" s="27"/>
      <c r="AD541"/>
      <c r="AE541" s="27"/>
      <c r="AF541" s="27"/>
      <c r="AG541" s="28"/>
      <c r="AH541" s="7"/>
      <c r="AI541" s="15"/>
      <c r="AJ541"/>
      <c r="AK541" s="27"/>
      <c r="AL541"/>
      <c r="AM541"/>
      <c r="AN541"/>
      <c r="AO541" s="27"/>
      <c r="AP541" s="27"/>
      <c r="AQ541" s="15"/>
      <c r="AR541"/>
      <c r="AS541" s="27"/>
      <c r="AT541"/>
      <c r="AU541"/>
      <c r="AW541" s="13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</row>
    <row r="542" spans="1:65" s="6" customFormat="1" x14ac:dyDescent="0.25">
      <c r="F542" s="21"/>
      <c r="G542" s="10"/>
      <c r="H542" s="7"/>
      <c r="I542" s="13"/>
      <c r="U542" s="16"/>
      <c r="W542" s="16"/>
      <c r="X542" s="16"/>
      <c r="Y542" s="16"/>
      <c r="Z542" s="16"/>
      <c r="AC542" s="16"/>
      <c r="AE542" s="16"/>
      <c r="AF542" s="22"/>
      <c r="AG542" s="18"/>
      <c r="AH542" s="7"/>
      <c r="AI542" s="7"/>
      <c r="AK542" s="16"/>
      <c r="AO542" s="23"/>
      <c r="AP542" s="17"/>
      <c r="AQ542" s="7"/>
      <c r="AR542"/>
      <c r="AS542" s="17"/>
      <c r="AV542"/>
      <c r="AW542" s="7"/>
      <c r="BB542" s="24"/>
      <c r="BC542"/>
      <c r="BG542"/>
    </row>
    <row r="543" spans="1:65" s="6" customFormat="1" x14ac:dyDescent="0.25">
      <c r="A543"/>
      <c r="B543"/>
      <c r="C543"/>
      <c r="D543"/>
      <c r="E543"/>
      <c r="F543"/>
      <c r="G543"/>
      <c r="H543" s="13"/>
      <c r="I543" s="13"/>
      <c r="J543"/>
      <c r="K543"/>
      <c r="L543"/>
      <c r="M543"/>
      <c r="N543"/>
      <c r="O543"/>
      <c r="P543"/>
      <c r="Q543"/>
      <c r="R543"/>
      <c r="S543"/>
      <c r="T543"/>
      <c r="U543" s="27"/>
      <c r="V543" s="14"/>
      <c r="W543" s="27"/>
      <c r="X543" s="27"/>
      <c r="Y543" s="27"/>
      <c r="Z543" s="27"/>
      <c r="AA543"/>
      <c r="AB543"/>
      <c r="AC543" s="27"/>
      <c r="AD543"/>
      <c r="AE543" s="27"/>
      <c r="AF543" s="27"/>
      <c r="AG543" s="28"/>
      <c r="AH543" s="15"/>
      <c r="AI543" s="15"/>
      <c r="AJ543"/>
      <c r="AK543" s="27"/>
      <c r="AL543"/>
      <c r="AM543"/>
      <c r="AN543"/>
      <c r="AO543" s="27"/>
      <c r="AP543" s="27"/>
      <c r="AQ543" s="15"/>
      <c r="AR543"/>
      <c r="AS543" s="27"/>
      <c r="AT543"/>
      <c r="AU543"/>
      <c r="AW543" s="1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</row>
    <row r="544" spans="1:65" s="6" customFormat="1" x14ac:dyDescent="0.25">
      <c r="A544"/>
      <c r="B544"/>
      <c r="C544"/>
      <c r="D544"/>
      <c r="E544"/>
      <c r="F544"/>
      <c r="G544"/>
      <c r="H544" s="13"/>
      <c r="I544" s="7"/>
      <c r="J544"/>
      <c r="K544"/>
      <c r="L544"/>
      <c r="M544"/>
      <c r="N544"/>
      <c r="O544"/>
      <c r="P544"/>
      <c r="Q544"/>
      <c r="R544"/>
      <c r="S544"/>
      <c r="T544"/>
      <c r="U544" s="27"/>
      <c r="V544" s="14"/>
      <c r="W544" s="27"/>
      <c r="X544" s="27"/>
      <c r="Y544" s="27"/>
      <c r="Z544" s="27"/>
      <c r="AA544"/>
      <c r="AB544"/>
      <c r="AC544" s="27"/>
      <c r="AD544"/>
      <c r="AE544" s="27"/>
      <c r="AF544" s="27"/>
      <c r="AG544" s="28"/>
      <c r="AH544" s="7"/>
      <c r="AI544" s="15"/>
      <c r="AJ544"/>
      <c r="AK544" s="27"/>
      <c r="AL544"/>
      <c r="AM544"/>
      <c r="AN544"/>
      <c r="AO544" s="27"/>
      <c r="AP544" s="27"/>
      <c r="AQ544" s="15"/>
      <c r="AR544"/>
      <c r="AS544" s="27"/>
      <c r="AT544"/>
      <c r="AU544"/>
      <c r="AW544" s="13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</row>
    <row r="545" spans="1:65" s="6" customFormat="1" x14ac:dyDescent="0.25">
      <c r="F545" s="21"/>
      <c r="G545" s="10"/>
      <c r="H545" s="7"/>
      <c r="I545" s="13"/>
      <c r="U545" s="16"/>
      <c r="W545" s="16"/>
      <c r="X545" s="16"/>
      <c r="Y545" s="16"/>
      <c r="Z545" s="16"/>
      <c r="AC545" s="16"/>
      <c r="AE545" s="16"/>
      <c r="AF545" s="22"/>
      <c r="AG545" s="18"/>
      <c r="AH545" s="7"/>
      <c r="AI545" s="7"/>
      <c r="AK545" s="16"/>
      <c r="AO545" s="23"/>
      <c r="AP545" s="17"/>
      <c r="AQ545" s="7"/>
      <c r="AR545"/>
      <c r="AS545" s="17"/>
      <c r="AV545"/>
      <c r="AW545" s="7"/>
      <c r="BB545" s="24"/>
      <c r="BC545"/>
      <c r="BG545"/>
    </row>
    <row r="546" spans="1:65" s="6" customFormat="1" x14ac:dyDescent="0.25">
      <c r="F546" s="21"/>
      <c r="G546" s="10"/>
      <c r="H546" s="7"/>
      <c r="I546" s="13"/>
      <c r="U546" s="16"/>
      <c r="W546" s="16"/>
      <c r="X546" s="16"/>
      <c r="Y546" s="16"/>
      <c r="Z546" s="16"/>
      <c r="AC546" s="16"/>
      <c r="AE546" s="16"/>
      <c r="AF546" s="22"/>
      <c r="AG546" s="18"/>
      <c r="AH546" s="7"/>
      <c r="AI546" s="7"/>
      <c r="AK546" s="16"/>
      <c r="AO546" s="23"/>
      <c r="AP546" s="17"/>
      <c r="AQ546" s="7"/>
      <c r="AR546"/>
      <c r="AS546" s="17"/>
      <c r="AW546" s="7"/>
      <c r="BB546" s="24"/>
      <c r="BC546"/>
      <c r="BG546"/>
    </row>
    <row r="547" spans="1:65" s="6" customFormat="1" x14ac:dyDescent="0.25">
      <c r="A547"/>
      <c r="B547"/>
      <c r="C547"/>
      <c r="D547"/>
      <c r="E547"/>
      <c r="F547"/>
      <c r="G547"/>
      <c r="H547" s="13"/>
      <c r="I547" s="13"/>
      <c r="J547"/>
      <c r="K547"/>
      <c r="L547"/>
      <c r="M547"/>
      <c r="N547"/>
      <c r="O547"/>
      <c r="P547"/>
      <c r="Q547"/>
      <c r="R547"/>
      <c r="S547"/>
      <c r="T547"/>
      <c r="U547" s="27"/>
      <c r="V547" s="14"/>
      <c r="W547" s="27"/>
      <c r="X547" s="27"/>
      <c r="Y547" s="27"/>
      <c r="Z547" s="27"/>
      <c r="AA547"/>
      <c r="AB547"/>
      <c r="AC547" s="27"/>
      <c r="AD547"/>
      <c r="AE547" s="27"/>
      <c r="AF547" s="27"/>
      <c r="AG547" s="28"/>
      <c r="AH547" s="15"/>
      <c r="AI547" s="15"/>
      <c r="AJ547"/>
      <c r="AK547" s="27"/>
      <c r="AL547"/>
      <c r="AM547"/>
      <c r="AN547"/>
      <c r="AO547" s="27"/>
      <c r="AP547" s="27"/>
      <c r="AQ547" s="15"/>
      <c r="AR547"/>
      <c r="AS547" s="27"/>
      <c r="AT547"/>
      <c r="AU547"/>
      <c r="AV547"/>
      <c r="AW547" s="13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</row>
    <row r="548" spans="1:65" s="6" customFormat="1" x14ac:dyDescent="0.25">
      <c r="A548"/>
      <c r="B548"/>
      <c r="C548"/>
      <c r="D548"/>
      <c r="E548"/>
      <c r="F548"/>
      <c r="G548"/>
      <c r="H548" s="13"/>
      <c r="I548" s="13"/>
      <c r="J548"/>
      <c r="K548"/>
      <c r="L548"/>
      <c r="M548"/>
      <c r="N548"/>
      <c r="O548"/>
      <c r="P548"/>
      <c r="Q548"/>
      <c r="R548"/>
      <c r="S548"/>
      <c r="T548"/>
      <c r="U548" s="27"/>
      <c r="V548" s="14"/>
      <c r="W548" s="27"/>
      <c r="X548" s="27"/>
      <c r="Y548" s="27"/>
      <c r="Z548" s="27"/>
      <c r="AA548"/>
      <c r="AB548"/>
      <c r="AC548" s="27"/>
      <c r="AD548"/>
      <c r="AE548" s="27"/>
      <c r="AF548" s="27"/>
      <c r="AG548" s="28"/>
      <c r="AH548" s="15"/>
      <c r="AI548" s="15"/>
      <c r="AJ548"/>
      <c r="AK548" s="27"/>
      <c r="AL548"/>
      <c r="AM548"/>
      <c r="AN548"/>
      <c r="AO548" s="27"/>
      <c r="AP548" s="27"/>
      <c r="AQ548" s="15"/>
      <c r="AR548"/>
      <c r="AS548" s="27"/>
      <c r="AT548"/>
      <c r="AU548"/>
      <c r="AV548"/>
      <c r="AW548" s="13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</row>
    <row r="549" spans="1:65" s="6" customFormat="1" x14ac:dyDescent="0.25">
      <c r="F549" s="21"/>
      <c r="G549" s="10"/>
      <c r="H549" s="7"/>
      <c r="I549" s="13"/>
      <c r="U549" s="16"/>
      <c r="W549" s="16"/>
      <c r="X549" s="16"/>
      <c r="Y549" s="16"/>
      <c r="Z549" s="16"/>
      <c r="AC549" s="16"/>
      <c r="AE549" s="16"/>
      <c r="AF549" s="22"/>
      <c r="AG549" s="18"/>
      <c r="AH549" s="7"/>
      <c r="AI549" s="7"/>
      <c r="AK549" s="16"/>
      <c r="AO549" s="23"/>
      <c r="AP549" s="17"/>
      <c r="AQ549" s="7"/>
      <c r="AR549"/>
      <c r="AS549" s="17"/>
      <c r="AW549" s="7"/>
      <c r="BB549" s="24"/>
      <c r="BC549"/>
      <c r="BG549"/>
    </row>
    <row r="550" spans="1:65" s="6" customFormat="1" x14ac:dyDescent="0.25">
      <c r="A550"/>
      <c r="B550"/>
      <c r="C550"/>
      <c r="D550"/>
      <c r="E550"/>
      <c r="F550"/>
      <c r="G550"/>
      <c r="H550" s="13"/>
      <c r="I550" s="7"/>
      <c r="J550"/>
      <c r="K550"/>
      <c r="L550"/>
      <c r="M550"/>
      <c r="N550"/>
      <c r="O550"/>
      <c r="P550"/>
      <c r="Q550"/>
      <c r="R550"/>
      <c r="S550"/>
      <c r="T550"/>
      <c r="U550" s="27"/>
      <c r="V550" s="14"/>
      <c r="W550" s="27"/>
      <c r="X550" s="27"/>
      <c r="Y550" s="27"/>
      <c r="Z550" s="27"/>
      <c r="AA550"/>
      <c r="AB550"/>
      <c r="AC550" s="27"/>
      <c r="AD550"/>
      <c r="AE550" s="27"/>
      <c r="AF550" s="27"/>
      <c r="AG550" s="28"/>
      <c r="AH550" s="7"/>
      <c r="AI550" s="15"/>
      <c r="AJ550"/>
      <c r="AK550" s="27"/>
      <c r="AL550"/>
      <c r="AM550"/>
      <c r="AN550"/>
      <c r="AO550" s="27"/>
      <c r="AP550" s="27"/>
      <c r="AQ550" s="15"/>
      <c r="AR550"/>
      <c r="AS550" s="27"/>
      <c r="AT550"/>
      <c r="AU550"/>
      <c r="AW550" s="7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</row>
    <row r="551" spans="1:65" s="6" customFormat="1" x14ac:dyDescent="0.25">
      <c r="F551" s="21"/>
      <c r="G551" s="10"/>
      <c r="H551" s="7"/>
      <c r="I551" s="13"/>
      <c r="U551" s="16"/>
      <c r="W551" s="16"/>
      <c r="X551" s="16"/>
      <c r="Y551" s="16"/>
      <c r="Z551" s="16"/>
      <c r="AC551" s="16"/>
      <c r="AE551" s="16"/>
      <c r="AF551" s="22"/>
      <c r="AG551" s="18"/>
      <c r="AH551" s="7"/>
      <c r="AI551" s="7"/>
      <c r="AK551" s="16"/>
      <c r="AO551" s="23"/>
      <c r="AP551" s="17"/>
      <c r="AQ551" s="7"/>
      <c r="AR551"/>
      <c r="AS551" s="17"/>
      <c r="AV551"/>
      <c r="AW551" s="7"/>
      <c r="BB551" s="24"/>
      <c r="BC551"/>
      <c r="BG551"/>
    </row>
    <row r="552" spans="1:65" s="6" customFormat="1" x14ac:dyDescent="0.25">
      <c r="A552"/>
      <c r="B552"/>
      <c r="C552"/>
      <c r="D552"/>
      <c r="E552"/>
      <c r="F552"/>
      <c r="G552"/>
      <c r="H552" s="13"/>
      <c r="I552" s="13"/>
      <c r="J552"/>
      <c r="K552"/>
      <c r="L552"/>
      <c r="M552"/>
      <c r="N552"/>
      <c r="O552"/>
      <c r="P552"/>
      <c r="Q552"/>
      <c r="R552"/>
      <c r="S552"/>
      <c r="T552"/>
      <c r="U552" s="27"/>
      <c r="V552" s="14"/>
      <c r="W552" s="27"/>
      <c r="X552" s="27"/>
      <c r="Y552" s="27"/>
      <c r="Z552" s="27"/>
      <c r="AA552"/>
      <c r="AB552"/>
      <c r="AC552" s="27"/>
      <c r="AD552"/>
      <c r="AE552" s="27"/>
      <c r="AF552" s="27"/>
      <c r="AG552" s="28"/>
      <c r="AH552" s="15"/>
      <c r="AI552" s="15"/>
      <c r="AJ552"/>
      <c r="AK552" s="27"/>
      <c r="AL552"/>
      <c r="AM552"/>
      <c r="AN552"/>
      <c r="AO552" s="27"/>
      <c r="AP552" s="27"/>
      <c r="AQ552" s="15"/>
      <c r="AR552"/>
      <c r="AS552" s="27"/>
      <c r="AT552"/>
      <c r="AU552"/>
      <c r="AW552" s="13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</row>
    <row r="553" spans="1:65" s="6" customFormat="1" x14ac:dyDescent="0.25">
      <c r="A553"/>
      <c r="B553"/>
      <c r="C553"/>
      <c r="D553"/>
      <c r="E553"/>
      <c r="F553"/>
      <c r="G553"/>
      <c r="H553" s="13"/>
      <c r="I553" s="7"/>
      <c r="J553"/>
      <c r="K553"/>
      <c r="L553"/>
      <c r="M553"/>
      <c r="N553"/>
      <c r="O553"/>
      <c r="P553"/>
      <c r="Q553"/>
      <c r="R553"/>
      <c r="S553"/>
      <c r="T553"/>
      <c r="U553" s="27"/>
      <c r="V553" s="14"/>
      <c r="W553" s="27"/>
      <c r="X553" s="27"/>
      <c r="Y553" s="27"/>
      <c r="Z553" s="27"/>
      <c r="AA553"/>
      <c r="AB553"/>
      <c r="AC553" s="27"/>
      <c r="AD553"/>
      <c r="AE553" s="27"/>
      <c r="AF553" s="27"/>
      <c r="AG553" s="28"/>
      <c r="AH553" s="7"/>
      <c r="AI553" s="15"/>
      <c r="AJ553"/>
      <c r="AK553" s="27"/>
      <c r="AL553"/>
      <c r="AM553"/>
      <c r="AN553"/>
      <c r="AO553" s="27"/>
      <c r="AP553" s="27"/>
      <c r="AQ553" s="15"/>
      <c r="AR553"/>
      <c r="AS553" s="27"/>
      <c r="AT553"/>
      <c r="AU553"/>
      <c r="AW553" s="1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</row>
    <row r="554" spans="1:65" s="6" customFormat="1" x14ac:dyDescent="0.25">
      <c r="F554" s="21"/>
      <c r="G554" s="10"/>
      <c r="H554" s="7"/>
      <c r="I554" s="13"/>
      <c r="U554" s="16"/>
      <c r="W554" s="16"/>
      <c r="X554" s="16"/>
      <c r="Y554" s="16"/>
      <c r="Z554" s="16"/>
      <c r="AC554" s="16"/>
      <c r="AE554" s="16"/>
      <c r="AF554" s="22"/>
      <c r="AG554" s="18"/>
      <c r="AH554" s="7"/>
      <c r="AI554" s="7"/>
      <c r="AK554" s="16"/>
      <c r="AO554" s="23"/>
      <c r="AP554" s="17"/>
      <c r="AQ554" s="7"/>
      <c r="AR554"/>
      <c r="AS554" s="17"/>
      <c r="AV554"/>
      <c r="AW554" s="7"/>
      <c r="BB554" s="24"/>
      <c r="BC554"/>
      <c r="BG554"/>
    </row>
    <row r="555" spans="1:65" s="6" customFormat="1" x14ac:dyDescent="0.25">
      <c r="F555" s="21"/>
      <c r="G555" s="10"/>
      <c r="H555" s="7"/>
      <c r="I555" s="13"/>
      <c r="U555" s="16"/>
      <c r="W555" s="16"/>
      <c r="X555" s="16"/>
      <c r="Y555" s="16"/>
      <c r="Z555" s="16"/>
      <c r="AC555" s="16"/>
      <c r="AE555" s="16"/>
      <c r="AF555" s="22"/>
      <c r="AG555" s="18"/>
      <c r="AH555" s="7"/>
      <c r="AI555" s="7"/>
      <c r="AK555" s="16"/>
      <c r="AO555" s="23"/>
      <c r="AP555" s="17"/>
      <c r="AQ555" s="7"/>
      <c r="AR555"/>
      <c r="AS555" s="17"/>
      <c r="AW555" s="7"/>
      <c r="BB555" s="24"/>
      <c r="BC555"/>
      <c r="BG555"/>
    </row>
    <row r="556" spans="1:65" s="6" customFormat="1" x14ac:dyDescent="0.25">
      <c r="A556"/>
      <c r="B556"/>
      <c r="C556"/>
      <c r="D556"/>
      <c r="E556"/>
      <c r="F556"/>
      <c r="G556"/>
      <c r="H556" s="13"/>
      <c r="I556" s="13"/>
      <c r="J556"/>
      <c r="K556"/>
      <c r="L556"/>
      <c r="M556"/>
      <c r="N556"/>
      <c r="O556"/>
      <c r="P556"/>
      <c r="Q556"/>
      <c r="R556"/>
      <c r="S556"/>
      <c r="T556"/>
      <c r="U556" s="27"/>
      <c r="V556" s="14"/>
      <c r="W556" s="27"/>
      <c r="X556" s="27"/>
      <c r="Y556" s="27"/>
      <c r="Z556" s="27"/>
      <c r="AA556"/>
      <c r="AB556"/>
      <c r="AC556" s="27"/>
      <c r="AD556"/>
      <c r="AE556" s="27"/>
      <c r="AF556" s="27"/>
      <c r="AG556" s="28"/>
      <c r="AH556" s="15"/>
      <c r="AI556" s="15"/>
      <c r="AJ556"/>
      <c r="AK556" s="27"/>
      <c r="AL556"/>
      <c r="AM556"/>
      <c r="AN556"/>
      <c r="AO556" s="27"/>
      <c r="AP556" s="27"/>
      <c r="AQ556" s="15"/>
      <c r="AR556"/>
      <c r="AS556" s="27"/>
      <c r="AT556"/>
      <c r="AU556"/>
      <c r="AV556"/>
      <c r="AW556" s="13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</row>
    <row r="557" spans="1:65" s="6" customFormat="1" x14ac:dyDescent="0.25">
      <c r="A557"/>
      <c r="B557"/>
      <c r="C557"/>
      <c r="D557"/>
      <c r="E557"/>
      <c r="F557"/>
      <c r="G557"/>
      <c r="H557" s="13"/>
      <c r="I557" s="13"/>
      <c r="J557"/>
      <c r="K557"/>
      <c r="L557"/>
      <c r="M557"/>
      <c r="N557"/>
      <c r="O557"/>
      <c r="P557"/>
      <c r="Q557"/>
      <c r="R557"/>
      <c r="S557"/>
      <c r="T557"/>
      <c r="U557" s="27"/>
      <c r="V557" s="14"/>
      <c r="W557" s="27"/>
      <c r="X557" s="27"/>
      <c r="Y557" s="27"/>
      <c r="Z557" s="27"/>
      <c r="AA557"/>
      <c r="AB557"/>
      <c r="AC557" s="27"/>
      <c r="AD557"/>
      <c r="AE557" s="27"/>
      <c r="AF557" s="27"/>
      <c r="AG557" s="28"/>
      <c r="AH557" s="15"/>
      <c r="AI557" s="15"/>
      <c r="AJ557"/>
      <c r="AK557" s="27"/>
      <c r="AL557"/>
      <c r="AM557"/>
      <c r="AN557"/>
      <c r="AO557" s="27"/>
      <c r="AP557" s="27"/>
      <c r="AQ557" s="15"/>
      <c r="AR557"/>
      <c r="AS557" s="27"/>
      <c r="AT557"/>
      <c r="AU557"/>
      <c r="AV557"/>
      <c r="AW557" s="13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</row>
    <row r="558" spans="1:65" s="6" customFormat="1" x14ac:dyDescent="0.25">
      <c r="F558" s="21"/>
      <c r="G558" s="10"/>
      <c r="H558" s="7"/>
      <c r="I558" s="13"/>
      <c r="U558" s="16"/>
      <c r="W558" s="16"/>
      <c r="X558" s="16"/>
      <c r="Y558" s="16"/>
      <c r="Z558" s="16"/>
      <c r="AC558" s="16"/>
      <c r="AE558" s="16"/>
      <c r="AF558" s="22"/>
      <c r="AG558" s="18"/>
      <c r="AH558" s="7"/>
      <c r="AI558" s="7"/>
      <c r="AK558" s="16"/>
      <c r="AO558" s="23"/>
      <c r="AP558" s="17"/>
      <c r="AQ558" s="7"/>
      <c r="AR558"/>
      <c r="AS558" s="17"/>
      <c r="AW558" s="7"/>
      <c r="BB558" s="24"/>
      <c r="BC558"/>
      <c r="BG558"/>
    </row>
    <row r="559" spans="1:65" s="6" customFormat="1" x14ac:dyDescent="0.25">
      <c r="A559"/>
      <c r="B559"/>
      <c r="C559"/>
      <c r="D559"/>
      <c r="E559"/>
      <c r="F559"/>
      <c r="G559"/>
      <c r="H559" s="13"/>
      <c r="I559" s="7"/>
      <c r="J559"/>
      <c r="K559"/>
      <c r="L559"/>
      <c r="M559"/>
      <c r="N559"/>
      <c r="O559"/>
      <c r="P559"/>
      <c r="Q559"/>
      <c r="R559"/>
      <c r="S559"/>
      <c r="T559"/>
      <c r="U559" s="27"/>
      <c r="V559" s="14"/>
      <c r="W559" s="27"/>
      <c r="X559" s="27"/>
      <c r="Y559" s="27"/>
      <c r="Z559" s="27"/>
      <c r="AA559"/>
      <c r="AB559"/>
      <c r="AC559" s="27"/>
      <c r="AD559"/>
      <c r="AE559" s="27"/>
      <c r="AF559" s="27"/>
      <c r="AG559" s="28"/>
      <c r="AH559" s="7"/>
      <c r="AI559" s="15"/>
      <c r="AJ559"/>
      <c r="AK559" s="27"/>
      <c r="AL559"/>
      <c r="AM559"/>
      <c r="AN559"/>
      <c r="AO559" s="27"/>
      <c r="AP559" s="27"/>
      <c r="AQ559" s="15"/>
      <c r="AR559"/>
      <c r="AS559" s="27"/>
      <c r="AT559"/>
      <c r="AU559"/>
      <c r="AW559" s="7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</row>
    <row r="560" spans="1:65" s="6" customFormat="1" x14ac:dyDescent="0.25">
      <c r="F560" s="21"/>
      <c r="G560" s="10"/>
      <c r="H560" s="7"/>
      <c r="I560" s="13"/>
      <c r="U560" s="16"/>
      <c r="W560" s="16"/>
      <c r="X560" s="16"/>
      <c r="Y560" s="16"/>
      <c r="Z560" s="16"/>
      <c r="AC560" s="16"/>
      <c r="AE560" s="16"/>
      <c r="AF560" s="22"/>
      <c r="AG560" s="18"/>
      <c r="AH560" s="7"/>
      <c r="AI560" s="7"/>
      <c r="AK560" s="16"/>
      <c r="AO560" s="23"/>
      <c r="AP560" s="17"/>
      <c r="AQ560" s="7"/>
      <c r="AR560"/>
      <c r="AS560" s="17"/>
      <c r="AV560"/>
      <c r="AW560" s="7"/>
      <c r="BB560" s="24"/>
      <c r="BC560"/>
      <c r="BG560"/>
    </row>
    <row r="561" spans="1:65" s="6" customFormat="1" x14ac:dyDescent="0.25">
      <c r="A561"/>
      <c r="B561"/>
      <c r="C561"/>
      <c r="D561"/>
      <c r="E561"/>
      <c r="F561"/>
      <c r="G561"/>
      <c r="H561" s="13"/>
      <c r="I561" s="13"/>
      <c r="J561"/>
      <c r="K561"/>
      <c r="L561"/>
      <c r="M561"/>
      <c r="N561"/>
      <c r="O561"/>
      <c r="P561"/>
      <c r="Q561"/>
      <c r="R561"/>
      <c r="S561"/>
      <c r="T561"/>
      <c r="U561" s="27"/>
      <c r="V561" s="14"/>
      <c r="W561" s="27"/>
      <c r="X561" s="27"/>
      <c r="Y561" s="27"/>
      <c r="Z561" s="27"/>
      <c r="AA561"/>
      <c r="AB561"/>
      <c r="AC561" s="27"/>
      <c r="AD561"/>
      <c r="AE561" s="27"/>
      <c r="AF561" s="27"/>
      <c r="AG561" s="28"/>
      <c r="AH561" s="15"/>
      <c r="AI561" s="15"/>
      <c r="AJ561"/>
      <c r="AK561" s="27"/>
      <c r="AL561"/>
      <c r="AM561"/>
      <c r="AN561"/>
      <c r="AO561" s="27"/>
      <c r="AP561" s="27"/>
      <c r="AQ561" s="15"/>
      <c r="AR561"/>
      <c r="AS561" s="27"/>
      <c r="AT561"/>
      <c r="AU561"/>
      <c r="AW561" s="13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</row>
    <row r="562" spans="1:65" s="6" customFormat="1" x14ac:dyDescent="0.25">
      <c r="A562"/>
      <c r="B562"/>
      <c r="C562"/>
      <c r="D562"/>
      <c r="E562"/>
      <c r="F562"/>
      <c r="G562"/>
      <c r="H562" s="13"/>
      <c r="I562" s="7"/>
      <c r="J562"/>
      <c r="K562"/>
      <c r="L562"/>
      <c r="M562"/>
      <c r="N562"/>
      <c r="O562"/>
      <c r="P562"/>
      <c r="Q562"/>
      <c r="R562"/>
      <c r="S562"/>
      <c r="T562"/>
      <c r="U562" s="27"/>
      <c r="V562" s="14"/>
      <c r="W562" s="27"/>
      <c r="X562" s="27"/>
      <c r="Y562" s="27"/>
      <c r="Z562" s="27"/>
      <c r="AA562"/>
      <c r="AB562"/>
      <c r="AC562" s="27"/>
      <c r="AD562"/>
      <c r="AE562" s="27"/>
      <c r="AF562" s="27"/>
      <c r="AG562" s="28"/>
      <c r="AH562" s="7"/>
      <c r="AI562" s="15"/>
      <c r="AJ562"/>
      <c r="AK562" s="27"/>
      <c r="AL562"/>
      <c r="AM562"/>
      <c r="AN562"/>
      <c r="AO562" s="27"/>
      <c r="AP562" s="27"/>
      <c r="AQ562" s="15"/>
      <c r="AR562"/>
      <c r="AS562" s="27"/>
      <c r="AT562"/>
      <c r="AU562"/>
      <c r="AW562" s="13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</row>
    <row r="563" spans="1:65" s="6" customFormat="1" x14ac:dyDescent="0.25">
      <c r="F563" s="21"/>
      <c r="G563" s="10"/>
      <c r="H563" s="7"/>
      <c r="I563" s="13"/>
      <c r="U563" s="16"/>
      <c r="W563" s="16"/>
      <c r="X563" s="16"/>
      <c r="Y563" s="16"/>
      <c r="Z563" s="16"/>
      <c r="AC563" s="16"/>
      <c r="AE563" s="16"/>
      <c r="AF563" s="22"/>
      <c r="AG563" s="18"/>
      <c r="AH563" s="7"/>
      <c r="AI563" s="7"/>
      <c r="AK563" s="16"/>
      <c r="AO563" s="23"/>
      <c r="AP563" s="17"/>
      <c r="AQ563" s="7"/>
      <c r="AR563"/>
      <c r="AS563" s="17"/>
      <c r="AV563"/>
      <c r="AW563" s="7"/>
      <c r="BB563" s="24"/>
      <c r="BC563"/>
      <c r="BG563"/>
    </row>
    <row r="564" spans="1:65" s="6" customFormat="1" x14ac:dyDescent="0.25">
      <c r="F564" s="21"/>
      <c r="G564" s="10"/>
      <c r="H564" s="7"/>
      <c r="I564" s="13"/>
      <c r="U564" s="16"/>
      <c r="W564" s="16"/>
      <c r="X564" s="16"/>
      <c r="Y564" s="16"/>
      <c r="Z564" s="16"/>
      <c r="AC564" s="16"/>
      <c r="AE564" s="16"/>
      <c r="AF564" s="22"/>
      <c r="AG564" s="18"/>
      <c r="AH564" s="7"/>
      <c r="AI564" s="7"/>
      <c r="AK564" s="16"/>
      <c r="AO564" s="23"/>
      <c r="AP564" s="17"/>
      <c r="AQ564" s="7"/>
      <c r="AR564"/>
      <c r="AS564" s="17"/>
      <c r="AW564" s="7"/>
      <c r="BB564" s="24"/>
      <c r="BC564"/>
      <c r="BG564"/>
    </row>
    <row r="565" spans="1:65" s="6" customFormat="1" x14ac:dyDescent="0.25">
      <c r="A565"/>
      <c r="B565"/>
      <c r="C565"/>
      <c r="D565"/>
      <c r="E565"/>
      <c r="F565"/>
      <c r="G565"/>
      <c r="H565" s="13"/>
      <c r="I565" s="13"/>
      <c r="J565"/>
      <c r="K565"/>
      <c r="L565"/>
      <c r="M565"/>
      <c r="N565"/>
      <c r="O565"/>
      <c r="P565"/>
      <c r="Q565"/>
      <c r="R565"/>
      <c r="S565"/>
      <c r="T565"/>
      <c r="U565" s="27"/>
      <c r="V565" s="14"/>
      <c r="W565" s="27"/>
      <c r="X565" s="27"/>
      <c r="Y565" s="27"/>
      <c r="Z565" s="27"/>
      <c r="AA565"/>
      <c r="AB565"/>
      <c r="AC565" s="27"/>
      <c r="AD565"/>
      <c r="AE565" s="27"/>
      <c r="AF565" s="27"/>
      <c r="AG565" s="28"/>
      <c r="AH565" s="15"/>
      <c r="AI565" s="15"/>
      <c r="AJ565"/>
      <c r="AK565" s="27"/>
      <c r="AL565"/>
      <c r="AM565"/>
      <c r="AN565"/>
      <c r="AO565" s="27"/>
      <c r="AP565" s="27"/>
      <c r="AQ565" s="15"/>
      <c r="AR565"/>
      <c r="AS565" s="27"/>
      <c r="AT565"/>
      <c r="AU565"/>
      <c r="AV565"/>
      <c r="AW565" s="13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</row>
    <row r="566" spans="1:65" s="6" customFormat="1" x14ac:dyDescent="0.25">
      <c r="A566"/>
      <c r="B566"/>
      <c r="C566"/>
      <c r="D566"/>
      <c r="E566"/>
      <c r="F566"/>
      <c r="G566"/>
      <c r="H566" s="13"/>
      <c r="I566" s="13"/>
      <c r="J566"/>
      <c r="K566"/>
      <c r="L566"/>
      <c r="M566"/>
      <c r="N566"/>
      <c r="O566"/>
      <c r="P566"/>
      <c r="Q566"/>
      <c r="R566"/>
      <c r="S566"/>
      <c r="T566"/>
      <c r="U566" s="27"/>
      <c r="V566" s="14"/>
      <c r="W566" s="27"/>
      <c r="X566" s="27"/>
      <c r="Y566" s="27"/>
      <c r="Z566" s="27"/>
      <c r="AA566"/>
      <c r="AB566"/>
      <c r="AC566" s="27"/>
      <c r="AD566"/>
      <c r="AE566" s="27"/>
      <c r="AF566" s="27"/>
      <c r="AG566" s="28"/>
      <c r="AH566" s="15"/>
      <c r="AI566" s="15"/>
      <c r="AJ566"/>
      <c r="AK566" s="27"/>
      <c r="AL566"/>
      <c r="AM566"/>
      <c r="AN566"/>
      <c r="AO566" s="27"/>
      <c r="AP566" s="27"/>
      <c r="AQ566" s="15"/>
      <c r="AR566"/>
      <c r="AS566" s="27"/>
      <c r="AT566"/>
      <c r="AU566"/>
      <c r="AV566"/>
      <c r="AW566" s="13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</row>
    <row r="567" spans="1:65" s="6" customFormat="1" x14ac:dyDescent="0.25">
      <c r="F567" s="21"/>
      <c r="G567" s="10"/>
      <c r="H567" s="7"/>
      <c r="I567" s="13"/>
      <c r="U567" s="16"/>
      <c r="W567" s="16"/>
      <c r="X567" s="16"/>
      <c r="Y567" s="16"/>
      <c r="Z567" s="16"/>
      <c r="AC567" s="16"/>
      <c r="AE567" s="16"/>
      <c r="AF567" s="22"/>
      <c r="AG567" s="18"/>
      <c r="AH567" s="7"/>
      <c r="AI567" s="7"/>
      <c r="AK567" s="16"/>
      <c r="AO567" s="23"/>
      <c r="AP567" s="17"/>
      <c r="AQ567" s="7"/>
      <c r="AR567"/>
      <c r="AS567" s="17"/>
      <c r="AW567" s="7"/>
      <c r="BB567" s="24"/>
      <c r="BC567"/>
      <c r="BG567"/>
    </row>
    <row r="568" spans="1:65" s="6" customFormat="1" x14ac:dyDescent="0.25">
      <c r="A568"/>
      <c r="B568"/>
      <c r="C568"/>
      <c r="D568"/>
      <c r="E568"/>
      <c r="F568"/>
      <c r="G568"/>
      <c r="H568" s="13"/>
      <c r="I568" s="7"/>
      <c r="J568"/>
      <c r="K568"/>
      <c r="L568"/>
      <c r="M568"/>
      <c r="N568"/>
      <c r="O568"/>
      <c r="P568"/>
      <c r="Q568"/>
      <c r="R568"/>
      <c r="S568"/>
      <c r="T568"/>
      <c r="U568" s="27"/>
      <c r="V568" s="14"/>
      <c r="W568" s="27"/>
      <c r="X568" s="27"/>
      <c r="Y568" s="27"/>
      <c r="Z568" s="27"/>
      <c r="AA568"/>
      <c r="AB568"/>
      <c r="AC568" s="27"/>
      <c r="AD568"/>
      <c r="AE568" s="27"/>
      <c r="AF568" s="27"/>
      <c r="AG568" s="28"/>
      <c r="AH568" s="7"/>
      <c r="AI568" s="15"/>
      <c r="AJ568"/>
      <c r="AK568" s="27"/>
      <c r="AL568"/>
      <c r="AM568"/>
      <c r="AN568"/>
      <c r="AO568" s="27"/>
      <c r="AP568" s="27"/>
      <c r="AQ568" s="15"/>
      <c r="AR568"/>
      <c r="AS568" s="27"/>
      <c r="AT568"/>
      <c r="AU568"/>
      <c r="AW568" s="13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</row>
    <row r="569" spans="1:65" s="6" customFormat="1" x14ac:dyDescent="0.25">
      <c r="F569" s="21"/>
      <c r="G569" s="10"/>
      <c r="H569" s="7"/>
      <c r="I569" s="13"/>
      <c r="U569" s="16"/>
      <c r="W569" s="16"/>
      <c r="X569" s="16"/>
      <c r="Y569" s="16"/>
      <c r="Z569" s="16"/>
      <c r="AC569" s="16"/>
      <c r="AE569" s="16"/>
      <c r="AF569" s="22"/>
      <c r="AG569" s="18"/>
      <c r="AH569" s="7"/>
      <c r="AI569" s="7"/>
      <c r="AK569" s="16"/>
      <c r="AO569" s="23"/>
      <c r="AP569" s="17"/>
      <c r="AQ569" s="7"/>
      <c r="AR569"/>
      <c r="AS569" s="17"/>
      <c r="AV569"/>
      <c r="AW569" s="7"/>
      <c r="BB569" s="24"/>
      <c r="BC569"/>
      <c r="BG569"/>
    </row>
    <row r="570" spans="1:65" s="6" customFormat="1" x14ac:dyDescent="0.25">
      <c r="A570"/>
      <c r="B570"/>
      <c r="C570"/>
      <c r="D570"/>
      <c r="E570"/>
      <c r="F570"/>
      <c r="G570"/>
      <c r="H570" s="13"/>
      <c r="I570" s="13"/>
      <c r="J570"/>
      <c r="K570"/>
      <c r="L570"/>
      <c r="M570"/>
      <c r="N570"/>
      <c r="O570"/>
      <c r="P570"/>
      <c r="Q570"/>
      <c r="R570"/>
      <c r="S570"/>
      <c r="T570"/>
      <c r="U570" s="27"/>
      <c r="V570" s="14"/>
      <c r="W570" s="27"/>
      <c r="X570" s="27"/>
      <c r="Y570" s="27"/>
      <c r="Z570" s="27"/>
      <c r="AA570"/>
      <c r="AB570"/>
      <c r="AC570" s="27"/>
      <c r="AD570"/>
      <c r="AE570" s="27"/>
      <c r="AF570" s="27"/>
      <c r="AG570" s="28"/>
      <c r="AH570" s="15"/>
      <c r="AI570" s="15"/>
      <c r="AJ570"/>
      <c r="AK570" s="27"/>
      <c r="AL570"/>
      <c r="AM570"/>
      <c r="AN570"/>
      <c r="AO570" s="27"/>
      <c r="AP570" s="27"/>
      <c r="AQ570" s="15"/>
      <c r="AR570"/>
      <c r="AS570" s="27"/>
      <c r="AT570"/>
      <c r="AU570"/>
      <c r="AW570" s="13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</row>
    <row r="571" spans="1:65" s="6" customFormat="1" x14ac:dyDescent="0.25">
      <c r="A571"/>
      <c r="B571"/>
      <c r="C571"/>
      <c r="D571"/>
      <c r="E571"/>
      <c r="F571"/>
      <c r="G571"/>
      <c r="H571" s="13"/>
      <c r="I571" s="7"/>
      <c r="J571"/>
      <c r="K571"/>
      <c r="L571"/>
      <c r="M571"/>
      <c r="N571"/>
      <c r="O571"/>
      <c r="P571"/>
      <c r="Q571"/>
      <c r="R571"/>
      <c r="S571"/>
      <c r="T571"/>
      <c r="U571" s="27"/>
      <c r="V571" s="14"/>
      <c r="W571" s="27"/>
      <c r="X571" s="27"/>
      <c r="Y571" s="27"/>
      <c r="Z571" s="27"/>
      <c r="AA571"/>
      <c r="AB571"/>
      <c r="AC571" s="27"/>
      <c r="AD571"/>
      <c r="AE571" s="27"/>
      <c r="AF571" s="27"/>
      <c r="AG571" s="28"/>
      <c r="AH571" s="7"/>
      <c r="AI571" s="15"/>
      <c r="AJ571"/>
      <c r="AK571" s="27"/>
      <c r="AL571"/>
      <c r="AM571"/>
      <c r="AN571"/>
      <c r="AO571" s="27"/>
      <c r="AP571" s="27"/>
      <c r="AQ571" s="15"/>
      <c r="AR571"/>
      <c r="AS571" s="27"/>
      <c r="AT571"/>
      <c r="AU571"/>
      <c r="AW571" s="13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</row>
    <row r="572" spans="1:65" s="6" customFormat="1" x14ac:dyDescent="0.25">
      <c r="F572" s="21"/>
      <c r="G572" s="10"/>
      <c r="H572" s="7"/>
      <c r="I572" s="13"/>
      <c r="U572" s="16"/>
      <c r="W572" s="16"/>
      <c r="X572" s="16"/>
      <c r="Y572" s="16"/>
      <c r="Z572" s="16"/>
      <c r="AC572" s="16"/>
      <c r="AE572" s="16"/>
      <c r="AF572" s="22"/>
      <c r="AG572" s="18"/>
      <c r="AH572" s="7"/>
      <c r="AI572" s="7"/>
      <c r="AK572" s="16"/>
      <c r="AO572" s="23"/>
      <c r="AP572" s="17"/>
      <c r="AQ572" s="7"/>
      <c r="AR572"/>
      <c r="AS572" s="17"/>
      <c r="AV572"/>
      <c r="AW572" s="7"/>
      <c r="BB572" s="24"/>
      <c r="BC572"/>
      <c r="BG572"/>
    </row>
    <row r="573" spans="1:65" s="6" customFormat="1" x14ac:dyDescent="0.25">
      <c r="F573" s="21"/>
      <c r="G573" s="10"/>
      <c r="H573" s="7"/>
      <c r="I573" s="13"/>
      <c r="U573" s="16"/>
      <c r="W573" s="16"/>
      <c r="X573" s="16"/>
      <c r="Y573" s="16"/>
      <c r="Z573" s="16"/>
      <c r="AC573" s="16"/>
      <c r="AE573" s="16"/>
      <c r="AF573" s="22"/>
      <c r="AG573" s="18"/>
      <c r="AH573" s="7"/>
      <c r="AI573" s="7"/>
      <c r="AK573" s="16"/>
      <c r="AO573" s="23"/>
      <c r="AP573" s="17"/>
      <c r="AQ573" s="7"/>
      <c r="AR573"/>
      <c r="AS573" s="17"/>
      <c r="AW573" s="7"/>
      <c r="BB573" s="24"/>
      <c r="BC573"/>
      <c r="BG573"/>
    </row>
    <row r="574" spans="1:65" s="6" customFormat="1" x14ac:dyDescent="0.25">
      <c r="A574"/>
      <c r="B574"/>
      <c r="C574"/>
      <c r="D574"/>
      <c r="E574"/>
      <c r="F574"/>
      <c r="G574"/>
      <c r="H574" s="13"/>
      <c r="I574" s="13"/>
      <c r="J574"/>
      <c r="K574"/>
      <c r="L574"/>
      <c r="M574"/>
      <c r="N574"/>
      <c r="O574"/>
      <c r="P574"/>
      <c r="Q574"/>
      <c r="R574"/>
      <c r="S574"/>
      <c r="T574"/>
      <c r="U574" s="27"/>
      <c r="V574" s="14"/>
      <c r="W574" s="27"/>
      <c r="X574" s="27"/>
      <c r="Y574" s="27"/>
      <c r="Z574" s="27"/>
      <c r="AA574"/>
      <c r="AB574"/>
      <c r="AC574" s="27"/>
      <c r="AD574"/>
      <c r="AE574" s="27"/>
      <c r="AF574" s="27"/>
      <c r="AG574" s="28"/>
      <c r="AH574" s="15"/>
      <c r="AI574" s="15"/>
      <c r="AJ574"/>
      <c r="AK574" s="27"/>
      <c r="AL574"/>
      <c r="AM574"/>
      <c r="AN574"/>
      <c r="AO574" s="27"/>
      <c r="AP574" s="27"/>
      <c r="AQ574" s="15"/>
      <c r="AR574"/>
      <c r="AS574" s="27"/>
      <c r="AT574"/>
      <c r="AU574"/>
      <c r="AV574"/>
      <c r="AW574" s="13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</row>
    <row r="575" spans="1:65" s="6" customFormat="1" x14ac:dyDescent="0.25">
      <c r="A575"/>
      <c r="B575"/>
      <c r="C575"/>
      <c r="D575"/>
      <c r="E575"/>
      <c r="F575"/>
      <c r="G575"/>
      <c r="H575" s="13"/>
      <c r="I575" s="13"/>
      <c r="J575"/>
      <c r="K575"/>
      <c r="L575"/>
      <c r="M575"/>
      <c r="N575"/>
      <c r="O575"/>
      <c r="P575"/>
      <c r="Q575"/>
      <c r="R575"/>
      <c r="S575"/>
      <c r="T575"/>
      <c r="U575" s="27"/>
      <c r="V575" s="14"/>
      <c r="W575" s="27"/>
      <c r="X575" s="27"/>
      <c r="Y575" s="27"/>
      <c r="Z575" s="27"/>
      <c r="AA575"/>
      <c r="AB575"/>
      <c r="AC575" s="27"/>
      <c r="AD575"/>
      <c r="AE575" s="27"/>
      <c r="AF575" s="27"/>
      <c r="AG575" s="28"/>
      <c r="AH575" s="15"/>
      <c r="AI575" s="15"/>
      <c r="AJ575"/>
      <c r="AK575" s="27"/>
      <c r="AL575"/>
      <c r="AM575"/>
      <c r="AN575"/>
      <c r="AO575" s="27"/>
      <c r="AP575" s="27"/>
      <c r="AQ575" s="15"/>
      <c r="AR575"/>
      <c r="AS575" s="27"/>
      <c r="AT575"/>
      <c r="AU575"/>
      <c r="AV575"/>
      <c r="AW575" s="13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</row>
    <row r="576" spans="1:65" s="6" customFormat="1" x14ac:dyDescent="0.25">
      <c r="F576" s="21"/>
      <c r="G576" s="10"/>
      <c r="H576" s="7"/>
      <c r="I576" s="13"/>
      <c r="U576" s="16"/>
      <c r="W576" s="16"/>
      <c r="X576" s="16"/>
      <c r="Y576" s="16"/>
      <c r="Z576" s="16"/>
      <c r="AC576" s="16"/>
      <c r="AE576" s="16"/>
      <c r="AF576" s="22"/>
      <c r="AG576" s="18"/>
      <c r="AH576" s="7"/>
      <c r="AI576" s="7"/>
      <c r="AK576" s="16"/>
      <c r="AO576" s="23"/>
      <c r="AP576" s="17"/>
      <c r="AQ576" s="7"/>
      <c r="AR576"/>
      <c r="AS576" s="17"/>
      <c r="AW576" s="7"/>
      <c r="BB576" s="24"/>
      <c r="BC576"/>
      <c r="BG576"/>
    </row>
    <row r="577" spans="1:65" s="6" customFormat="1" x14ac:dyDescent="0.25">
      <c r="A577"/>
      <c r="B577"/>
      <c r="C577"/>
      <c r="D577"/>
      <c r="E577"/>
      <c r="F577"/>
      <c r="G577"/>
      <c r="H577" s="13"/>
      <c r="I577" s="7"/>
      <c r="J577"/>
      <c r="K577"/>
      <c r="L577"/>
      <c r="M577"/>
      <c r="N577"/>
      <c r="O577"/>
      <c r="P577"/>
      <c r="Q577"/>
      <c r="R577"/>
      <c r="S577"/>
      <c r="T577"/>
      <c r="U577" s="27"/>
      <c r="V577" s="14"/>
      <c r="W577" s="27"/>
      <c r="X577" s="27"/>
      <c r="Y577" s="27"/>
      <c r="Z577" s="27"/>
      <c r="AA577"/>
      <c r="AB577"/>
      <c r="AC577" s="27"/>
      <c r="AD577"/>
      <c r="AE577" s="27"/>
      <c r="AF577" s="27"/>
      <c r="AG577" s="28"/>
      <c r="AH577" s="7"/>
      <c r="AI577" s="15"/>
      <c r="AJ577"/>
      <c r="AK577" s="27"/>
      <c r="AL577"/>
      <c r="AM577"/>
      <c r="AN577"/>
      <c r="AO577" s="27"/>
      <c r="AP577" s="27"/>
      <c r="AQ577" s="15"/>
      <c r="AR577"/>
      <c r="AS577" s="27"/>
      <c r="AT577"/>
      <c r="AU577"/>
      <c r="AW577" s="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</row>
    <row r="578" spans="1:65" s="6" customFormat="1" x14ac:dyDescent="0.25">
      <c r="F578" s="21"/>
      <c r="G578" s="10"/>
      <c r="H578" s="7"/>
      <c r="I578" s="13"/>
      <c r="U578" s="16"/>
      <c r="W578" s="16"/>
      <c r="X578" s="16"/>
      <c r="Y578" s="16"/>
      <c r="Z578" s="16"/>
      <c r="AC578" s="16"/>
      <c r="AE578" s="16"/>
      <c r="AF578" s="22"/>
      <c r="AG578" s="18"/>
      <c r="AH578" s="7"/>
      <c r="AI578" s="7"/>
      <c r="AK578" s="16"/>
      <c r="AO578" s="23"/>
      <c r="AP578" s="17"/>
      <c r="AQ578" s="7"/>
      <c r="AR578"/>
      <c r="AS578" s="17"/>
      <c r="AV578"/>
      <c r="AW578" s="7"/>
      <c r="BB578" s="24"/>
      <c r="BC578"/>
      <c r="BG578"/>
    </row>
    <row r="579" spans="1:65" s="6" customFormat="1" x14ac:dyDescent="0.25">
      <c r="A579"/>
      <c r="B579"/>
      <c r="C579"/>
      <c r="D579"/>
      <c r="E579"/>
      <c r="F579"/>
      <c r="G579"/>
      <c r="H579" s="13"/>
      <c r="I579" s="13"/>
      <c r="J579"/>
      <c r="K579"/>
      <c r="L579"/>
      <c r="M579"/>
      <c r="N579"/>
      <c r="O579"/>
      <c r="P579"/>
      <c r="Q579"/>
      <c r="R579"/>
      <c r="S579"/>
      <c r="T579"/>
      <c r="U579" s="27"/>
      <c r="V579" s="14"/>
      <c r="W579" s="27"/>
      <c r="X579" s="27"/>
      <c r="Y579" s="27"/>
      <c r="Z579" s="27"/>
      <c r="AA579"/>
      <c r="AB579"/>
      <c r="AC579" s="27"/>
      <c r="AD579"/>
      <c r="AE579" s="27"/>
      <c r="AF579" s="27"/>
      <c r="AG579" s="28"/>
      <c r="AH579" s="15"/>
      <c r="AI579" s="15"/>
      <c r="AJ579"/>
      <c r="AK579" s="27"/>
      <c r="AL579"/>
      <c r="AM579"/>
      <c r="AN579"/>
      <c r="AO579" s="27"/>
      <c r="AP579" s="27"/>
      <c r="AQ579" s="15"/>
      <c r="AR579"/>
      <c r="AS579" s="27"/>
      <c r="AT579"/>
      <c r="AU579"/>
      <c r="AW579" s="13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</row>
    <row r="580" spans="1:65" s="6" customFormat="1" x14ac:dyDescent="0.25">
      <c r="A580"/>
      <c r="B580"/>
      <c r="C580"/>
      <c r="D580"/>
      <c r="E580"/>
      <c r="F580"/>
      <c r="G580"/>
      <c r="H580" s="13"/>
      <c r="I580" s="7"/>
      <c r="J580"/>
      <c r="K580"/>
      <c r="L580"/>
      <c r="M580"/>
      <c r="N580"/>
      <c r="O580"/>
      <c r="P580"/>
      <c r="Q580"/>
      <c r="R580"/>
      <c r="S580"/>
      <c r="T580"/>
      <c r="U580" s="27"/>
      <c r="V580" s="14"/>
      <c r="W580" s="27"/>
      <c r="X580" s="27"/>
      <c r="Y580" s="27"/>
      <c r="Z580" s="27"/>
      <c r="AA580"/>
      <c r="AB580"/>
      <c r="AC580" s="27"/>
      <c r="AD580"/>
      <c r="AE580" s="27"/>
      <c r="AF580" s="27"/>
      <c r="AG580" s="28"/>
      <c r="AH580" s="7"/>
      <c r="AI580" s="15"/>
      <c r="AJ580"/>
      <c r="AK580" s="27"/>
      <c r="AL580"/>
      <c r="AM580"/>
      <c r="AN580"/>
      <c r="AO580" s="27"/>
      <c r="AP580" s="27"/>
      <c r="AQ580" s="15"/>
      <c r="AR580"/>
      <c r="AS580" s="27"/>
      <c r="AT580"/>
      <c r="AU580"/>
      <c r="AW580" s="13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</row>
    <row r="581" spans="1:65" s="6" customFormat="1" x14ac:dyDescent="0.25">
      <c r="F581" s="21"/>
      <c r="G581" s="10"/>
      <c r="H581" s="7"/>
      <c r="I581" s="13"/>
      <c r="U581" s="16"/>
      <c r="W581" s="16"/>
      <c r="X581" s="16"/>
      <c r="Y581" s="16"/>
      <c r="Z581" s="16"/>
      <c r="AC581" s="16"/>
      <c r="AE581" s="16"/>
      <c r="AF581" s="22"/>
      <c r="AG581" s="18"/>
      <c r="AH581" s="7"/>
      <c r="AI581" s="7"/>
      <c r="AK581" s="16"/>
      <c r="AO581" s="23"/>
      <c r="AP581" s="17"/>
      <c r="AQ581" s="7"/>
      <c r="AR581"/>
      <c r="AS581" s="17"/>
      <c r="AV581"/>
      <c r="AW581" s="7"/>
      <c r="BB581" s="24"/>
      <c r="BC581"/>
      <c r="BG581"/>
    </row>
    <row r="582" spans="1:65" s="6" customFormat="1" x14ac:dyDescent="0.25">
      <c r="F582" s="21"/>
      <c r="G582" s="10"/>
      <c r="H582" s="7"/>
      <c r="I582" s="13"/>
      <c r="U582" s="16"/>
      <c r="W582" s="16"/>
      <c r="X582" s="16"/>
      <c r="Y582" s="16"/>
      <c r="Z582" s="16"/>
      <c r="AC582" s="16"/>
      <c r="AE582" s="16"/>
      <c r="AF582" s="22"/>
      <c r="AG582" s="18"/>
      <c r="AH582" s="7"/>
      <c r="AI582" s="7"/>
      <c r="AK582" s="16"/>
      <c r="AO582" s="23"/>
      <c r="AP582" s="17"/>
      <c r="AQ582" s="7"/>
      <c r="AR582"/>
      <c r="AS582" s="17"/>
      <c r="AW582" s="7"/>
      <c r="BB582" s="24"/>
      <c r="BC582"/>
      <c r="BG582"/>
    </row>
    <row r="583" spans="1:65" s="6" customFormat="1" x14ac:dyDescent="0.25">
      <c r="A583"/>
      <c r="B583"/>
      <c r="C583"/>
      <c r="D583"/>
      <c r="E583"/>
      <c r="F583"/>
      <c r="G583"/>
      <c r="H583" s="13"/>
      <c r="I583" s="13"/>
      <c r="J583"/>
      <c r="K583"/>
      <c r="L583"/>
      <c r="M583"/>
      <c r="N583"/>
      <c r="O583"/>
      <c r="P583"/>
      <c r="Q583"/>
      <c r="R583"/>
      <c r="S583"/>
      <c r="T583"/>
      <c r="U583" s="27"/>
      <c r="V583" s="14"/>
      <c r="W583" s="27"/>
      <c r="X583" s="27"/>
      <c r="Y583" s="27"/>
      <c r="Z583" s="27"/>
      <c r="AA583"/>
      <c r="AB583"/>
      <c r="AC583" s="27"/>
      <c r="AD583"/>
      <c r="AE583" s="27"/>
      <c r="AF583" s="27"/>
      <c r="AG583" s="28"/>
      <c r="AH583" s="15"/>
      <c r="AI583" s="15"/>
      <c r="AJ583"/>
      <c r="AK583" s="27"/>
      <c r="AL583"/>
      <c r="AM583"/>
      <c r="AN583"/>
      <c r="AO583" s="27"/>
      <c r="AP583" s="27"/>
      <c r="AQ583" s="15"/>
      <c r="AR583"/>
      <c r="AS583" s="27"/>
      <c r="AT583"/>
      <c r="AU583"/>
      <c r="AV583"/>
      <c r="AW583" s="1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</row>
    <row r="584" spans="1:65" s="6" customFormat="1" x14ac:dyDescent="0.25">
      <c r="A584"/>
      <c r="B584"/>
      <c r="C584"/>
      <c r="D584"/>
      <c r="E584"/>
      <c r="F584"/>
      <c r="G584"/>
      <c r="H584" s="13"/>
      <c r="I584" s="13"/>
      <c r="J584"/>
      <c r="K584"/>
      <c r="L584"/>
      <c r="M584"/>
      <c r="N584"/>
      <c r="O584"/>
      <c r="P584"/>
      <c r="Q584"/>
      <c r="R584"/>
      <c r="S584"/>
      <c r="T584"/>
      <c r="U584" s="27"/>
      <c r="V584" s="14"/>
      <c r="W584" s="27"/>
      <c r="X584" s="27"/>
      <c r="Y584" s="27"/>
      <c r="Z584" s="27"/>
      <c r="AA584"/>
      <c r="AB584"/>
      <c r="AC584" s="27"/>
      <c r="AD584"/>
      <c r="AE584" s="27"/>
      <c r="AF584" s="27"/>
      <c r="AG584" s="28"/>
      <c r="AH584" s="15"/>
      <c r="AI584" s="15"/>
      <c r="AJ584"/>
      <c r="AK584" s="27"/>
      <c r="AL584"/>
      <c r="AM584"/>
      <c r="AN584"/>
      <c r="AO584" s="27"/>
      <c r="AP584" s="27"/>
      <c r="AQ584" s="15"/>
      <c r="AR584"/>
      <c r="AS584" s="27"/>
      <c r="AT584"/>
      <c r="AU584"/>
      <c r="AV584"/>
      <c r="AW584" s="13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</row>
    <row r="585" spans="1:65" s="6" customFormat="1" x14ac:dyDescent="0.25">
      <c r="F585" s="21"/>
      <c r="G585" s="10"/>
      <c r="H585" s="7"/>
      <c r="I585" s="13"/>
      <c r="U585" s="16"/>
      <c r="W585" s="16"/>
      <c r="X585" s="16"/>
      <c r="Y585" s="16"/>
      <c r="Z585" s="16"/>
      <c r="AC585" s="16"/>
      <c r="AE585" s="16"/>
      <c r="AF585" s="22"/>
      <c r="AG585" s="18"/>
      <c r="AH585" s="7"/>
      <c r="AI585" s="7"/>
      <c r="AK585" s="16"/>
      <c r="AO585" s="23"/>
      <c r="AP585" s="17"/>
      <c r="AQ585" s="7"/>
      <c r="AR585"/>
      <c r="AS585" s="17"/>
      <c r="AW585" s="7"/>
      <c r="BB585" s="24"/>
      <c r="BC585"/>
      <c r="BG585"/>
    </row>
    <row r="586" spans="1:65" s="6" customFormat="1" x14ac:dyDescent="0.25">
      <c r="A586"/>
      <c r="B586"/>
      <c r="C586"/>
      <c r="D586"/>
      <c r="E586"/>
      <c r="F586"/>
      <c r="G586"/>
      <c r="H586" s="13"/>
      <c r="I586" s="7"/>
      <c r="J586"/>
      <c r="K586"/>
      <c r="L586"/>
      <c r="M586"/>
      <c r="N586"/>
      <c r="O586"/>
      <c r="P586"/>
      <c r="Q586"/>
      <c r="R586"/>
      <c r="S586"/>
      <c r="T586"/>
      <c r="U586" s="27"/>
      <c r="V586" s="14"/>
      <c r="W586" s="27"/>
      <c r="X586" s="27"/>
      <c r="Y586" s="27"/>
      <c r="Z586" s="27"/>
      <c r="AA586"/>
      <c r="AB586"/>
      <c r="AC586" s="27"/>
      <c r="AD586"/>
      <c r="AE586" s="27"/>
      <c r="AF586" s="27"/>
      <c r="AG586" s="28"/>
      <c r="AH586" s="7"/>
      <c r="AI586" s="15"/>
      <c r="AJ586"/>
      <c r="AK586" s="27"/>
      <c r="AL586"/>
      <c r="AM586"/>
      <c r="AN586"/>
      <c r="AO586" s="27"/>
      <c r="AP586" s="27"/>
      <c r="AQ586" s="15"/>
      <c r="AR586"/>
      <c r="AS586" s="27"/>
      <c r="AT586"/>
      <c r="AU586"/>
      <c r="AW586" s="7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</row>
    <row r="587" spans="1:65" s="6" customFormat="1" x14ac:dyDescent="0.25">
      <c r="F587" s="21"/>
      <c r="G587" s="10"/>
      <c r="H587" s="7"/>
      <c r="I587" s="13"/>
      <c r="U587" s="16"/>
      <c r="W587" s="16"/>
      <c r="X587" s="16"/>
      <c r="Y587" s="16"/>
      <c r="Z587" s="16"/>
      <c r="AC587" s="16"/>
      <c r="AE587" s="16"/>
      <c r="AF587" s="22"/>
      <c r="AG587" s="18"/>
      <c r="AH587" s="7"/>
      <c r="AI587" s="7"/>
      <c r="AK587" s="16"/>
      <c r="AO587" s="23"/>
      <c r="AP587" s="17"/>
      <c r="AQ587" s="7"/>
      <c r="AR587"/>
      <c r="AS587" s="17"/>
      <c r="AV587"/>
      <c r="AW587" s="7"/>
      <c r="BB587" s="24"/>
      <c r="BC587"/>
      <c r="BG587"/>
    </row>
    <row r="588" spans="1:65" s="6" customFormat="1" x14ac:dyDescent="0.25">
      <c r="A588"/>
      <c r="B588"/>
      <c r="C588"/>
      <c r="D588"/>
      <c r="E588"/>
      <c r="F588"/>
      <c r="G588"/>
      <c r="H588" s="13"/>
      <c r="I588" s="13"/>
      <c r="J588"/>
      <c r="K588"/>
      <c r="L588"/>
      <c r="M588"/>
      <c r="N588"/>
      <c r="O588"/>
      <c r="P588"/>
      <c r="Q588"/>
      <c r="R588"/>
      <c r="S588"/>
      <c r="T588"/>
      <c r="U588" s="27"/>
      <c r="V588" s="14"/>
      <c r="W588" s="27"/>
      <c r="X588" s="27"/>
      <c r="Y588" s="27"/>
      <c r="Z588" s="27"/>
      <c r="AA588"/>
      <c r="AB588"/>
      <c r="AC588" s="27"/>
      <c r="AD588"/>
      <c r="AE588" s="27"/>
      <c r="AF588" s="27"/>
      <c r="AG588" s="28"/>
      <c r="AH588" s="15"/>
      <c r="AI588" s="15"/>
      <c r="AJ588"/>
      <c r="AK588" s="27"/>
      <c r="AL588"/>
      <c r="AM588"/>
      <c r="AN588"/>
      <c r="AO588" s="27"/>
      <c r="AP588" s="27"/>
      <c r="AQ588" s="15"/>
      <c r="AR588"/>
      <c r="AS588" s="27"/>
      <c r="AT588"/>
      <c r="AU588"/>
      <c r="AW588" s="13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</row>
    <row r="589" spans="1:65" s="6" customFormat="1" x14ac:dyDescent="0.25">
      <c r="A589"/>
      <c r="B589"/>
      <c r="C589"/>
      <c r="D589"/>
      <c r="E589"/>
      <c r="F589"/>
      <c r="G589"/>
      <c r="H589" s="13"/>
      <c r="I589" s="7"/>
      <c r="J589"/>
      <c r="K589"/>
      <c r="L589"/>
      <c r="M589"/>
      <c r="N589"/>
      <c r="O589"/>
      <c r="P589"/>
      <c r="Q589"/>
      <c r="R589"/>
      <c r="S589"/>
      <c r="T589"/>
      <c r="U589" s="27"/>
      <c r="V589" s="14"/>
      <c r="W589" s="27"/>
      <c r="X589" s="27"/>
      <c r="Y589" s="27"/>
      <c r="Z589" s="27"/>
      <c r="AA589"/>
      <c r="AB589"/>
      <c r="AC589" s="27"/>
      <c r="AD589"/>
      <c r="AE589" s="27"/>
      <c r="AF589" s="27"/>
      <c r="AG589" s="28"/>
      <c r="AH589" s="7"/>
      <c r="AI589" s="15"/>
      <c r="AJ589"/>
      <c r="AK589" s="27"/>
      <c r="AL589"/>
      <c r="AM589"/>
      <c r="AN589"/>
      <c r="AO589" s="27"/>
      <c r="AP589" s="27"/>
      <c r="AQ589" s="15"/>
      <c r="AR589"/>
      <c r="AS589" s="27"/>
      <c r="AT589"/>
      <c r="AU589"/>
      <c r="AW589" s="13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</row>
    <row r="590" spans="1:65" s="6" customFormat="1" x14ac:dyDescent="0.25">
      <c r="F590" s="21"/>
      <c r="G590" s="10"/>
      <c r="H590" s="7"/>
      <c r="I590" s="13"/>
      <c r="U590" s="16"/>
      <c r="W590" s="16"/>
      <c r="X590" s="16"/>
      <c r="Y590" s="16"/>
      <c r="Z590" s="16"/>
      <c r="AC590" s="16"/>
      <c r="AE590" s="16"/>
      <c r="AF590" s="22"/>
      <c r="AG590" s="18"/>
      <c r="AH590" s="7"/>
      <c r="AI590" s="7"/>
      <c r="AK590" s="16"/>
      <c r="AO590" s="23"/>
      <c r="AP590" s="17"/>
      <c r="AQ590" s="7"/>
      <c r="AR590"/>
      <c r="AS590" s="17"/>
      <c r="AV590"/>
      <c r="AW590" s="7"/>
      <c r="BB590" s="24"/>
      <c r="BC590"/>
      <c r="BG590"/>
    </row>
    <row r="591" spans="1:65" s="6" customFormat="1" x14ac:dyDescent="0.25">
      <c r="F591" s="21"/>
      <c r="G591" s="10"/>
      <c r="H591" s="7"/>
      <c r="I591" s="13"/>
      <c r="U591" s="16"/>
      <c r="W591" s="16"/>
      <c r="X591" s="16"/>
      <c r="Y591" s="16"/>
      <c r="Z591" s="16"/>
      <c r="AC591" s="16"/>
      <c r="AE591" s="16"/>
      <c r="AF591" s="22"/>
      <c r="AG591" s="18"/>
      <c r="AH591" s="7"/>
      <c r="AI591" s="7"/>
      <c r="AK591" s="16"/>
      <c r="AO591" s="23"/>
      <c r="AP591" s="17"/>
      <c r="AQ591" s="7"/>
      <c r="AR591"/>
      <c r="AS591" s="17"/>
      <c r="AW591" s="7"/>
      <c r="BB591" s="24"/>
      <c r="BC591"/>
      <c r="BG591"/>
    </row>
    <row r="592" spans="1:65" s="6" customFormat="1" x14ac:dyDescent="0.25">
      <c r="A592"/>
      <c r="B592"/>
      <c r="C592"/>
      <c r="D592"/>
      <c r="E592"/>
      <c r="F592"/>
      <c r="G592"/>
      <c r="H592" s="13"/>
      <c r="I592" s="13"/>
      <c r="J592"/>
      <c r="K592"/>
      <c r="L592"/>
      <c r="M592"/>
      <c r="N592"/>
      <c r="O592"/>
      <c r="P592"/>
      <c r="Q592"/>
      <c r="R592"/>
      <c r="S592"/>
      <c r="T592"/>
      <c r="U592" s="27"/>
      <c r="V592" s="14"/>
      <c r="W592" s="27"/>
      <c r="X592" s="27"/>
      <c r="Y592" s="27"/>
      <c r="Z592" s="27"/>
      <c r="AA592"/>
      <c r="AB592"/>
      <c r="AC592" s="27"/>
      <c r="AD592"/>
      <c r="AE592" s="27"/>
      <c r="AF592" s="27"/>
      <c r="AG592" s="28"/>
      <c r="AH592" s="15"/>
      <c r="AI592" s="15"/>
      <c r="AJ592"/>
      <c r="AK592" s="27"/>
      <c r="AL592"/>
      <c r="AM592"/>
      <c r="AN592"/>
      <c r="AO592" s="27"/>
      <c r="AP592" s="27"/>
      <c r="AQ592" s="15"/>
      <c r="AR592"/>
      <c r="AS592" s="27"/>
      <c r="AT592"/>
      <c r="AU592"/>
      <c r="AV592"/>
      <c r="AW592" s="13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</row>
    <row r="593" spans="1:65" s="6" customFormat="1" x14ac:dyDescent="0.25">
      <c r="A593"/>
      <c r="B593"/>
      <c r="C593"/>
      <c r="D593"/>
      <c r="E593"/>
      <c r="F593"/>
      <c r="G593"/>
      <c r="H593" s="13"/>
      <c r="I593" s="13"/>
      <c r="J593"/>
      <c r="K593"/>
      <c r="L593"/>
      <c r="M593"/>
      <c r="N593"/>
      <c r="O593"/>
      <c r="P593"/>
      <c r="Q593"/>
      <c r="R593"/>
      <c r="S593"/>
      <c r="T593"/>
      <c r="U593" s="27"/>
      <c r="V593" s="14"/>
      <c r="W593" s="27"/>
      <c r="X593" s="27"/>
      <c r="Y593" s="27"/>
      <c r="Z593" s="27"/>
      <c r="AA593"/>
      <c r="AB593"/>
      <c r="AC593" s="27"/>
      <c r="AD593"/>
      <c r="AE593" s="27"/>
      <c r="AF593" s="27"/>
      <c r="AG593" s="28"/>
      <c r="AH593" s="15"/>
      <c r="AI593" s="15"/>
      <c r="AJ593"/>
      <c r="AK593" s="27"/>
      <c r="AL593"/>
      <c r="AM593"/>
      <c r="AN593"/>
      <c r="AO593" s="27"/>
      <c r="AP593" s="27"/>
      <c r="AQ593" s="15"/>
      <c r="AR593"/>
      <c r="AS593" s="27"/>
      <c r="AT593"/>
      <c r="AU593"/>
      <c r="AV593"/>
      <c r="AW593" s="1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</row>
    <row r="594" spans="1:65" s="6" customFormat="1" x14ac:dyDescent="0.25">
      <c r="F594" s="21"/>
      <c r="G594" s="10"/>
      <c r="H594" s="7"/>
      <c r="I594" s="13"/>
      <c r="U594" s="16"/>
      <c r="W594" s="16"/>
      <c r="X594" s="16"/>
      <c r="Y594" s="16"/>
      <c r="Z594" s="16"/>
      <c r="AC594" s="16"/>
      <c r="AE594" s="16"/>
      <c r="AF594" s="22"/>
      <c r="AG594" s="18"/>
      <c r="AH594" s="7"/>
      <c r="AI594" s="7"/>
      <c r="AK594" s="16"/>
      <c r="AO594" s="23"/>
      <c r="AP594" s="17"/>
      <c r="AQ594" s="7"/>
      <c r="AR594"/>
      <c r="AS594" s="17"/>
      <c r="AW594" s="7"/>
      <c r="BB594" s="24"/>
      <c r="BC594"/>
      <c r="BG594"/>
    </row>
    <row r="595" spans="1:65" s="6" customFormat="1" x14ac:dyDescent="0.25">
      <c r="A595"/>
      <c r="B595"/>
      <c r="C595"/>
      <c r="D595"/>
      <c r="E595"/>
      <c r="F595"/>
      <c r="G595"/>
      <c r="H595" s="13"/>
      <c r="I595" s="7"/>
      <c r="J595"/>
      <c r="K595"/>
      <c r="L595"/>
      <c r="M595"/>
      <c r="N595"/>
      <c r="O595"/>
      <c r="P595"/>
      <c r="Q595"/>
      <c r="R595"/>
      <c r="S595"/>
      <c r="T595"/>
      <c r="U595" s="27"/>
      <c r="V595" s="14"/>
      <c r="W595" s="27"/>
      <c r="X595" s="27"/>
      <c r="Y595" s="27"/>
      <c r="Z595" s="27"/>
      <c r="AA595"/>
      <c r="AB595"/>
      <c r="AC595" s="27"/>
      <c r="AD595"/>
      <c r="AE595" s="27"/>
      <c r="AF595" s="27"/>
      <c r="AG595" s="28"/>
      <c r="AH595" s="7"/>
      <c r="AI595" s="15"/>
      <c r="AJ595"/>
      <c r="AK595" s="27"/>
      <c r="AL595"/>
      <c r="AM595"/>
      <c r="AN595"/>
      <c r="AO595" s="27"/>
      <c r="AP595" s="27"/>
      <c r="AQ595" s="15"/>
      <c r="AR595"/>
      <c r="AS595" s="27"/>
      <c r="AT595"/>
      <c r="AU595"/>
      <c r="AW595" s="7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</row>
    <row r="596" spans="1:65" s="6" customFormat="1" x14ac:dyDescent="0.25">
      <c r="F596" s="21"/>
      <c r="G596" s="10"/>
      <c r="H596" s="7"/>
      <c r="I596" s="13"/>
      <c r="U596" s="16"/>
      <c r="W596" s="16"/>
      <c r="X596" s="16"/>
      <c r="Y596" s="16"/>
      <c r="Z596" s="16"/>
      <c r="AC596" s="16"/>
      <c r="AE596" s="16"/>
      <c r="AF596" s="22"/>
      <c r="AG596" s="18"/>
      <c r="AH596" s="7"/>
      <c r="AI596" s="7"/>
      <c r="AK596" s="16"/>
      <c r="AO596" s="23"/>
      <c r="AP596" s="17"/>
      <c r="AQ596" s="7"/>
      <c r="AR596"/>
      <c r="AS596" s="17"/>
      <c r="AV596"/>
      <c r="AW596" s="7"/>
      <c r="BB596" s="24"/>
      <c r="BC596"/>
      <c r="BG596"/>
    </row>
    <row r="597" spans="1:65" s="6" customFormat="1" x14ac:dyDescent="0.25">
      <c r="A597"/>
      <c r="B597"/>
      <c r="C597"/>
      <c r="D597"/>
      <c r="E597"/>
      <c r="F597"/>
      <c r="G597"/>
      <c r="H597" s="13"/>
      <c r="I597" s="13"/>
      <c r="J597"/>
      <c r="K597"/>
      <c r="L597"/>
      <c r="M597"/>
      <c r="N597"/>
      <c r="O597"/>
      <c r="P597"/>
      <c r="Q597"/>
      <c r="R597"/>
      <c r="S597"/>
      <c r="T597"/>
      <c r="U597" s="27"/>
      <c r="V597" s="14"/>
      <c r="W597" s="27"/>
      <c r="X597" s="27"/>
      <c r="Y597" s="27"/>
      <c r="Z597" s="27"/>
      <c r="AA597"/>
      <c r="AB597"/>
      <c r="AC597" s="27"/>
      <c r="AD597"/>
      <c r="AE597" s="27"/>
      <c r="AF597" s="27"/>
      <c r="AG597" s="28"/>
      <c r="AH597" s="15"/>
      <c r="AI597" s="15"/>
      <c r="AJ597"/>
      <c r="AK597" s="27"/>
      <c r="AL597"/>
      <c r="AM597"/>
      <c r="AN597"/>
      <c r="AO597" s="27"/>
      <c r="AP597" s="27"/>
      <c r="AQ597" s="15"/>
      <c r="AR597"/>
      <c r="AS597" s="27"/>
      <c r="AT597"/>
      <c r="AU597"/>
      <c r="AW597" s="13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</row>
    <row r="598" spans="1:65" s="6" customFormat="1" x14ac:dyDescent="0.25">
      <c r="A598"/>
      <c r="B598"/>
      <c r="C598"/>
      <c r="D598"/>
      <c r="E598"/>
      <c r="F598"/>
      <c r="G598"/>
      <c r="H598" s="13"/>
      <c r="I598" s="7"/>
      <c r="J598"/>
      <c r="K598"/>
      <c r="L598"/>
      <c r="M598"/>
      <c r="N598"/>
      <c r="O598"/>
      <c r="P598"/>
      <c r="Q598"/>
      <c r="R598"/>
      <c r="S598"/>
      <c r="T598"/>
      <c r="U598" s="27"/>
      <c r="V598" s="14"/>
      <c r="W598" s="27"/>
      <c r="X598" s="27"/>
      <c r="Y598" s="27"/>
      <c r="Z598" s="27"/>
      <c r="AA598"/>
      <c r="AB598"/>
      <c r="AC598" s="27"/>
      <c r="AD598"/>
      <c r="AE598" s="27"/>
      <c r="AF598" s="27"/>
      <c r="AG598" s="28"/>
      <c r="AH598" s="7"/>
      <c r="AI598" s="15"/>
      <c r="AJ598"/>
      <c r="AK598" s="27"/>
      <c r="AL598"/>
      <c r="AM598"/>
      <c r="AN598"/>
      <c r="AO598" s="27"/>
      <c r="AP598" s="27"/>
      <c r="AQ598" s="15"/>
      <c r="AR598"/>
      <c r="AS598" s="27"/>
      <c r="AT598"/>
      <c r="AU598"/>
      <c r="AW598" s="13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</row>
    <row r="599" spans="1:65" s="6" customFormat="1" x14ac:dyDescent="0.25">
      <c r="F599" s="21"/>
      <c r="G599" s="10"/>
      <c r="H599" s="7"/>
      <c r="I599" s="13"/>
      <c r="U599" s="16"/>
      <c r="W599" s="16"/>
      <c r="X599" s="16"/>
      <c r="Y599" s="16"/>
      <c r="Z599" s="16"/>
      <c r="AC599" s="16"/>
      <c r="AE599" s="16"/>
      <c r="AF599" s="22"/>
      <c r="AG599" s="18"/>
      <c r="AH599" s="7"/>
      <c r="AI599" s="7"/>
      <c r="AK599" s="16"/>
      <c r="AO599" s="23"/>
      <c r="AP599" s="17"/>
      <c r="AQ599" s="7"/>
      <c r="AR599"/>
      <c r="AS599" s="17"/>
      <c r="AV599"/>
      <c r="AW599" s="7"/>
      <c r="BB599" s="24"/>
      <c r="BC599"/>
      <c r="BG599"/>
    </row>
    <row r="600" spans="1:65" s="6" customFormat="1" x14ac:dyDescent="0.25">
      <c r="F600" s="21"/>
      <c r="G600" s="10"/>
      <c r="H600" s="7"/>
      <c r="I600" s="13"/>
      <c r="U600" s="16"/>
      <c r="W600" s="16"/>
      <c r="X600" s="16"/>
      <c r="Y600" s="16"/>
      <c r="Z600" s="16"/>
      <c r="AC600" s="16"/>
      <c r="AE600" s="16"/>
      <c r="AF600" s="22"/>
      <c r="AG600" s="18"/>
      <c r="AH600" s="7"/>
      <c r="AI600" s="7"/>
      <c r="AK600" s="16"/>
      <c r="AO600" s="23"/>
      <c r="AP600" s="17"/>
      <c r="AQ600" s="7"/>
      <c r="AR600"/>
      <c r="AS600" s="17"/>
      <c r="AW600" s="7"/>
      <c r="BB600" s="24"/>
      <c r="BC600"/>
      <c r="BG600"/>
    </row>
    <row r="601" spans="1:65" s="6" customFormat="1" x14ac:dyDescent="0.25">
      <c r="A601"/>
      <c r="B601"/>
      <c r="C601"/>
      <c r="D601"/>
      <c r="E601"/>
      <c r="F601"/>
      <c r="G601"/>
      <c r="H601" s="13"/>
      <c r="I601" s="13"/>
      <c r="J601"/>
      <c r="K601"/>
      <c r="L601"/>
      <c r="M601"/>
      <c r="N601"/>
      <c r="O601"/>
      <c r="P601"/>
      <c r="Q601"/>
      <c r="R601"/>
      <c r="S601"/>
      <c r="T601"/>
      <c r="U601" s="27"/>
      <c r="V601" s="14"/>
      <c r="W601" s="27"/>
      <c r="X601" s="27"/>
      <c r="Y601" s="27"/>
      <c r="Z601" s="27"/>
      <c r="AA601"/>
      <c r="AB601"/>
      <c r="AC601" s="27"/>
      <c r="AD601"/>
      <c r="AE601" s="27"/>
      <c r="AF601" s="27"/>
      <c r="AG601" s="28"/>
      <c r="AH601" s="15"/>
      <c r="AI601" s="15"/>
      <c r="AJ601"/>
      <c r="AK601" s="27"/>
      <c r="AL601"/>
      <c r="AM601"/>
      <c r="AN601"/>
      <c r="AO601" s="27"/>
      <c r="AP601" s="27"/>
      <c r="AQ601" s="15"/>
      <c r="AR601"/>
      <c r="AS601" s="27"/>
      <c r="AT601"/>
      <c r="AU601"/>
      <c r="AV601"/>
      <c r="AW601" s="13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</row>
    <row r="602" spans="1:65" s="6" customFormat="1" x14ac:dyDescent="0.25">
      <c r="A602"/>
      <c r="B602"/>
      <c r="C602"/>
      <c r="D602"/>
      <c r="E602"/>
      <c r="F602"/>
      <c r="G602"/>
      <c r="H602" s="13"/>
      <c r="I602" s="13"/>
      <c r="J602"/>
      <c r="K602"/>
      <c r="L602"/>
      <c r="M602"/>
      <c r="N602"/>
      <c r="O602"/>
      <c r="P602"/>
      <c r="Q602"/>
      <c r="R602"/>
      <c r="S602"/>
      <c r="T602"/>
      <c r="U602" s="27"/>
      <c r="V602" s="14"/>
      <c r="W602" s="27"/>
      <c r="X602" s="27"/>
      <c r="Y602" s="27"/>
      <c r="Z602" s="27"/>
      <c r="AA602"/>
      <c r="AB602"/>
      <c r="AC602" s="27"/>
      <c r="AD602"/>
      <c r="AE602" s="27"/>
      <c r="AF602" s="27"/>
      <c r="AG602" s="28"/>
      <c r="AH602" s="15"/>
      <c r="AI602" s="15"/>
      <c r="AJ602"/>
      <c r="AK602" s="27"/>
      <c r="AL602"/>
      <c r="AM602"/>
      <c r="AN602"/>
      <c r="AO602" s="27"/>
      <c r="AP602" s="27"/>
      <c r="AQ602" s="15"/>
      <c r="AR602"/>
      <c r="AS602" s="27"/>
      <c r="AT602"/>
      <c r="AU602"/>
      <c r="AV602"/>
      <c r="AW602" s="13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</row>
    <row r="603" spans="1:65" s="6" customFormat="1" x14ac:dyDescent="0.25">
      <c r="F603" s="21"/>
      <c r="G603" s="10"/>
      <c r="H603" s="7"/>
      <c r="I603" s="13"/>
      <c r="U603" s="16"/>
      <c r="W603" s="16"/>
      <c r="X603" s="16"/>
      <c r="Y603" s="16"/>
      <c r="Z603" s="16"/>
      <c r="AC603" s="16"/>
      <c r="AE603" s="16"/>
      <c r="AF603" s="22"/>
      <c r="AG603" s="18"/>
      <c r="AH603" s="7"/>
      <c r="AI603" s="7"/>
      <c r="AK603" s="16"/>
      <c r="AO603" s="23"/>
      <c r="AP603" s="17"/>
      <c r="AQ603" s="7"/>
      <c r="AR603"/>
      <c r="AS603" s="17"/>
      <c r="AW603" s="7"/>
      <c r="BB603" s="24"/>
      <c r="BC603"/>
      <c r="BG603"/>
    </row>
    <row r="604" spans="1:65" s="6" customFormat="1" x14ac:dyDescent="0.25">
      <c r="A604"/>
      <c r="B604"/>
      <c r="C604"/>
      <c r="D604"/>
      <c r="E604"/>
      <c r="F604"/>
      <c r="G604"/>
      <c r="H604" s="13"/>
      <c r="I604" s="7"/>
      <c r="J604"/>
      <c r="K604"/>
      <c r="L604"/>
      <c r="M604"/>
      <c r="N604"/>
      <c r="O604"/>
      <c r="P604"/>
      <c r="Q604"/>
      <c r="R604"/>
      <c r="S604"/>
      <c r="T604"/>
      <c r="U604" s="27"/>
      <c r="V604" s="14"/>
      <c r="W604" s="27"/>
      <c r="X604" s="27"/>
      <c r="Y604" s="27"/>
      <c r="Z604" s="27"/>
      <c r="AA604"/>
      <c r="AB604"/>
      <c r="AC604" s="27"/>
      <c r="AD604"/>
      <c r="AE604" s="27"/>
      <c r="AF604" s="27"/>
      <c r="AG604" s="28"/>
      <c r="AH604" s="7"/>
      <c r="AI604" s="15"/>
      <c r="AJ604"/>
      <c r="AK604" s="27"/>
      <c r="AL604"/>
      <c r="AM604"/>
      <c r="AN604"/>
      <c r="AO604" s="27"/>
      <c r="AP604" s="27"/>
      <c r="AQ604" s="15"/>
      <c r="AR604"/>
      <c r="AS604" s="27"/>
      <c r="AT604"/>
      <c r="AU604"/>
      <c r="AW604" s="13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</row>
    <row r="605" spans="1:65" s="6" customFormat="1" x14ac:dyDescent="0.25">
      <c r="F605" s="21"/>
      <c r="G605" s="10"/>
      <c r="H605" s="7"/>
      <c r="I605" s="13"/>
      <c r="U605" s="16"/>
      <c r="W605" s="16"/>
      <c r="X605" s="16"/>
      <c r="Y605" s="16"/>
      <c r="Z605" s="16"/>
      <c r="AC605" s="16"/>
      <c r="AE605" s="16"/>
      <c r="AF605" s="22"/>
      <c r="AG605" s="18"/>
      <c r="AH605" s="7"/>
      <c r="AI605" s="7"/>
      <c r="AK605" s="16"/>
      <c r="AO605" s="23"/>
      <c r="AP605" s="17"/>
      <c r="AQ605" s="7"/>
      <c r="AR605"/>
      <c r="AS605" s="17"/>
      <c r="AV605"/>
      <c r="AW605" s="7"/>
      <c r="BB605" s="24"/>
      <c r="BC605"/>
      <c r="BG605"/>
    </row>
    <row r="606" spans="1:65" s="6" customFormat="1" x14ac:dyDescent="0.25">
      <c r="A606"/>
      <c r="B606"/>
      <c r="C606"/>
      <c r="D606"/>
      <c r="E606"/>
      <c r="F606"/>
      <c r="G606"/>
      <c r="H606" s="13"/>
      <c r="I606" s="13"/>
      <c r="J606"/>
      <c r="K606"/>
      <c r="L606"/>
      <c r="M606"/>
      <c r="N606"/>
      <c r="O606"/>
      <c r="P606"/>
      <c r="Q606"/>
      <c r="R606"/>
      <c r="S606"/>
      <c r="T606"/>
      <c r="U606" s="27"/>
      <c r="V606" s="14"/>
      <c r="W606" s="27"/>
      <c r="X606" s="27"/>
      <c r="Y606" s="27"/>
      <c r="Z606" s="27"/>
      <c r="AA606"/>
      <c r="AB606"/>
      <c r="AC606" s="27"/>
      <c r="AD606"/>
      <c r="AE606" s="27"/>
      <c r="AF606" s="27"/>
      <c r="AG606" s="28"/>
      <c r="AH606" s="15"/>
      <c r="AI606" s="15"/>
      <c r="AJ606"/>
      <c r="AK606" s="27"/>
      <c r="AL606"/>
      <c r="AM606"/>
      <c r="AN606"/>
      <c r="AO606" s="27"/>
      <c r="AP606" s="27"/>
      <c r="AQ606" s="15"/>
      <c r="AR606"/>
      <c r="AS606" s="27"/>
      <c r="AT606"/>
      <c r="AU606"/>
      <c r="AW606" s="13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</row>
    <row r="607" spans="1:65" s="6" customFormat="1" x14ac:dyDescent="0.25">
      <c r="A607"/>
      <c r="B607"/>
      <c r="C607"/>
      <c r="D607"/>
      <c r="E607"/>
      <c r="F607"/>
      <c r="G607"/>
      <c r="H607" s="13"/>
      <c r="I607" s="7"/>
      <c r="J607"/>
      <c r="K607"/>
      <c r="L607"/>
      <c r="M607"/>
      <c r="N607"/>
      <c r="O607"/>
      <c r="P607"/>
      <c r="Q607"/>
      <c r="R607"/>
      <c r="S607"/>
      <c r="T607"/>
      <c r="U607" s="27"/>
      <c r="V607" s="14"/>
      <c r="W607" s="27"/>
      <c r="X607" s="27"/>
      <c r="Y607" s="27"/>
      <c r="Z607" s="27"/>
      <c r="AA607"/>
      <c r="AB607"/>
      <c r="AC607" s="27"/>
      <c r="AD607"/>
      <c r="AE607" s="27"/>
      <c r="AF607" s="27"/>
      <c r="AG607" s="28"/>
      <c r="AH607" s="7"/>
      <c r="AI607" s="15"/>
      <c r="AJ607"/>
      <c r="AK607" s="27"/>
      <c r="AL607"/>
      <c r="AM607"/>
      <c r="AN607"/>
      <c r="AO607" s="27"/>
      <c r="AP607" s="27"/>
      <c r="AQ607" s="15"/>
      <c r="AR607"/>
      <c r="AS607" s="27"/>
      <c r="AT607"/>
      <c r="AU607"/>
      <c r="AW607" s="13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</row>
    <row r="608" spans="1:65" s="6" customFormat="1" x14ac:dyDescent="0.25">
      <c r="F608" s="21"/>
      <c r="G608" s="10"/>
      <c r="H608" s="7"/>
      <c r="I608" s="13"/>
      <c r="U608" s="16"/>
      <c r="W608" s="16"/>
      <c r="X608" s="16"/>
      <c r="Y608" s="16"/>
      <c r="Z608" s="16"/>
      <c r="AC608" s="16"/>
      <c r="AE608" s="16"/>
      <c r="AF608" s="22"/>
      <c r="AG608" s="18"/>
      <c r="AH608" s="7"/>
      <c r="AI608" s="7"/>
      <c r="AK608" s="16"/>
      <c r="AO608" s="23"/>
      <c r="AP608" s="17"/>
      <c r="AQ608" s="7"/>
      <c r="AR608"/>
      <c r="AS608" s="17"/>
      <c r="AV608"/>
      <c r="AW608" s="7"/>
      <c r="BB608" s="24"/>
      <c r="BC608"/>
      <c r="BG608"/>
    </row>
    <row r="609" spans="1:65" s="6" customFormat="1" x14ac:dyDescent="0.25">
      <c r="F609" s="21"/>
      <c r="G609" s="10"/>
      <c r="H609" s="7"/>
      <c r="I609" s="13"/>
      <c r="U609" s="16"/>
      <c r="W609" s="16"/>
      <c r="X609" s="16"/>
      <c r="Y609" s="16"/>
      <c r="Z609" s="16"/>
      <c r="AC609" s="16"/>
      <c r="AE609" s="16"/>
      <c r="AF609" s="22"/>
      <c r="AG609" s="18"/>
      <c r="AH609" s="7"/>
      <c r="AI609" s="7"/>
      <c r="AK609" s="16"/>
      <c r="AO609" s="23"/>
      <c r="AP609" s="17"/>
      <c r="AQ609" s="7"/>
      <c r="AR609"/>
      <c r="AS609" s="17"/>
      <c r="AW609" s="7"/>
      <c r="BB609" s="24"/>
      <c r="BC609"/>
      <c r="BG609"/>
    </row>
    <row r="610" spans="1:65" s="6" customFormat="1" x14ac:dyDescent="0.25">
      <c r="A610"/>
      <c r="B610"/>
      <c r="C610"/>
      <c r="D610"/>
      <c r="E610"/>
      <c r="F610"/>
      <c r="G610"/>
      <c r="H610" s="13"/>
      <c r="I610" s="13"/>
      <c r="J610"/>
      <c r="K610"/>
      <c r="L610"/>
      <c r="M610"/>
      <c r="N610"/>
      <c r="O610"/>
      <c r="P610"/>
      <c r="Q610"/>
      <c r="R610"/>
      <c r="S610"/>
      <c r="T610"/>
      <c r="U610" s="27"/>
      <c r="V610" s="14"/>
      <c r="W610" s="27"/>
      <c r="X610" s="27"/>
      <c r="Y610" s="27"/>
      <c r="Z610" s="27"/>
      <c r="AA610"/>
      <c r="AB610"/>
      <c r="AC610" s="27"/>
      <c r="AD610"/>
      <c r="AE610" s="27"/>
      <c r="AF610" s="27"/>
      <c r="AG610" s="28"/>
      <c r="AH610" s="15"/>
      <c r="AI610" s="15"/>
      <c r="AJ610"/>
      <c r="AK610" s="27"/>
      <c r="AL610"/>
      <c r="AM610"/>
      <c r="AN610"/>
      <c r="AO610" s="27"/>
      <c r="AP610" s="27"/>
      <c r="AQ610" s="15"/>
      <c r="AR610"/>
      <c r="AS610" s="27"/>
      <c r="AT610"/>
      <c r="AU610"/>
      <c r="AV610"/>
      <c r="AW610" s="13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</row>
    <row r="611" spans="1:65" s="6" customFormat="1" x14ac:dyDescent="0.25">
      <c r="A611"/>
      <c r="B611"/>
      <c r="C611"/>
      <c r="D611"/>
      <c r="E611"/>
      <c r="F611"/>
      <c r="G611"/>
      <c r="H611" s="13"/>
      <c r="I611" s="13"/>
      <c r="J611"/>
      <c r="K611"/>
      <c r="L611"/>
      <c r="M611"/>
      <c r="N611"/>
      <c r="O611"/>
      <c r="P611"/>
      <c r="Q611"/>
      <c r="R611"/>
      <c r="S611"/>
      <c r="T611"/>
      <c r="U611" s="27"/>
      <c r="V611" s="14"/>
      <c r="W611" s="27"/>
      <c r="X611" s="27"/>
      <c r="Y611" s="27"/>
      <c r="Z611" s="27"/>
      <c r="AA611"/>
      <c r="AB611"/>
      <c r="AC611" s="27"/>
      <c r="AD611"/>
      <c r="AE611" s="27"/>
      <c r="AF611" s="27"/>
      <c r="AG611" s="28"/>
      <c r="AH611" s="15"/>
      <c r="AI611" s="15"/>
      <c r="AJ611"/>
      <c r="AK611" s="27"/>
      <c r="AL611"/>
      <c r="AM611"/>
      <c r="AN611"/>
      <c r="AO611" s="27"/>
      <c r="AP611" s="27"/>
      <c r="AQ611" s="15"/>
      <c r="AR611"/>
      <c r="AS611" s="27"/>
      <c r="AT611"/>
      <c r="AU611"/>
      <c r="AV611"/>
      <c r="AW611" s="13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</row>
    <row r="612" spans="1:65" s="6" customFormat="1" x14ac:dyDescent="0.25">
      <c r="F612" s="21"/>
      <c r="G612" s="10"/>
      <c r="H612" s="7"/>
      <c r="I612" s="13"/>
      <c r="U612" s="16"/>
      <c r="W612" s="16"/>
      <c r="X612" s="16"/>
      <c r="Y612" s="16"/>
      <c r="Z612" s="16"/>
      <c r="AC612" s="16"/>
      <c r="AE612" s="16"/>
      <c r="AF612" s="22"/>
      <c r="AG612" s="18"/>
      <c r="AH612" s="7"/>
      <c r="AI612" s="7"/>
      <c r="AK612" s="16"/>
      <c r="AO612" s="23"/>
      <c r="AP612" s="17"/>
      <c r="AQ612" s="7"/>
      <c r="AR612"/>
      <c r="AS612" s="17"/>
      <c r="AW612" s="7"/>
      <c r="BB612" s="24"/>
      <c r="BC612"/>
      <c r="BG612"/>
    </row>
    <row r="613" spans="1:65" s="6" customFormat="1" x14ac:dyDescent="0.25">
      <c r="A613"/>
      <c r="B613"/>
      <c r="C613"/>
      <c r="D613"/>
      <c r="E613"/>
      <c r="F613"/>
      <c r="G613"/>
      <c r="H613" s="13"/>
      <c r="I613" s="7"/>
      <c r="J613"/>
      <c r="K613"/>
      <c r="L613"/>
      <c r="M613"/>
      <c r="N613"/>
      <c r="O613"/>
      <c r="P613"/>
      <c r="Q613"/>
      <c r="R613"/>
      <c r="S613"/>
      <c r="T613"/>
      <c r="U613" s="27"/>
      <c r="V613" s="14"/>
      <c r="W613" s="27"/>
      <c r="X613" s="27"/>
      <c r="Y613" s="27"/>
      <c r="Z613" s="27"/>
      <c r="AA613"/>
      <c r="AB613"/>
      <c r="AC613" s="27"/>
      <c r="AD613"/>
      <c r="AE613" s="27"/>
      <c r="AF613" s="27"/>
      <c r="AG613" s="28"/>
      <c r="AH613" s="7"/>
      <c r="AI613" s="15"/>
      <c r="AJ613"/>
      <c r="AK613" s="27"/>
      <c r="AL613"/>
      <c r="AM613"/>
      <c r="AN613"/>
      <c r="AO613" s="27"/>
      <c r="AP613" s="27"/>
      <c r="AQ613" s="15"/>
      <c r="AR613"/>
      <c r="AS613" s="27"/>
      <c r="AT613"/>
      <c r="AU613"/>
      <c r="AW613" s="7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</row>
    <row r="614" spans="1:65" s="6" customFormat="1" x14ac:dyDescent="0.25">
      <c r="F614" s="21"/>
      <c r="G614" s="10"/>
      <c r="H614" s="7"/>
      <c r="I614" s="13"/>
      <c r="U614" s="16"/>
      <c r="W614" s="16"/>
      <c r="X614" s="16"/>
      <c r="Y614" s="16"/>
      <c r="Z614" s="16"/>
      <c r="AC614" s="16"/>
      <c r="AE614" s="16"/>
      <c r="AF614" s="22"/>
      <c r="AG614" s="18"/>
      <c r="AH614" s="7"/>
      <c r="AI614" s="7"/>
      <c r="AK614" s="16"/>
      <c r="AO614" s="23"/>
      <c r="AP614" s="17"/>
      <c r="AQ614" s="7"/>
      <c r="AR614"/>
      <c r="AS614" s="17"/>
      <c r="AV614"/>
      <c r="AW614" s="7"/>
      <c r="BB614" s="24"/>
      <c r="BC614"/>
      <c r="BG614"/>
    </row>
    <row r="615" spans="1:65" s="6" customFormat="1" x14ac:dyDescent="0.25">
      <c r="A615"/>
      <c r="B615"/>
      <c r="C615"/>
      <c r="D615"/>
      <c r="E615"/>
      <c r="F615"/>
      <c r="G615"/>
      <c r="H615" s="13"/>
      <c r="I615" s="13"/>
      <c r="J615"/>
      <c r="K615"/>
      <c r="L615"/>
      <c r="M615"/>
      <c r="N615"/>
      <c r="O615"/>
      <c r="P615"/>
      <c r="Q615"/>
      <c r="R615"/>
      <c r="S615"/>
      <c r="T615"/>
      <c r="U615" s="27"/>
      <c r="V615" s="14"/>
      <c r="W615" s="27"/>
      <c r="X615" s="27"/>
      <c r="Y615" s="27"/>
      <c r="Z615" s="27"/>
      <c r="AA615"/>
      <c r="AB615"/>
      <c r="AC615" s="27"/>
      <c r="AD615"/>
      <c r="AE615" s="27"/>
      <c r="AF615" s="27"/>
      <c r="AG615" s="28"/>
      <c r="AH615" s="15"/>
      <c r="AI615" s="15"/>
      <c r="AJ615"/>
      <c r="AK615" s="27"/>
      <c r="AL615"/>
      <c r="AM615"/>
      <c r="AN615"/>
      <c r="AO615" s="27"/>
      <c r="AP615" s="27"/>
      <c r="AQ615" s="15"/>
      <c r="AR615"/>
      <c r="AS615" s="27"/>
      <c r="AT615"/>
      <c r="AU615"/>
      <c r="AW615" s="13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</row>
    <row r="616" spans="1:65" s="6" customFormat="1" x14ac:dyDescent="0.25">
      <c r="A616"/>
      <c r="B616"/>
      <c r="C616"/>
      <c r="D616"/>
      <c r="E616"/>
      <c r="F616"/>
      <c r="G616"/>
      <c r="H616" s="13"/>
      <c r="I616" s="7"/>
      <c r="J616"/>
      <c r="K616"/>
      <c r="L616"/>
      <c r="M616"/>
      <c r="N616"/>
      <c r="O616"/>
      <c r="P616"/>
      <c r="Q616"/>
      <c r="R616"/>
      <c r="S616"/>
      <c r="T616"/>
      <c r="U616" s="27"/>
      <c r="V616" s="14"/>
      <c r="W616" s="27"/>
      <c r="X616" s="27"/>
      <c r="Y616" s="27"/>
      <c r="Z616" s="27"/>
      <c r="AA616"/>
      <c r="AB616"/>
      <c r="AC616" s="27"/>
      <c r="AD616"/>
      <c r="AE616" s="27"/>
      <c r="AF616" s="27"/>
      <c r="AG616" s="28"/>
      <c r="AH616" s="7"/>
      <c r="AI616" s="15"/>
      <c r="AJ616"/>
      <c r="AK616" s="27"/>
      <c r="AL616"/>
      <c r="AM616"/>
      <c r="AN616"/>
      <c r="AO616" s="27"/>
      <c r="AP616" s="27"/>
      <c r="AQ616" s="15"/>
      <c r="AR616"/>
      <c r="AS616" s="27"/>
      <c r="AT616"/>
      <c r="AU616"/>
      <c r="AW616" s="13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</row>
    <row r="617" spans="1:65" s="6" customFormat="1" x14ac:dyDescent="0.25">
      <c r="F617" s="21"/>
      <c r="G617" s="10"/>
      <c r="H617" s="7"/>
      <c r="I617" s="13"/>
      <c r="U617" s="16"/>
      <c r="W617" s="16"/>
      <c r="X617" s="16"/>
      <c r="Y617" s="16"/>
      <c r="Z617" s="16"/>
      <c r="AC617" s="16"/>
      <c r="AE617" s="16"/>
      <c r="AF617" s="22"/>
      <c r="AG617" s="18"/>
      <c r="AH617" s="7"/>
      <c r="AI617" s="7"/>
      <c r="AK617" s="16"/>
      <c r="AO617" s="23"/>
      <c r="AP617" s="17"/>
      <c r="AQ617" s="7"/>
      <c r="AR617"/>
      <c r="AS617" s="17"/>
      <c r="AV617"/>
      <c r="AW617" s="7"/>
      <c r="BB617" s="24"/>
      <c r="BC617"/>
      <c r="BG617"/>
    </row>
    <row r="618" spans="1:65" s="6" customFormat="1" x14ac:dyDescent="0.25">
      <c r="F618" s="21"/>
      <c r="G618" s="10"/>
      <c r="H618" s="7"/>
      <c r="I618" s="13"/>
      <c r="U618" s="16"/>
      <c r="W618" s="16"/>
      <c r="X618" s="16"/>
      <c r="Y618" s="16"/>
      <c r="Z618" s="16"/>
      <c r="AC618" s="16"/>
      <c r="AE618" s="16"/>
      <c r="AF618" s="22"/>
      <c r="AG618" s="18"/>
      <c r="AH618" s="7"/>
      <c r="AI618" s="7"/>
      <c r="AK618" s="16"/>
      <c r="AO618" s="23"/>
      <c r="AP618" s="17"/>
      <c r="AQ618" s="7"/>
      <c r="AR618"/>
      <c r="AS618" s="17"/>
      <c r="AW618" s="7"/>
      <c r="BB618" s="24"/>
      <c r="BC618"/>
      <c r="BG618"/>
    </row>
    <row r="619" spans="1:65" s="6" customFormat="1" x14ac:dyDescent="0.25">
      <c r="A619"/>
      <c r="B619"/>
      <c r="C619"/>
      <c r="D619"/>
      <c r="E619"/>
      <c r="F619"/>
      <c r="G619"/>
      <c r="H619" s="13"/>
      <c r="I619" s="13"/>
      <c r="J619"/>
      <c r="K619"/>
      <c r="L619"/>
      <c r="M619"/>
      <c r="N619"/>
      <c r="O619"/>
      <c r="P619"/>
      <c r="Q619"/>
      <c r="R619"/>
      <c r="S619"/>
      <c r="T619"/>
      <c r="U619" s="27"/>
      <c r="V619" s="14"/>
      <c r="W619" s="27"/>
      <c r="X619" s="27"/>
      <c r="Y619" s="27"/>
      <c r="Z619" s="27"/>
      <c r="AA619"/>
      <c r="AB619"/>
      <c r="AC619" s="27"/>
      <c r="AD619"/>
      <c r="AE619" s="27"/>
      <c r="AF619" s="27"/>
      <c r="AG619" s="28"/>
      <c r="AH619" s="15"/>
      <c r="AI619" s="15"/>
      <c r="AJ619"/>
      <c r="AK619" s="27"/>
      <c r="AL619"/>
      <c r="AM619"/>
      <c r="AN619"/>
      <c r="AO619" s="27"/>
      <c r="AP619" s="27"/>
      <c r="AQ619" s="15"/>
      <c r="AR619"/>
      <c r="AS619" s="27"/>
      <c r="AT619"/>
      <c r="AU619"/>
      <c r="AV619"/>
      <c r="AW619" s="13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</row>
    <row r="620" spans="1:65" s="6" customFormat="1" x14ac:dyDescent="0.25">
      <c r="A620"/>
      <c r="B620"/>
      <c r="C620"/>
      <c r="D620"/>
      <c r="E620"/>
      <c r="F620"/>
      <c r="G620"/>
      <c r="H620" s="13"/>
      <c r="I620" s="13"/>
      <c r="J620"/>
      <c r="K620"/>
      <c r="L620"/>
      <c r="M620"/>
      <c r="N620"/>
      <c r="O620"/>
      <c r="P620"/>
      <c r="Q620"/>
      <c r="R620"/>
      <c r="S620"/>
      <c r="T620"/>
      <c r="U620" s="27"/>
      <c r="V620" s="14"/>
      <c r="W620" s="27"/>
      <c r="X620" s="27"/>
      <c r="Y620" s="27"/>
      <c r="Z620" s="27"/>
      <c r="AA620"/>
      <c r="AB620"/>
      <c r="AC620" s="27"/>
      <c r="AD620"/>
      <c r="AE620" s="27"/>
      <c r="AF620" s="27"/>
      <c r="AG620" s="28"/>
      <c r="AH620" s="15"/>
      <c r="AI620" s="15"/>
      <c r="AJ620"/>
      <c r="AK620" s="27"/>
      <c r="AL620"/>
      <c r="AM620"/>
      <c r="AN620"/>
      <c r="AO620" s="27"/>
      <c r="AP620" s="27"/>
      <c r="AQ620" s="15"/>
      <c r="AR620"/>
      <c r="AS620" s="27"/>
      <c r="AT620"/>
      <c r="AU620"/>
      <c r="AV620"/>
      <c r="AW620" s="13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</row>
    <row r="621" spans="1:65" s="6" customFormat="1" x14ac:dyDescent="0.25">
      <c r="F621" s="21"/>
      <c r="G621" s="10"/>
      <c r="H621" s="7"/>
      <c r="I621" s="13"/>
      <c r="U621" s="16"/>
      <c r="W621" s="16"/>
      <c r="X621" s="16"/>
      <c r="Y621" s="16"/>
      <c r="Z621" s="16"/>
      <c r="AC621" s="16"/>
      <c r="AE621" s="16"/>
      <c r="AF621" s="22"/>
      <c r="AG621" s="18"/>
      <c r="AH621" s="7"/>
      <c r="AI621" s="7"/>
      <c r="AK621" s="16"/>
      <c r="AO621" s="23"/>
      <c r="AP621" s="17"/>
      <c r="AQ621" s="7"/>
      <c r="AR621"/>
      <c r="AS621" s="17"/>
      <c r="AW621" s="7"/>
      <c r="BB621" s="24"/>
      <c r="BC621"/>
      <c r="BG621"/>
    </row>
    <row r="622" spans="1:65" s="6" customFormat="1" x14ac:dyDescent="0.25">
      <c r="A622"/>
      <c r="B622"/>
      <c r="C622"/>
      <c r="D622"/>
      <c r="E622"/>
      <c r="F622"/>
      <c r="G622"/>
      <c r="H622" s="13"/>
      <c r="I622" s="7"/>
      <c r="J622"/>
      <c r="K622"/>
      <c r="L622"/>
      <c r="M622"/>
      <c r="N622"/>
      <c r="O622"/>
      <c r="P622"/>
      <c r="Q622"/>
      <c r="R622"/>
      <c r="S622"/>
      <c r="T622"/>
      <c r="U622" s="27"/>
      <c r="V622" s="14"/>
      <c r="W622" s="27"/>
      <c r="X622" s="27"/>
      <c r="Y622" s="27"/>
      <c r="Z622" s="27"/>
      <c r="AA622"/>
      <c r="AB622"/>
      <c r="AC622" s="27"/>
      <c r="AD622"/>
      <c r="AE622" s="27"/>
      <c r="AF622" s="27"/>
      <c r="AG622" s="28"/>
      <c r="AH622" s="7"/>
      <c r="AI622" s="15"/>
      <c r="AJ622"/>
      <c r="AK622" s="27"/>
      <c r="AL622"/>
      <c r="AM622"/>
      <c r="AN622"/>
      <c r="AO622" s="27"/>
      <c r="AP622" s="27"/>
      <c r="AQ622" s="15"/>
      <c r="AR622"/>
      <c r="AS622" s="27"/>
      <c r="AT622"/>
      <c r="AU622"/>
      <c r="AW622" s="7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</row>
    <row r="623" spans="1:65" s="6" customFormat="1" x14ac:dyDescent="0.25">
      <c r="F623" s="21"/>
      <c r="G623" s="10"/>
      <c r="H623" s="7"/>
      <c r="I623" s="13"/>
      <c r="U623" s="16"/>
      <c r="W623" s="16"/>
      <c r="X623" s="16"/>
      <c r="Y623" s="16"/>
      <c r="Z623" s="16"/>
      <c r="AC623" s="16"/>
      <c r="AE623" s="16"/>
      <c r="AF623" s="22"/>
      <c r="AG623" s="18"/>
      <c r="AH623" s="7"/>
      <c r="AI623" s="7"/>
      <c r="AK623" s="16"/>
      <c r="AO623" s="23"/>
      <c r="AP623" s="17"/>
      <c r="AQ623" s="7"/>
      <c r="AR623"/>
      <c r="AS623" s="17"/>
      <c r="AV623"/>
      <c r="AW623" s="7"/>
      <c r="BB623" s="24"/>
      <c r="BC623"/>
      <c r="BG623"/>
    </row>
    <row r="624" spans="1:65" s="6" customFormat="1" x14ac:dyDescent="0.25">
      <c r="A624"/>
      <c r="B624"/>
      <c r="C624"/>
      <c r="D624"/>
      <c r="E624"/>
      <c r="F624"/>
      <c r="G624"/>
      <c r="H624" s="13"/>
      <c r="I624" s="13"/>
      <c r="J624"/>
      <c r="K624"/>
      <c r="L624"/>
      <c r="M624"/>
      <c r="N624"/>
      <c r="O624"/>
      <c r="P624"/>
      <c r="Q624"/>
      <c r="R624"/>
      <c r="S624"/>
      <c r="T624"/>
      <c r="U624" s="27"/>
      <c r="V624" s="14"/>
      <c r="W624" s="27"/>
      <c r="X624" s="27"/>
      <c r="Y624" s="27"/>
      <c r="Z624" s="27"/>
      <c r="AA624"/>
      <c r="AB624"/>
      <c r="AC624" s="27"/>
      <c r="AD624"/>
      <c r="AE624" s="27"/>
      <c r="AF624" s="27"/>
      <c r="AG624" s="28"/>
      <c r="AH624" s="15"/>
      <c r="AI624" s="15"/>
      <c r="AJ624"/>
      <c r="AK624" s="27"/>
      <c r="AL624"/>
      <c r="AM624"/>
      <c r="AN624"/>
      <c r="AO624" s="27"/>
      <c r="AP624" s="27"/>
      <c r="AQ624" s="15"/>
      <c r="AR624"/>
      <c r="AS624" s="27"/>
      <c r="AT624"/>
      <c r="AU624"/>
      <c r="AW624" s="13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</row>
    <row r="625" spans="1:65" s="6" customFormat="1" x14ac:dyDescent="0.25">
      <c r="A625"/>
      <c r="B625"/>
      <c r="C625"/>
      <c r="D625"/>
      <c r="E625"/>
      <c r="F625"/>
      <c r="G625"/>
      <c r="H625" s="13"/>
      <c r="I625" s="7"/>
      <c r="J625"/>
      <c r="K625"/>
      <c r="L625"/>
      <c r="M625"/>
      <c r="N625"/>
      <c r="O625"/>
      <c r="P625"/>
      <c r="Q625"/>
      <c r="R625"/>
      <c r="S625"/>
      <c r="T625"/>
      <c r="U625" s="27"/>
      <c r="V625" s="14"/>
      <c r="W625" s="27"/>
      <c r="X625" s="27"/>
      <c r="Y625" s="27"/>
      <c r="Z625" s="27"/>
      <c r="AA625"/>
      <c r="AB625"/>
      <c r="AC625" s="27"/>
      <c r="AD625"/>
      <c r="AE625" s="27"/>
      <c r="AF625" s="27"/>
      <c r="AG625" s="28"/>
      <c r="AH625" s="7"/>
      <c r="AI625" s="15"/>
      <c r="AJ625"/>
      <c r="AK625" s="27"/>
      <c r="AL625"/>
      <c r="AM625"/>
      <c r="AN625"/>
      <c r="AO625" s="27"/>
      <c r="AP625" s="27"/>
      <c r="AQ625" s="15"/>
      <c r="AR625"/>
      <c r="AS625" s="27"/>
      <c r="AT625"/>
      <c r="AU625"/>
      <c r="AW625" s="13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</row>
    <row r="626" spans="1:65" s="6" customFormat="1" x14ac:dyDescent="0.25">
      <c r="F626" s="21"/>
      <c r="G626" s="10"/>
      <c r="H626" s="7"/>
      <c r="I626" s="13"/>
      <c r="U626" s="16"/>
      <c r="W626" s="16"/>
      <c r="X626" s="16"/>
      <c r="Y626" s="16"/>
      <c r="Z626" s="16"/>
      <c r="AC626" s="16"/>
      <c r="AE626" s="16"/>
      <c r="AF626" s="22"/>
      <c r="AG626" s="18"/>
      <c r="AH626" s="7"/>
      <c r="AI626" s="7"/>
      <c r="AK626" s="16"/>
      <c r="AO626" s="23"/>
      <c r="AP626" s="17"/>
      <c r="AQ626" s="7"/>
      <c r="AR626"/>
      <c r="AS626" s="17"/>
      <c r="AV626"/>
      <c r="AW626" s="7"/>
      <c r="BB626" s="24"/>
      <c r="BC626"/>
      <c r="BG626"/>
    </row>
    <row r="627" spans="1:65" s="6" customFormat="1" x14ac:dyDescent="0.25">
      <c r="F627" s="21"/>
      <c r="G627" s="10"/>
      <c r="H627" s="7"/>
      <c r="I627" s="13"/>
      <c r="U627" s="16"/>
      <c r="W627" s="16"/>
      <c r="X627" s="16"/>
      <c r="Y627" s="16"/>
      <c r="Z627" s="16"/>
      <c r="AC627" s="16"/>
      <c r="AE627" s="16"/>
      <c r="AF627" s="22"/>
      <c r="AG627" s="18"/>
      <c r="AH627" s="7"/>
      <c r="AI627" s="7"/>
      <c r="AK627" s="16"/>
      <c r="AO627" s="23"/>
      <c r="AP627" s="17"/>
      <c r="AQ627" s="7"/>
      <c r="AR627"/>
      <c r="AS627" s="17"/>
      <c r="AW627" s="7"/>
      <c r="BB627" s="24"/>
      <c r="BC627"/>
      <c r="BG627"/>
    </row>
    <row r="628" spans="1:65" s="6" customFormat="1" x14ac:dyDescent="0.25">
      <c r="A628"/>
      <c r="B628"/>
      <c r="C628"/>
      <c r="D628"/>
      <c r="E628"/>
      <c r="F628"/>
      <c r="G628"/>
      <c r="H628" s="13"/>
      <c r="I628" s="13"/>
      <c r="J628"/>
      <c r="K628"/>
      <c r="L628"/>
      <c r="M628"/>
      <c r="N628"/>
      <c r="O628"/>
      <c r="P628"/>
      <c r="Q628"/>
      <c r="R628"/>
      <c r="S628"/>
      <c r="T628"/>
      <c r="U628" s="27"/>
      <c r="V628" s="14"/>
      <c r="W628" s="27"/>
      <c r="X628" s="27"/>
      <c r="Y628" s="27"/>
      <c r="Z628" s="27"/>
      <c r="AA628"/>
      <c r="AB628"/>
      <c r="AC628" s="27"/>
      <c r="AD628"/>
      <c r="AE628" s="27"/>
      <c r="AF628" s="27"/>
      <c r="AG628" s="28"/>
      <c r="AH628" s="15"/>
      <c r="AI628" s="15"/>
      <c r="AJ628"/>
      <c r="AK628" s="27"/>
      <c r="AL628"/>
      <c r="AM628"/>
      <c r="AN628"/>
      <c r="AO628" s="27"/>
      <c r="AP628" s="27"/>
      <c r="AQ628" s="15"/>
      <c r="AR628"/>
      <c r="AS628" s="27"/>
      <c r="AT628"/>
      <c r="AU628"/>
      <c r="AV628"/>
      <c r="AW628" s="13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</row>
    <row r="629" spans="1:65" s="6" customFormat="1" x14ac:dyDescent="0.25">
      <c r="A629"/>
      <c r="B629"/>
      <c r="C629"/>
      <c r="D629"/>
      <c r="E629"/>
      <c r="F629"/>
      <c r="G629"/>
      <c r="H629" s="13"/>
      <c r="I629" s="13"/>
      <c r="J629"/>
      <c r="K629"/>
      <c r="L629"/>
      <c r="M629"/>
      <c r="N629"/>
      <c r="O629"/>
      <c r="P629"/>
      <c r="Q629"/>
      <c r="R629"/>
      <c r="S629"/>
      <c r="T629"/>
      <c r="U629" s="27"/>
      <c r="V629" s="14"/>
      <c r="W629" s="27"/>
      <c r="X629" s="27"/>
      <c r="Y629" s="27"/>
      <c r="Z629" s="27"/>
      <c r="AA629"/>
      <c r="AB629"/>
      <c r="AC629" s="27"/>
      <c r="AD629"/>
      <c r="AE629" s="27"/>
      <c r="AF629" s="27"/>
      <c r="AG629" s="28"/>
      <c r="AH629" s="15"/>
      <c r="AI629" s="15"/>
      <c r="AJ629"/>
      <c r="AK629" s="27"/>
      <c r="AL629"/>
      <c r="AM629"/>
      <c r="AN629"/>
      <c r="AO629" s="27"/>
      <c r="AP629" s="27"/>
      <c r="AQ629" s="15"/>
      <c r="AR629"/>
      <c r="AS629" s="27"/>
      <c r="AT629"/>
      <c r="AU629"/>
      <c r="AV629"/>
      <c r="AW629" s="13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</row>
    <row r="630" spans="1:65" s="6" customFormat="1" x14ac:dyDescent="0.25">
      <c r="F630" s="21"/>
      <c r="G630" s="10"/>
      <c r="H630" s="7"/>
      <c r="I630" s="13"/>
      <c r="U630" s="16"/>
      <c r="W630" s="16"/>
      <c r="X630" s="16"/>
      <c r="Y630" s="16"/>
      <c r="Z630" s="16"/>
      <c r="AC630" s="16"/>
      <c r="AE630" s="16"/>
      <c r="AF630" s="22"/>
      <c r="AG630" s="18"/>
      <c r="AH630" s="7"/>
      <c r="AI630" s="7"/>
      <c r="AK630" s="16"/>
      <c r="AO630" s="23"/>
      <c r="AP630" s="17"/>
      <c r="AQ630" s="7"/>
      <c r="AR630"/>
      <c r="AS630" s="17"/>
      <c r="AW630" s="7"/>
      <c r="BB630" s="24"/>
      <c r="BC630"/>
      <c r="BG630"/>
    </row>
    <row r="631" spans="1:65" s="6" customFormat="1" x14ac:dyDescent="0.25">
      <c r="A631"/>
      <c r="B631"/>
      <c r="C631"/>
      <c r="D631"/>
      <c r="E631"/>
      <c r="F631"/>
      <c r="G631"/>
      <c r="H631" s="13"/>
      <c r="I631" s="7"/>
      <c r="J631"/>
      <c r="K631"/>
      <c r="L631"/>
      <c r="M631"/>
      <c r="N631"/>
      <c r="O631"/>
      <c r="P631"/>
      <c r="Q631"/>
      <c r="R631"/>
      <c r="S631"/>
      <c r="T631"/>
      <c r="U631" s="27"/>
      <c r="V631" s="14"/>
      <c r="W631" s="27"/>
      <c r="X631" s="27"/>
      <c r="Y631" s="27"/>
      <c r="Z631" s="27"/>
      <c r="AA631"/>
      <c r="AB631"/>
      <c r="AC631" s="27"/>
      <c r="AD631"/>
      <c r="AE631" s="27"/>
      <c r="AF631" s="27"/>
      <c r="AG631" s="28"/>
      <c r="AH631" s="7"/>
      <c r="AI631" s="15"/>
      <c r="AJ631"/>
      <c r="AK631" s="27"/>
      <c r="AL631"/>
      <c r="AM631"/>
      <c r="AN631"/>
      <c r="AO631" s="27"/>
      <c r="AP631" s="27"/>
      <c r="AQ631" s="15"/>
      <c r="AR631"/>
      <c r="AS631" s="27"/>
      <c r="AT631"/>
      <c r="AU631"/>
      <c r="AW631" s="7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</row>
    <row r="632" spans="1:65" s="6" customFormat="1" x14ac:dyDescent="0.25">
      <c r="F632" s="21"/>
      <c r="G632" s="10"/>
      <c r="H632" s="7"/>
      <c r="I632" s="13"/>
      <c r="U632" s="16"/>
      <c r="W632" s="16"/>
      <c r="X632" s="16"/>
      <c r="Y632" s="16"/>
      <c r="Z632" s="16"/>
      <c r="AC632" s="16"/>
      <c r="AE632" s="16"/>
      <c r="AF632" s="22"/>
      <c r="AG632" s="18"/>
      <c r="AH632" s="7"/>
      <c r="AI632" s="7"/>
      <c r="AK632" s="16"/>
      <c r="AO632" s="23"/>
      <c r="AP632" s="17"/>
      <c r="AQ632" s="7"/>
      <c r="AR632"/>
      <c r="AS632" s="17"/>
      <c r="AV632"/>
      <c r="AW632" s="7"/>
      <c r="BB632" s="24"/>
      <c r="BC632"/>
      <c r="BG632"/>
    </row>
    <row r="633" spans="1:65" s="6" customFormat="1" x14ac:dyDescent="0.25">
      <c r="A633"/>
      <c r="B633"/>
      <c r="C633"/>
      <c r="D633"/>
      <c r="E633"/>
      <c r="F633"/>
      <c r="G633"/>
      <c r="H633" s="13"/>
      <c r="I633" s="13"/>
      <c r="J633"/>
      <c r="K633"/>
      <c r="L633"/>
      <c r="M633"/>
      <c r="N633"/>
      <c r="O633"/>
      <c r="P633"/>
      <c r="Q633"/>
      <c r="R633"/>
      <c r="S633"/>
      <c r="T633"/>
      <c r="U633" s="27"/>
      <c r="V633" s="14"/>
      <c r="W633" s="27"/>
      <c r="X633" s="27"/>
      <c r="Y633" s="27"/>
      <c r="Z633" s="27"/>
      <c r="AA633"/>
      <c r="AB633"/>
      <c r="AC633" s="27"/>
      <c r="AD633"/>
      <c r="AE633" s="27"/>
      <c r="AF633" s="27"/>
      <c r="AG633" s="28"/>
      <c r="AH633" s="15"/>
      <c r="AI633" s="15"/>
      <c r="AJ633"/>
      <c r="AK633" s="27"/>
      <c r="AL633"/>
      <c r="AM633"/>
      <c r="AN633"/>
      <c r="AO633" s="27"/>
      <c r="AP633" s="27"/>
      <c r="AQ633" s="15"/>
      <c r="AR633"/>
      <c r="AS633" s="27"/>
      <c r="AT633"/>
      <c r="AU633"/>
      <c r="AW633" s="1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</row>
    <row r="634" spans="1:65" s="6" customFormat="1" x14ac:dyDescent="0.25">
      <c r="A634"/>
      <c r="B634"/>
      <c r="C634"/>
      <c r="D634"/>
      <c r="E634"/>
      <c r="F634"/>
      <c r="G634"/>
      <c r="H634" s="13"/>
      <c r="I634" s="7"/>
      <c r="J634"/>
      <c r="K634"/>
      <c r="L634"/>
      <c r="M634"/>
      <c r="N634"/>
      <c r="O634"/>
      <c r="P634"/>
      <c r="Q634"/>
      <c r="R634"/>
      <c r="S634"/>
      <c r="T634"/>
      <c r="U634" s="27"/>
      <c r="V634" s="14"/>
      <c r="W634" s="27"/>
      <c r="X634" s="27"/>
      <c r="Y634" s="27"/>
      <c r="Z634" s="27"/>
      <c r="AA634"/>
      <c r="AB634"/>
      <c r="AC634" s="27"/>
      <c r="AD634"/>
      <c r="AE634" s="27"/>
      <c r="AF634" s="27"/>
      <c r="AG634" s="28"/>
      <c r="AH634" s="7"/>
      <c r="AI634" s="15"/>
      <c r="AJ634"/>
      <c r="AK634" s="27"/>
      <c r="AL634"/>
      <c r="AM634"/>
      <c r="AN634"/>
      <c r="AO634" s="27"/>
      <c r="AP634" s="27"/>
      <c r="AQ634" s="15"/>
      <c r="AR634"/>
      <c r="AS634" s="27"/>
      <c r="AT634"/>
      <c r="AU634"/>
      <c r="AW634" s="13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</row>
    <row r="635" spans="1:65" s="6" customFormat="1" x14ac:dyDescent="0.25">
      <c r="F635" s="21"/>
      <c r="G635" s="10"/>
      <c r="H635" s="7"/>
      <c r="I635" s="13"/>
      <c r="U635" s="16"/>
      <c r="W635" s="16"/>
      <c r="X635" s="16"/>
      <c r="Y635" s="16"/>
      <c r="Z635" s="16"/>
      <c r="AC635" s="16"/>
      <c r="AE635" s="16"/>
      <c r="AF635" s="22"/>
      <c r="AG635" s="18"/>
      <c r="AH635" s="7"/>
      <c r="AI635" s="7"/>
      <c r="AK635" s="16"/>
      <c r="AO635" s="23"/>
      <c r="AP635" s="17"/>
      <c r="AQ635" s="7"/>
      <c r="AR635"/>
      <c r="AS635" s="17"/>
      <c r="AV635"/>
      <c r="AW635" s="7"/>
      <c r="BB635" s="24"/>
      <c r="BC635"/>
      <c r="BG635"/>
    </row>
    <row r="636" spans="1:65" s="6" customFormat="1" x14ac:dyDescent="0.25">
      <c r="F636" s="21"/>
      <c r="G636" s="10"/>
      <c r="H636" s="7"/>
      <c r="I636" s="13"/>
      <c r="U636" s="16"/>
      <c r="W636" s="16"/>
      <c r="X636" s="16"/>
      <c r="Y636" s="16"/>
      <c r="Z636" s="16"/>
      <c r="AC636" s="16"/>
      <c r="AE636" s="16"/>
      <c r="AF636" s="22"/>
      <c r="AG636" s="18"/>
      <c r="AH636" s="7"/>
      <c r="AI636" s="7"/>
      <c r="AK636" s="16"/>
      <c r="AO636" s="23"/>
      <c r="AP636" s="17"/>
      <c r="AQ636" s="7"/>
      <c r="AR636"/>
      <c r="AS636" s="17"/>
      <c r="AW636" s="7"/>
      <c r="BB636" s="24"/>
      <c r="BC636"/>
      <c r="BG636"/>
    </row>
    <row r="637" spans="1:65" s="6" customFormat="1" x14ac:dyDescent="0.25">
      <c r="A637"/>
      <c r="B637"/>
      <c r="C637"/>
      <c r="D637"/>
      <c r="E637"/>
      <c r="F637"/>
      <c r="G637"/>
      <c r="H637" s="13"/>
      <c r="I637" s="13"/>
      <c r="J637"/>
      <c r="K637"/>
      <c r="L637"/>
      <c r="M637"/>
      <c r="N637"/>
      <c r="O637"/>
      <c r="P637"/>
      <c r="Q637"/>
      <c r="R637"/>
      <c r="S637"/>
      <c r="T637"/>
      <c r="U637" s="27"/>
      <c r="V637" s="14"/>
      <c r="W637" s="27"/>
      <c r="X637" s="27"/>
      <c r="Y637" s="27"/>
      <c r="Z637" s="27"/>
      <c r="AA637"/>
      <c r="AB637"/>
      <c r="AC637" s="27"/>
      <c r="AD637"/>
      <c r="AE637" s="27"/>
      <c r="AF637" s="27"/>
      <c r="AG637" s="28"/>
      <c r="AH637" s="15"/>
      <c r="AI637" s="15"/>
      <c r="AJ637"/>
      <c r="AK637" s="27"/>
      <c r="AL637"/>
      <c r="AM637"/>
      <c r="AN637"/>
      <c r="AO637" s="27"/>
      <c r="AP637" s="27"/>
      <c r="AQ637" s="15"/>
      <c r="AR637"/>
      <c r="AS637" s="27"/>
      <c r="AT637"/>
      <c r="AU637"/>
      <c r="AV637"/>
      <c r="AW637" s="13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</row>
    <row r="638" spans="1:65" s="6" customFormat="1" x14ac:dyDescent="0.25">
      <c r="A638"/>
      <c r="B638"/>
      <c r="C638"/>
      <c r="D638"/>
      <c r="E638"/>
      <c r="F638"/>
      <c r="G638"/>
      <c r="H638" s="13"/>
      <c r="I638" s="13"/>
      <c r="J638"/>
      <c r="K638"/>
      <c r="L638"/>
      <c r="M638"/>
      <c r="N638"/>
      <c r="O638"/>
      <c r="P638"/>
      <c r="Q638"/>
      <c r="R638"/>
      <c r="S638"/>
      <c r="T638"/>
      <c r="U638" s="27"/>
      <c r="V638" s="14"/>
      <c r="W638" s="27"/>
      <c r="X638" s="27"/>
      <c r="Y638" s="27"/>
      <c r="Z638" s="27"/>
      <c r="AA638"/>
      <c r="AB638"/>
      <c r="AC638" s="27"/>
      <c r="AD638"/>
      <c r="AE638" s="27"/>
      <c r="AF638" s="27"/>
      <c r="AG638" s="28"/>
      <c r="AH638" s="15"/>
      <c r="AI638" s="15"/>
      <c r="AJ638"/>
      <c r="AK638" s="27"/>
      <c r="AL638"/>
      <c r="AM638"/>
      <c r="AN638"/>
      <c r="AO638" s="27"/>
      <c r="AP638" s="27"/>
      <c r="AQ638" s="15"/>
      <c r="AR638"/>
      <c r="AS638" s="27"/>
      <c r="AT638"/>
      <c r="AU638"/>
      <c r="AV638"/>
      <c r="AW638" s="13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</row>
    <row r="639" spans="1:65" s="6" customFormat="1" x14ac:dyDescent="0.25">
      <c r="F639" s="21"/>
      <c r="G639" s="10"/>
      <c r="H639" s="7"/>
      <c r="I639" s="13"/>
      <c r="U639" s="16"/>
      <c r="W639" s="16"/>
      <c r="X639" s="16"/>
      <c r="Y639" s="16"/>
      <c r="Z639" s="16"/>
      <c r="AC639" s="16"/>
      <c r="AE639" s="16"/>
      <c r="AF639" s="22"/>
      <c r="AG639" s="18"/>
      <c r="AH639" s="7"/>
      <c r="AI639" s="7"/>
      <c r="AK639" s="16"/>
      <c r="AO639" s="23"/>
      <c r="AP639" s="17"/>
      <c r="AQ639" s="7"/>
      <c r="AR639"/>
      <c r="AS639" s="17"/>
      <c r="AW639" s="7"/>
      <c r="BB639" s="24"/>
      <c r="BC639"/>
      <c r="BG639"/>
    </row>
    <row r="640" spans="1:65" s="6" customFormat="1" x14ac:dyDescent="0.25">
      <c r="A640"/>
      <c r="B640"/>
      <c r="C640"/>
      <c r="D640"/>
      <c r="E640"/>
      <c r="F640"/>
      <c r="G640"/>
      <c r="H640" s="13"/>
      <c r="I640" s="7"/>
      <c r="J640"/>
      <c r="K640"/>
      <c r="L640"/>
      <c r="M640"/>
      <c r="N640"/>
      <c r="O640"/>
      <c r="P640"/>
      <c r="Q640"/>
      <c r="R640"/>
      <c r="S640"/>
      <c r="T640"/>
      <c r="U640" s="27"/>
      <c r="V640" s="14"/>
      <c r="W640" s="27"/>
      <c r="X640" s="27"/>
      <c r="Y640" s="27"/>
      <c r="Z640" s="27"/>
      <c r="AA640"/>
      <c r="AB640"/>
      <c r="AC640" s="27"/>
      <c r="AD640"/>
      <c r="AE640" s="27"/>
      <c r="AF640" s="27"/>
      <c r="AG640" s="28"/>
      <c r="AH640" s="7"/>
      <c r="AI640" s="15"/>
      <c r="AJ640"/>
      <c r="AK640" s="27"/>
      <c r="AL640"/>
      <c r="AM640"/>
      <c r="AN640"/>
      <c r="AO640" s="27"/>
      <c r="AP640" s="27"/>
      <c r="AQ640" s="15"/>
      <c r="AR640"/>
      <c r="AS640" s="27"/>
      <c r="AT640"/>
      <c r="AU640"/>
      <c r="AW640" s="13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</row>
    <row r="641" spans="1:65" s="6" customFormat="1" x14ac:dyDescent="0.25">
      <c r="F641" s="21"/>
      <c r="G641" s="10"/>
      <c r="H641" s="7"/>
      <c r="I641" s="13"/>
      <c r="U641" s="16"/>
      <c r="W641" s="16"/>
      <c r="X641" s="16"/>
      <c r="Y641" s="16"/>
      <c r="Z641" s="16"/>
      <c r="AC641" s="16"/>
      <c r="AE641" s="16"/>
      <c r="AF641" s="22"/>
      <c r="AG641" s="18"/>
      <c r="AH641" s="7"/>
      <c r="AI641" s="7"/>
      <c r="AK641" s="16"/>
      <c r="AO641" s="23"/>
      <c r="AP641" s="17"/>
      <c r="AQ641" s="7"/>
      <c r="AR641"/>
      <c r="AS641" s="17"/>
      <c r="AV641"/>
      <c r="AW641" s="7"/>
      <c r="BB641" s="24"/>
      <c r="BC641"/>
      <c r="BG641"/>
    </row>
    <row r="642" spans="1:65" s="6" customFormat="1" x14ac:dyDescent="0.25">
      <c r="A642"/>
      <c r="B642"/>
      <c r="C642"/>
      <c r="D642"/>
      <c r="E642"/>
      <c r="F642"/>
      <c r="G642"/>
      <c r="H642" s="13"/>
      <c r="I642" s="13"/>
      <c r="J642"/>
      <c r="K642"/>
      <c r="L642"/>
      <c r="M642"/>
      <c r="N642"/>
      <c r="O642"/>
      <c r="P642"/>
      <c r="Q642"/>
      <c r="R642"/>
      <c r="S642"/>
      <c r="T642"/>
      <c r="U642" s="27"/>
      <c r="V642" s="14"/>
      <c r="W642" s="27"/>
      <c r="X642" s="27"/>
      <c r="Y642" s="27"/>
      <c r="Z642" s="27"/>
      <c r="AA642"/>
      <c r="AB642"/>
      <c r="AC642" s="27"/>
      <c r="AD642"/>
      <c r="AE642" s="27"/>
      <c r="AF642" s="27"/>
      <c r="AG642" s="28"/>
      <c r="AH642" s="15"/>
      <c r="AI642" s="15"/>
      <c r="AJ642"/>
      <c r="AK642" s="27"/>
      <c r="AL642"/>
      <c r="AM642"/>
      <c r="AN642"/>
      <c r="AO642" s="27"/>
      <c r="AP642" s="27"/>
      <c r="AQ642" s="15"/>
      <c r="AR642"/>
      <c r="AS642" s="27"/>
      <c r="AT642"/>
      <c r="AU642"/>
      <c r="AW642" s="13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</row>
    <row r="643" spans="1:65" s="6" customFormat="1" x14ac:dyDescent="0.25">
      <c r="A643"/>
      <c r="B643"/>
      <c r="C643"/>
      <c r="D643"/>
      <c r="E643"/>
      <c r="F643"/>
      <c r="G643"/>
      <c r="H643" s="13"/>
      <c r="I643" s="7"/>
      <c r="J643"/>
      <c r="K643"/>
      <c r="L643"/>
      <c r="M643"/>
      <c r="N643"/>
      <c r="O643"/>
      <c r="P643"/>
      <c r="Q643"/>
      <c r="R643"/>
      <c r="S643"/>
      <c r="T643"/>
      <c r="U643" s="27"/>
      <c r="V643" s="14"/>
      <c r="W643" s="27"/>
      <c r="X643" s="27"/>
      <c r="Y643" s="27"/>
      <c r="Z643" s="27"/>
      <c r="AA643"/>
      <c r="AB643"/>
      <c r="AC643" s="27"/>
      <c r="AD643"/>
      <c r="AE643" s="27"/>
      <c r="AF643" s="27"/>
      <c r="AG643" s="28"/>
      <c r="AH643" s="7"/>
      <c r="AI643" s="15"/>
      <c r="AJ643"/>
      <c r="AK643" s="27"/>
      <c r="AL643"/>
      <c r="AM643"/>
      <c r="AN643"/>
      <c r="AO643" s="27"/>
      <c r="AP643" s="27"/>
      <c r="AQ643" s="15"/>
      <c r="AR643"/>
      <c r="AS643" s="27"/>
      <c r="AT643"/>
      <c r="AU643"/>
      <c r="AW643" s="1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</row>
    <row r="644" spans="1:65" s="6" customFormat="1" x14ac:dyDescent="0.25">
      <c r="F644" s="21"/>
      <c r="G644" s="10"/>
      <c r="H644" s="7"/>
      <c r="I644" s="13"/>
      <c r="U644" s="16"/>
      <c r="W644" s="16"/>
      <c r="X644" s="16"/>
      <c r="Y644" s="16"/>
      <c r="Z644" s="16"/>
      <c r="AC644" s="16"/>
      <c r="AE644" s="16"/>
      <c r="AF644" s="22"/>
      <c r="AG644" s="18"/>
      <c r="AH644" s="7"/>
      <c r="AI644" s="7"/>
      <c r="AK644" s="16"/>
      <c r="AO644" s="23"/>
      <c r="AP644" s="17"/>
      <c r="AQ644" s="7"/>
      <c r="AR644"/>
      <c r="AS644" s="17"/>
      <c r="AV644"/>
      <c r="AW644" s="7"/>
      <c r="BB644" s="24"/>
      <c r="BC644"/>
      <c r="BG644"/>
    </row>
    <row r="645" spans="1:65" s="6" customFormat="1" x14ac:dyDescent="0.25">
      <c r="H645" s="7"/>
      <c r="I645" s="13"/>
      <c r="U645" s="16"/>
      <c r="W645" s="16"/>
      <c r="X645" s="16"/>
      <c r="Y645" s="16"/>
      <c r="Z645" s="16"/>
      <c r="AC645" s="16"/>
      <c r="AE645" s="16"/>
      <c r="AF645" s="16"/>
      <c r="AG645" s="18"/>
      <c r="AH645" s="7"/>
      <c r="AI645" s="7"/>
      <c r="AK645" s="16"/>
      <c r="AO645" s="16"/>
      <c r="AP645" s="16"/>
      <c r="AQ645" s="7"/>
      <c r="AR645"/>
      <c r="AS645" s="16"/>
      <c r="AW645" s="7"/>
      <c r="BC645"/>
      <c r="BG645"/>
    </row>
    <row r="646" spans="1:65" s="6" customFormat="1" x14ac:dyDescent="0.25">
      <c r="A646"/>
      <c r="B646"/>
      <c r="C646"/>
      <c r="D646"/>
      <c r="E646"/>
      <c r="F646"/>
      <c r="G646"/>
      <c r="H646" s="13"/>
      <c r="I646" s="13"/>
      <c r="J646"/>
      <c r="K646"/>
      <c r="L646"/>
      <c r="M646"/>
      <c r="N646"/>
      <c r="O646"/>
      <c r="P646"/>
      <c r="Q646"/>
      <c r="R646"/>
      <c r="S646"/>
      <c r="T646"/>
      <c r="U646" s="27"/>
      <c r="V646" s="14"/>
      <c r="W646" s="27"/>
      <c r="X646" s="27"/>
      <c r="Y646" s="27"/>
      <c r="Z646" s="27"/>
      <c r="AA646"/>
      <c r="AB646"/>
      <c r="AC646" s="27"/>
      <c r="AD646"/>
      <c r="AE646" s="27"/>
      <c r="AF646" s="27"/>
      <c r="AG646" s="28"/>
      <c r="AH646" s="15"/>
      <c r="AI646" s="15"/>
      <c r="AJ646"/>
      <c r="AK646" s="27"/>
      <c r="AL646"/>
      <c r="AM646"/>
      <c r="AN646"/>
      <c r="AO646" s="27"/>
      <c r="AP646" s="27"/>
      <c r="AQ646" s="15"/>
      <c r="AR646"/>
      <c r="AS646" s="27"/>
      <c r="AT646"/>
      <c r="AU646"/>
      <c r="AV646"/>
      <c r="AW646" s="13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</row>
    <row r="647" spans="1:65" s="6" customFormat="1" x14ac:dyDescent="0.25">
      <c r="A647"/>
      <c r="B647"/>
      <c r="C647"/>
      <c r="D647"/>
      <c r="E647"/>
      <c r="F647"/>
      <c r="G647"/>
      <c r="H647" s="13"/>
      <c r="I647" s="13"/>
      <c r="J647"/>
      <c r="K647"/>
      <c r="L647"/>
      <c r="M647"/>
      <c r="N647"/>
      <c r="O647"/>
      <c r="P647"/>
      <c r="Q647"/>
      <c r="R647"/>
      <c r="S647"/>
      <c r="T647"/>
      <c r="U647" s="27"/>
      <c r="V647" s="14"/>
      <c r="W647" s="27"/>
      <c r="X647" s="27"/>
      <c r="Y647" s="27"/>
      <c r="Z647" s="27"/>
      <c r="AA647"/>
      <c r="AB647"/>
      <c r="AC647" s="27"/>
      <c r="AD647"/>
      <c r="AE647" s="27"/>
      <c r="AF647" s="27"/>
      <c r="AG647" s="28"/>
      <c r="AH647" s="15"/>
      <c r="AI647" s="15"/>
      <c r="AJ647"/>
      <c r="AK647" s="27"/>
      <c r="AL647"/>
      <c r="AM647"/>
      <c r="AN647"/>
      <c r="AO647" s="27"/>
      <c r="AP647" s="27"/>
      <c r="AQ647" s="15"/>
      <c r="AR647"/>
      <c r="AS647" s="27"/>
      <c r="AT647"/>
      <c r="AU647"/>
      <c r="AV647"/>
      <c r="AW647" s="13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</row>
    <row r="648" spans="1:65" s="6" customFormat="1" x14ac:dyDescent="0.25">
      <c r="F648" s="21"/>
      <c r="G648" s="10"/>
      <c r="H648" s="7"/>
      <c r="I648" s="13"/>
      <c r="U648" s="16"/>
      <c r="W648" s="16"/>
      <c r="X648" s="16"/>
      <c r="Y648" s="16"/>
      <c r="Z648" s="16"/>
      <c r="AC648" s="16"/>
      <c r="AE648" s="16"/>
      <c r="AF648" s="22"/>
      <c r="AG648" s="18"/>
      <c r="AH648" s="7"/>
      <c r="AI648" s="7"/>
      <c r="AK648" s="16"/>
      <c r="AO648" s="23"/>
      <c r="AP648" s="17"/>
      <c r="AQ648" s="7"/>
      <c r="AR648"/>
      <c r="AS648" s="17"/>
      <c r="AW648" s="7"/>
      <c r="BB648" s="24"/>
      <c r="BC648"/>
      <c r="BG648"/>
    </row>
    <row r="649" spans="1:65" s="6" customFormat="1" x14ac:dyDescent="0.25">
      <c r="A649"/>
      <c r="B649"/>
      <c r="C649"/>
      <c r="D649"/>
      <c r="E649"/>
      <c r="F649"/>
      <c r="G649"/>
      <c r="H649" s="13"/>
      <c r="I649" s="7"/>
      <c r="J649"/>
      <c r="K649"/>
      <c r="L649"/>
      <c r="M649"/>
      <c r="N649"/>
      <c r="O649"/>
      <c r="P649"/>
      <c r="Q649"/>
      <c r="R649"/>
      <c r="S649"/>
      <c r="T649"/>
      <c r="U649" s="27"/>
      <c r="V649" s="14"/>
      <c r="W649" s="27"/>
      <c r="X649" s="27"/>
      <c r="Y649" s="27"/>
      <c r="Z649" s="27"/>
      <c r="AA649"/>
      <c r="AB649"/>
      <c r="AC649" s="27"/>
      <c r="AD649"/>
      <c r="AE649" s="27"/>
      <c r="AF649" s="27"/>
      <c r="AG649" s="28"/>
      <c r="AH649" s="7"/>
      <c r="AI649" s="15"/>
      <c r="AJ649"/>
      <c r="AK649" s="27"/>
      <c r="AL649"/>
      <c r="AM649"/>
      <c r="AN649"/>
      <c r="AO649" s="27"/>
      <c r="AP649" s="27"/>
      <c r="AQ649" s="15"/>
      <c r="AR649"/>
      <c r="AS649" s="27"/>
      <c r="AT649"/>
      <c r="AU649"/>
      <c r="AW649" s="7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</row>
    <row r="650" spans="1:65" s="6" customFormat="1" x14ac:dyDescent="0.25">
      <c r="F650" s="21"/>
      <c r="G650" s="10"/>
      <c r="H650" s="7"/>
      <c r="I650" s="13"/>
      <c r="U650" s="16"/>
      <c r="W650" s="16"/>
      <c r="X650" s="16"/>
      <c r="Y650" s="16"/>
      <c r="Z650" s="16"/>
      <c r="AC650" s="16"/>
      <c r="AE650" s="16"/>
      <c r="AF650" s="22"/>
      <c r="AG650" s="18"/>
      <c r="AH650" s="7"/>
      <c r="AI650" s="7"/>
      <c r="AK650" s="16"/>
      <c r="AO650" s="23"/>
      <c r="AP650" s="17"/>
      <c r="AQ650" s="7"/>
      <c r="AR650"/>
      <c r="AS650" s="17"/>
      <c r="AV650"/>
      <c r="AW650" s="7"/>
      <c r="BB650" s="24"/>
      <c r="BC650"/>
      <c r="BG650"/>
    </row>
    <row r="651" spans="1:65" s="6" customFormat="1" x14ac:dyDescent="0.25">
      <c r="A651"/>
      <c r="B651"/>
      <c r="C651"/>
      <c r="D651"/>
      <c r="E651"/>
      <c r="F651"/>
      <c r="G651"/>
      <c r="H651" s="13"/>
      <c r="I651" s="13"/>
      <c r="J651"/>
      <c r="K651"/>
      <c r="L651"/>
      <c r="M651"/>
      <c r="N651"/>
      <c r="O651"/>
      <c r="P651"/>
      <c r="Q651"/>
      <c r="R651"/>
      <c r="S651"/>
      <c r="T651"/>
      <c r="U651" s="27"/>
      <c r="V651" s="14"/>
      <c r="W651" s="27"/>
      <c r="X651" s="27"/>
      <c r="Y651" s="27"/>
      <c r="Z651" s="27"/>
      <c r="AA651"/>
      <c r="AB651"/>
      <c r="AC651" s="27"/>
      <c r="AD651"/>
      <c r="AE651" s="27"/>
      <c r="AF651" s="27"/>
      <c r="AG651" s="28"/>
      <c r="AH651" s="15"/>
      <c r="AI651" s="15"/>
      <c r="AJ651"/>
      <c r="AK651" s="27"/>
      <c r="AL651"/>
      <c r="AM651"/>
      <c r="AN651"/>
      <c r="AO651" s="27"/>
      <c r="AP651" s="27"/>
      <c r="AQ651" s="15"/>
      <c r="AR651"/>
      <c r="AS651" s="27"/>
      <c r="AT651"/>
      <c r="AU651"/>
      <c r="AW651" s="13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</row>
    <row r="652" spans="1:65" s="6" customFormat="1" x14ac:dyDescent="0.25">
      <c r="A652"/>
      <c r="B652"/>
      <c r="C652"/>
      <c r="D652"/>
      <c r="E652"/>
      <c r="F652"/>
      <c r="G652"/>
      <c r="H652" s="13"/>
      <c r="I652" s="7"/>
      <c r="J652"/>
      <c r="K652"/>
      <c r="L652"/>
      <c r="M652"/>
      <c r="N652"/>
      <c r="O652"/>
      <c r="P652"/>
      <c r="Q652"/>
      <c r="R652"/>
      <c r="S652"/>
      <c r="T652"/>
      <c r="U652" s="27"/>
      <c r="V652" s="14"/>
      <c r="W652" s="27"/>
      <c r="X652" s="27"/>
      <c r="Y652" s="27"/>
      <c r="Z652" s="27"/>
      <c r="AA652"/>
      <c r="AB652"/>
      <c r="AC652" s="27"/>
      <c r="AD652"/>
      <c r="AE652" s="27"/>
      <c r="AF652" s="27"/>
      <c r="AG652" s="28"/>
      <c r="AH652" s="7"/>
      <c r="AI652" s="15"/>
      <c r="AJ652"/>
      <c r="AK652" s="27"/>
      <c r="AL652"/>
      <c r="AM652"/>
      <c r="AN652"/>
      <c r="AO652" s="27"/>
      <c r="AP652" s="27"/>
      <c r="AQ652" s="15"/>
      <c r="AR652"/>
      <c r="AS652" s="27"/>
      <c r="AT652"/>
      <c r="AU652"/>
      <c r="AW652" s="13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</row>
    <row r="653" spans="1:65" s="6" customFormat="1" x14ac:dyDescent="0.25">
      <c r="F653" s="21"/>
      <c r="G653" s="10"/>
      <c r="H653" s="7"/>
      <c r="I653" s="13"/>
      <c r="U653" s="16"/>
      <c r="W653" s="16"/>
      <c r="X653" s="16"/>
      <c r="Y653" s="16"/>
      <c r="Z653" s="16"/>
      <c r="AC653" s="16"/>
      <c r="AE653" s="16"/>
      <c r="AF653" s="22"/>
      <c r="AG653" s="18"/>
      <c r="AH653" s="7"/>
      <c r="AI653" s="7"/>
      <c r="AK653" s="16"/>
      <c r="AO653" s="23"/>
      <c r="AP653" s="17"/>
      <c r="AQ653" s="7"/>
      <c r="AR653"/>
      <c r="AS653" s="17"/>
      <c r="AV653"/>
      <c r="AW653" s="7"/>
      <c r="BB653" s="24"/>
      <c r="BC653"/>
      <c r="BG653"/>
    </row>
    <row r="654" spans="1:65" s="6" customFormat="1" x14ac:dyDescent="0.25">
      <c r="F654" s="21"/>
      <c r="G654" s="10"/>
      <c r="H654" s="7"/>
      <c r="I654" s="13"/>
      <c r="U654" s="16"/>
      <c r="W654" s="16"/>
      <c r="X654" s="16"/>
      <c r="Y654" s="16"/>
      <c r="Z654" s="16"/>
      <c r="AC654" s="16"/>
      <c r="AE654" s="16"/>
      <c r="AF654" s="22"/>
      <c r="AG654" s="18"/>
      <c r="AH654" s="7"/>
      <c r="AI654" s="7"/>
      <c r="AK654" s="16"/>
      <c r="AO654" s="23"/>
      <c r="AP654" s="17"/>
      <c r="AQ654" s="7"/>
      <c r="AR654"/>
      <c r="AS654" s="17"/>
      <c r="AW654" s="7"/>
      <c r="BB654" s="24"/>
      <c r="BC654"/>
      <c r="BG654"/>
    </row>
    <row r="655" spans="1:65" s="6" customFormat="1" x14ac:dyDescent="0.25">
      <c r="A655"/>
      <c r="B655"/>
      <c r="C655"/>
      <c r="D655"/>
      <c r="E655"/>
      <c r="F655"/>
      <c r="G655"/>
      <c r="H655" s="13"/>
      <c r="I655" s="13"/>
      <c r="J655"/>
      <c r="K655"/>
      <c r="L655"/>
      <c r="M655"/>
      <c r="N655"/>
      <c r="O655"/>
      <c r="P655"/>
      <c r="Q655"/>
      <c r="R655"/>
      <c r="S655"/>
      <c r="T655"/>
      <c r="U655" s="27"/>
      <c r="V655" s="14"/>
      <c r="W655" s="27"/>
      <c r="X655" s="27"/>
      <c r="Y655" s="27"/>
      <c r="Z655" s="27"/>
      <c r="AA655"/>
      <c r="AB655"/>
      <c r="AC655" s="27"/>
      <c r="AD655"/>
      <c r="AE655" s="27"/>
      <c r="AF655" s="27"/>
      <c r="AG655" s="28"/>
      <c r="AH655" s="15"/>
      <c r="AI655" s="15"/>
      <c r="AJ655"/>
      <c r="AK655" s="27"/>
      <c r="AL655"/>
      <c r="AM655"/>
      <c r="AN655"/>
      <c r="AO655" s="27"/>
      <c r="AP655" s="27"/>
      <c r="AQ655" s="15"/>
      <c r="AR655"/>
      <c r="AS655" s="27"/>
      <c r="AT655"/>
      <c r="AU655"/>
      <c r="AV655"/>
      <c r="AW655" s="13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</row>
    <row r="656" spans="1:65" s="6" customFormat="1" x14ac:dyDescent="0.25">
      <c r="A656"/>
      <c r="B656"/>
      <c r="C656"/>
      <c r="D656"/>
      <c r="E656"/>
      <c r="F656"/>
      <c r="G656"/>
      <c r="H656" s="13"/>
      <c r="I656" s="13"/>
      <c r="J656"/>
      <c r="K656"/>
      <c r="L656"/>
      <c r="M656"/>
      <c r="N656"/>
      <c r="O656"/>
      <c r="P656"/>
      <c r="Q656"/>
      <c r="R656"/>
      <c r="S656"/>
      <c r="T656"/>
      <c r="U656" s="27"/>
      <c r="V656" s="14"/>
      <c r="W656" s="27"/>
      <c r="X656" s="27"/>
      <c r="Y656" s="27"/>
      <c r="Z656" s="27"/>
      <c r="AA656"/>
      <c r="AB656"/>
      <c r="AC656" s="27"/>
      <c r="AD656"/>
      <c r="AE656" s="27"/>
      <c r="AF656" s="27"/>
      <c r="AG656" s="28"/>
      <c r="AH656" s="15"/>
      <c r="AI656" s="15"/>
      <c r="AJ656"/>
      <c r="AK656" s="27"/>
      <c r="AL656"/>
      <c r="AM656"/>
      <c r="AN656"/>
      <c r="AO656" s="27"/>
      <c r="AP656" s="27"/>
      <c r="AQ656" s="15"/>
      <c r="AR656"/>
      <c r="AS656" s="27"/>
      <c r="AT656"/>
      <c r="AU656"/>
      <c r="AV656"/>
      <c r="AW656" s="13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</row>
    <row r="657" spans="1:65" s="6" customFormat="1" x14ac:dyDescent="0.25">
      <c r="F657" s="21"/>
      <c r="G657" s="10"/>
      <c r="H657" s="7"/>
      <c r="I657" s="13"/>
      <c r="U657" s="16"/>
      <c r="W657" s="16"/>
      <c r="X657" s="16"/>
      <c r="Y657" s="16"/>
      <c r="Z657" s="16"/>
      <c r="AC657" s="16"/>
      <c r="AE657" s="16"/>
      <c r="AF657" s="22"/>
      <c r="AG657" s="18"/>
      <c r="AH657" s="7"/>
      <c r="AI657" s="7"/>
      <c r="AK657" s="16"/>
      <c r="AO657" s="23"/>
      <c r="AP657" s="17"/>
      <c r="AQ657" s="7"/>
      <c r="AR657"/>
      <c r="AS657" s="17"/>
      <c r="AW657" s="7"/>
      <c r="BB657" s="24"/>
      <c r="BC657"/>
      <c r="BG657"/>
    </row>
    <row r="658" spans="1:65" s="6" customFormat="1" x14ac:dyDescent="0.25">
      <c r="A658"/>
      <c r="B658"/>
      <c r="C658"/>
      <c r="D658"/>
      <c r="E658"/>
      <c r="F658"/>
      <c r="G658"/>
      <c r="H658" s="13"/>
      <c r="I658" s="7"/>
      <c r="J658"/>
      <c r="K658"/>
      <c r="L658"/>
      <c r="M658"/>
      <c r="N658"/>
      <c r="O658"/>
      <c r="P658"/>
      <c r="Q658"/>
      <c r="R658"/>
      <c r="S658"/>
      <c r="T658"/>
      <c r="U658" s="27"/>
      <c r="V658" s="14"/>
      <c r="W658" s="27"/>
      <c r="X658" s="27"/>
      <c r="Y658" s="27"/>
      <c r="Z658" s="27"/>
      <c r="AA658"/>
      <c r="AB658"/>
      <c r="AC658" s="27"/>
      <c r="AD658"/>
      <c r="AE658" s="27"/>
      <c r="AF658" s="27"/>
      <c r="AG658" s="28"/>
      <c r="AH658" s="7"/>
      <c r="AI658" s="15"/>
      <c r="AJ658"/>
      <c r="AK658" s="27"/>
      <c r="AL658"/>
      <c r="AM658"/>
      <c r="AN658"/>
      <c r="AO658" s="27"/>
      <c r="AP658" s="27"/>
      <c r="AQ658" s="15"/>
      <c r="AR658"/>
      <c r="AS658" s="27"/>
      <c r="AT658"/>
      <c r="AU658"/>
      <c r="AW658" s="13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</row>
    <row r="659" spans="1:65" s="6" customFormat="1" x14ac:dyDescent="0.25">
      <c r="F659" s="21"/>
      <c r="G659" s="10"/>
      <c r="H659" s="7"/>
      <c r="I659" s="13"/>
      <c r="U659" s="16"/>
      <c r="W659" s="16"/>
      <c r="X659" s="16"/>
      <c r="Y659" s="16"/>
      <c r="Z659" s="16"/>
      <c r="AC659" s="16"/>
      <c r="AE659" s="16"/>
      <c r="AF659" s="22"/>
      <c r="AG659" s="18"/>
      <c r="AH659" s="7"/>
      <c r="AI659" s="7"/>
      <c r="AK659" s="16"/>
      <c r="AO659" s="23"/>
      <c r="AP659" s="17"/>
      <c r="AQ659" s="7"/>
      <c r="AR659"/>
      <c r="AS659" s="17"/>
      <c r="AV659"/>
      <c r="AW659" s="7"/>
      <c r="BB659" s="24"/>
      <c r="BC659"/>
      <c r="BG659"/>
    </row>
    <row r="660" spans="1:65" s="6" customFormat="1" x14ac:dyDescent="0.25">
      <c r="A660"/>
      <c r="B660"/>
      <c r="C660"/>
      <c r="D660"/>
      <c r="E660"/>
      <c r="F660"/>
      <c r="G660"/>
      <c r="H660" s="13"/>
      <c r="I660" s="13"/>
      <c r="J660"/>
      <c r="K660"/>
      <c r="L660"/>
      <c r="M660"/>
      <c r="N660"/>
      <c r="O660"/>
      <c r="P660"/>
      <c r="Q660"/>
      <c r="R660"/>
      <c r="S660"/>
      <c r="T660"/>
      <c r="U660" s="27"/>
      <c r="V660" s="14"/>
      <c r="W660" s="27"/>
      <c r="X660" s="27"/>
      <c r="Y660" s="27"/>
      <c r="Z660" s="27"/>
      <c r="AA660"/>
      <c r="AB660"/>
      <c r="AC660" s="27"/>
      <c r="AD660"/>
      <c r="AE660" s="27"/>
      <c r="AF660" s="27"/>
      <c r="AG660" s="28"/>
      <c r="AH660" s="15"/>
      <c r="AI660" s="15"/>
      <c r="AJ660"/>
      <c r="AK660" s="27"/>
      <c r="AL660"/>
      <c r="AM660"/>
      <c r="AN660"/>
      <c r="AO660" s="27"/>
      <c r="AP660" s="27"/>
      <c r="AQ660" s="15"/>
      <c r="AR660"/>
      <c r="AS660" s="27"/>
      <c r="AT660"/>
      <c r="AU660"/>
      <c r="AW660" s="13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</row>
    <row r="661" spans="1:65" s="6" customFormat="1" x14ac:dyDescent="0.25">
      <c r="A661"/>
      <c r="B661"/>
      <c r="C661"/>
      <c r="D661"/>
      <c r="E661"/>
      <c r="F661"/>
      <c r="G661"/>
      <c r="H661" s="13"/>
      <c r="I661" s="7"/>
      <c r="J661"/>
      <c r="K661"/>
      <c r="L661"/>
      <c r="M661"/>
      <c r="N661"/>
      <c r="O661"/>
      <c r="P661"/>
      <c r="Q661"/>
      <c r="R661"/>
      <c r="S661"/>
      <c r="T661"/>
      <c r="U661" s="27"/>
      <c r="V661" s="14"/>
      <c r="W661" s="27"/>
      <c r="X661" s="27"/>
      <c r="Y661" s="27"/>
      <c r="Z661" s="27"/>
      <c r="AA661"/>
      <c r="AB661"/>
      <c r="AC661" s="27"/>
      <c r="AD661"/>
      <c r="AE661" s="27"/>
      <c r="AF661" s="27"/>
      <c r="AG661" s="28"/>
      <c r="AH661" s="7"/>
      <c r="AI661" s="15"/>
      <c r="AJ661"/>
      <c r="AK661" s="27"/>
      <c r="AL661"/>
      <c r="AM661"/>
      <c r="AN661"/>
      <c r="AO661" s="27"/>
      <c r="AP661" s="27"/>
      <c r="AQ661" s="15"/>
      <c r="AR661"/>
      <c r="AS661" s="27"/>
      <c r="AT661"/>
      <c r="AU661"/>
      <c r="AW661" s="13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</row>
    <row r="662" spans="1:65" s="6" customFormat="1" x14ac:dyDescent="0.25">
      <c r="F662" s="21"/>
      <c r="G662" s="10"/>
      <c r="H662" s="7"/>
      <c r="I662" s="13"/>
      <c r="U662" s="16"/>
      <c r="W662" s="16"/>
      <c r="X662" s="16"/>
      <c r="Y662" s="16"/>
      <c r="Z662" s="16"/>
      <c r="AC662" s="16"/>
      <c r="AE662" s="16"/>
      <c r="AF662" s="22"/>
      <c r="AG662" s="18"/>
      <c r="AH662" s="7"/>
      <c r="AI662" s="7"/>
      <c r="AK662" s="16"/>
      <c r="AO662" s="23"/>
      <c r="AP662" s="17"/>
      <c r="AQ662" s="7"/>
      <c r="AR662"/>
      <c r="AS662" s="17"/>
      <c r="AV662"/>
      <c r="AW662" s="7"/>
      <c r="BB662" s="24"/>
      <c r="BC662"/>
      <c r="BG662"/>
    </row>
    <row r="663" spans="1:65" s="6" customFormat="1" x14ac:dyDescent="0.25">
      <c r="F663" s="21"/>
      <c r="G663" s="10"/>
      <c r="H663" s="7"/>
      <c r="I663" s="13"/>
      <c r="U663" s="16"/>
      <c r="W663" s="16"/>
      <c r="X663" s="16"/>
      <c r="Y663" s="16"/>
      <c r="Z663" s="16"/>
      <c r="AC663" s="16"/>
      <c r="AE663" s="16"/>
      <c r="AF663" s="22"/>
      <c r="AG663" s="18"/>
      <c r="AH663" s="7"/>
      <c r="AI663" s="7"/>
      <c r="AK663" s="16"/>
      <c r="AO663" s="23"/>
      <c r="AP663" s="17"/>
      <c r="AQ663" s="7"/>
      <c r="AR663"/>
      <c r="AS663" s="17"/>
      <c r="AW663" s="7"/>
      <c r="BB663" s="24"/>
      <c r="BC663"/>
      <c r="BG663"/>
    </row>
    <row r="664" spans="1:65" s="6" customFormat="1" x14ac:dyDescent="0.25">
      <c r="A664"/>
      <c r="B664"/>
      <c r="C664"/>
      <c r="D664"/>
      <c r="E664"/>
      <c r="F664"/>
      <c r="G664"/>
      <c r="H664" s="13"/>
      <c r="I664" s="13"/>
      <c r="J664"/>
      <c r="K664"/>
      <c r="L664"/>
      <c r="M664"/>
      <c r="N664"/>
      <c r="O664"/>
      <c r="P664"/>
      <c r="Q664"/>
      <c r="R664"/>
      <c r="S664"/>
      <c r="T664"/>
      <c r="U664" s="27"/>
      <c r="V664" s="14"/>
      <c r="W664" s="27"/>
      <c r="X664" s="27"/>
      <c r="Y664" s="27"/>
      <c r="Z664" s="27"/>
      <c r="AA664"/>
      <c r="AB664"/>
      <c r="AC664" s="27"/>
      <c r="AD664"/>
      <c r="AE664" s="27"/>
      <c r="AF664" s="27"/>
      <c r="AG664" s="28"/>
      <c r="AH664" s="15"/>
      <c r="AI664" s="15"/>
      <c r="AJ664"/>
      <c r="AK664" s="27"/>
      <c r="AL664"/>
      <c r="AM664"/>
      <c r="AN664"/>
      <c r="AO664" s="27"/>
      <c r="AP664" s="27"/>
      <c r="AQ664" s="15"/>
      <c r="AR664"/>
      <c r="AS664" s="27"/>
      <c r="AT664"/>
      <c r="AU664"/>
      <c r="AV664"/>
      <c r="AW664" s="13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</row>
    <row r="665" spans="1:65" s="6" customFormat="1" x14ac:dyDescent="0.25">
      <c r="A665"/>
      <c r="B665"/>
      <c r="C665"/>
      <c r="D665"/>
      <c r="E665"/>
      <c r="F665"/>
      <c r="G665"/>
      <c r="H665" s="13"/>
      <c r="I665" s="13"/>
      <c r="J665"/>
      <c r="K665"/>
      <c r="L665"/>
      <c r="M665"/>
      <c r="N665"/>
      <c r="O665"/>
      <c r="P665"/>
      <c r="Q665"/>
      <c r="R665"/>
      <c r="S665"/>
      <c r="T665"/>
      <c r="U665" s="27"/>
      <c r="V665" s="14"/>
      <c r="W665" s="27"/>
      <c r="X665" s="27"/>
      <c r="Y665" s="27"/>
      <c r="Z665" s="27"/>
      <c r="AA665"/>
      <c r="AB665"/>
      <c r="AC665" s="27"/>
      <c r="AD665"/>
      <c r="AE665" s="27"/>
      <c r="AF665" s="27"/>
      <c r="AG665" s="28"/>
      <c r="AH665" s="15"/>
      <c r="AI665" s="15"/>
      <c r="AJ665"/>
      <c r="AK665" s="27"/>
      <c r="AL665"/>
      <c r="AM665"/>
      <c r="AN665"/>
      <c r="AO665" s="27"/>
      <c r="AP665" s="27"/>
      <c r="AQ665" s="15"/>
      <c r="AR665"/>
      <c r="AS665" s="27"/>
      <c r="AT665"/>
      <c r="AU665"/>
      <c r="AV665"/>
      <c r="AW665" s="13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</row>
    <row r="666" spans="1:65" s="6" customFormat="1" x14ac:dyDescent="0.25">
      <c r="F666" s="21"/>
      <c r="G666" s="10"/>
      <c r="H666" s="7"/>
      <c r="I666" s="13"/>
      <c r="U666" s="16"/>
      <c r="W666" s="16"/>
      <c r="X666" s="16"/>
      <c r="Y666" s="16"/>
      <c r="Z666" s="16"/>
      <c r="AC666" s="16"/>
      <c r="AE666" s="16"/>
      <c r="AF666" s="22"/>
      <c r="AG666" s="18"/>
      <c r="AH666" s="7"/>
      <c r="AI666" s="7"/>
      <c r="AK666" s="16"/>
      <c r="AO666" s="23"/>
      <c r="AP666" s="17"/>
      <c r="AQ666" s="7"/>
      <c r="AR666"/>
      <c r="AS666" s="17"/>
      <c r="AW666" s="7"/>
      <c r="BB666" s="24"/>
      <c r="BC666"/>
      <c r="BG666"/>
    </row>
    <row r="667" spans="1:65" s="6" customFormat="1" x14ac:dyDescent="0.25">
      <c r="A667"/>
      <c r="B667"/>
      <c r="C667"/>
      <c r="D667"/>
      <c r="E667"/>
      <c r="F667"/>
      <c r="G667"/>
      <c r="H667" s="13"/>
      <c r="I667" s="7"/>
      <c r="J667"/>
      <c r="K667"/>
      <c r="L667"/>
      <c r="M667"/>
      <c r="N667"/>
      <c r="O667"/>
      <c r="P667"/>
      <c r="Q667"/>
      <c r="R667"/>
      <c r="S667"/>
      <c r="T667"/>
      <c r="U667" s="27"/>
      <c r="V667" s="14"/>
      <c r="W667" s="27"/>
      <c r="X667" s="27"/>
      <c r="Y667" s="27"/>
      <c r="Z667" s="27"/>
      <c r="AA667"/>
      <c r="AB667"/>
      <c r="AC667" s="27"/>
      <c r="AD667"/>
      <c r="AE667" s="27"/>
      <c r="AF667" s="27"/>
      <c r="AG667" s="28"/>
      <c r="AH667" s="7"/>
      <c r="AI667" s="15"/>
      <c r="AJ667"/>
      <c r="AK667" s="27"/>
      <c r="AL667"/>
      <c r="AM667"/>
      <c r="AN667"/>
      <c r="AO667" s="27"/>
      <c r="AP667" s="27"/>
      <c r="AQ667" s="15"/>
      <c r="AR667"/>
      <c r="AS667" s="27"/>
      <c r="AT667"/>
      <c r="AU667"/>
      <c r="AW667" s="13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</row>
    <row r="668" spans="1:65" s="6" customFormat="1" x14ac:dyDescent="0.25">
      <c r="F668" s="21"/>
      <c r="G668" s="10"/>
      <c r="H668" s="7"/>
      <c r="I668" s="13"/>
      <c r="U668" s="16"/>
      <c r="W668" s="16"/>
      <c r="X668" s="16"/>
      <c r="Y668" s="16"/>
      <c r="Z668" s="16"/>
      <c r="AC668" s="16"/>
      <c r="AE668" s="16"/>
      <c r="AF668" s="22"/>
      <c r="AG668" s="18"/>
      <c r="AH668" s="7"/>
      <c r="AI668" s="7"/>
      <c r="AK668" s="16"/>
      <c r="AO668" s="23"/>
      <c r="AP668" s="17"/>
      <c r="AQ668" s="7"/>
      <c r="AR668"/>
      <c r="AS668" s="17"/>
      <c r="AV668"/>
      <c r="AW668" s="7"/>
      <c r="BB668" s="24"/>
      <c r="BC668"/>
      <c r="BG668"/>
    </row>
    <row r="669" spans="1:65" s="6" customFormat="1" x14ac:dyDescent="0.25">
      <c r="A669"/>
      <c r="B669"/>
      <c r="C669"/>
      <c r="D669"/>
      <c r="E669"/>
      <c r="F669"/>
      <c r="G669"/>
      <c r="H669" s="13"/>
      <c r="I669" s="13"/>
      <c r="J669"/>
      <c r="K669"/>
      <c r="L669"/>
      <c r="M669"/>
      <c r="N669"/>
      <c r="O669"/>
      <c r="P669"/>
      <c r="Q669"/>
      <c r="R669"/>
      <c r="S669"/>
      <c r="T669"/>
      <c r="U669" s="27"/>
      <c r="V669" s="14"/>
      <c r="W669" s="27"/>
      <c r="X669" s="27"/>
      <c r="Y669" s="27"/>
      <c r="Z669" s="27"/>
      <c r="AA669"/>
      <c r="AB669"/>
      <c r="AC669" s="27"/>
      <c r="AD669"/>
      <c r="AE669" s="27"/>
      <c r="AF669" s="27"/>
      <c r="AG669" s="28"/>
      <c r="AH669" s="15"/>
      <c r="AI669" s="15"/>
      <c r="AJ669"/>
      <c r="AK669" s="27"/>
      <c r="AL669"/>
      <c r="AM669"/>
      <c r="AN669"/>
      <c r="AO669" s="27"/>
      <c r="AP669" s="27"/>
      <c r="AQ669" s="15"/>
      <c r="AR669"/>
      <c r="AS669" s="27"/>
      <c r="AT669"/>
      <c r="AU669"/>
      <c r="AW669" s="13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</row>
    <row r="670" spans="1:65" s="6" customFormat="1" x14ac:dyDescent="0.25">
      <c r="A670"/>
      <c r="B670"/>
      <c r="C670"/>
      <c r="D670"/>
      <c r="E670"/>
      <c r="F670"/>
      <c r="G670"/>
      <c r="H670" s="13"/>
      <c r="I670" s="7"/>
      <c r="J670"/>
      <c r="K670"/>
      <c r="L670"/>
      <c r="M670"/>
      <c r="N670"/>
      <c r="O670"/>
      <c r="P670"/>
      <c r="Q670"/>
      <c r="R670"/>
      <c r="S670"/>
      <c r="T670"/>
      <c r="U670" s="27"/>
      <c r="V670" s="14"/>
      <c r="W670" s="27"/>
      <c r="X670" s="27"/>
      <c r="Y670" s="27"/>
      <c r="Z670" s="27"/>
      <c r="AA670"/>
      <c r="AB670"/>
      <c r="AC670" s="27"/>
      <c r="AD670"/>
      <c r="AE670" s="27"/>
      <c r="AF670" s="27"/>
      <c r="AG670" s="28"/>
      <c r="AH670" s="7"/>
      <c r="AI670" s="15"/>
      <c r="AJ670"/>
      <c r="AK670" s="27"/>
      <c r="AL670"/>
      <c r="AM670"/>
      <c r="AN670"/>
      <c r="AO670" s="27"/>
      <c r="AP670" s="27"/>
      <c r="AQ670" s="15"/>
      <c r="AR670"/>
      <c r="AS670" s="27"/>
      <c r="AT670"/>
      <c r="AU670"/>
      <c r="AW670" s="13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</row>
    <row r="671" spans="1:65" s="6" customFormat="1" x14ac:dyDescent="0.25">
      <c r="F671" s="21"/>
      <c r="G671" s="10"/>
      <c r="H671" s="7"/>
      <c r="I671" s="13"/>
      <c r="U671" s="16"/>
      <c r="W671" s="16"/>
      <c r="X671" s="16"/>
      <c r="Y671" s="16"/>
      <c r="Z671" s="16"/>
      <c r="AC671" s="16"/>
      <c r="AE671" s="16"/>
      <c r="AF671" s="22"/>
      <c r="AG671" s="18"/>
      <c r="AH671" s="7"/>
      <c r="AI671" s="7"/>
      <c r="AK671" s="16"/>
      <c r="AO671" s="23"/>
      <c r="AP671" s="17"/>
      <c r="AQ671" s="7"/>
      <c r="AR671"/>
      <c r="AS671" s="17"/>
      <c r="AV671"/>
      <c r="AW671" s="7"/>
      <c r="BB671" s="24"/>
      <c r="BC671"/>
      <c r="BG671"/>
    </row>
    <row r="672" spans="1:65" s="6" customFormat="1" x14ac:dyDescent="0.25">
      <c r="F672" s="21"/>
      <c r="G672" s="10"/>
      <c r="H672" s="7"/>
      <c r="I672" s="13"/>
      <c r="U672" s="16"/>
      <c r="W672" s="16"/>
      <c r="X672" s="16"/>
      <c r="Y672" s="16"/>
      <c r="Z672" s="16"/>
      <c r="AC672" s="16"/>
      <c r="AE672" s="16"/>
      <c r="AF672" s="22"/>
      <c r="AG672" s="18"/>
      <c r="AH672" s="7"/>
      <c r="AI672" s="7"/>
      <c r="AK672" s="16"/>
      <c r="AO672" s="23"/>
      <c r="AP672" s="17"/>
      <c r="AQ672" s="7"/>
      <c r="AR672"/>
      <c r="AS672" s="17"/>
      <c r="AW672" s="7"/>
      <c r="BB672" s="24"/>
      <c r="BC672"/>
      <c r="BG672"/>
    </row>
    <row r="673" spans="1:65" s="6" customFormat="1" x14ac:dyDescent="0.25">
      <c r="A673"/>
      <c r="B673"/>
      <c r="C673"/>
      <c r="D673"/>
      <c r="E673"/>
      <c r="F673"/>
      <c r="G673"/>
      <c r="H673" s="13"/>
      <c r="I673" s="13"/>
      <c r="J673"/>
      <c r="K673"/>
      <c r="L673"/>
      <c r="M673"/>
      <c r="N673"/>
      <c r="O673"/>
      <c r="P673"/>
      <c r="Q673"/>
      <c r="R673"/>
      <c r="S673"/>
      <c r="T673"/>
      <c r="U673" s="27"/>
      <c r="V673" s="14"/>
      <c r="W673" s="27"/>
      <c r="X673" s="27"/>
      <c r="Y673" s="27"/>
      <c r="Z673" s="27"/>
      <c r="AA673"/>
      <c r="AB673"/>
      <c r="AC673" s="27"/>
      <c r="AD673"/>
      <c r="AE673" s="27"/>
      <c r="AF673" s="27"/>
      <c r="AG673" s="28"/>
      <c r="AH673" s="15"/>
      <c r="AI673" s="15"/>
      <c r="AJ673"/>
      <c r="AK673" s="27"/>
      <c r="AL673"/>
      <c r="AM673"/>
      <c r="AN673"/>
      <c r="AO673" s="27"/>
      <c r="AP673" s="27"/>
      <c r="AQ673" s="15"/>
      <c r="AR673"/>
      <c r="AS673" s="27"/>
      <c r="AT673"/>
      <c r="AU673"/>
      <c r="AV673"/>
      <c r="AW673" s="1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</row>
    <row r="674" spans="1:65" s="6" customFormat="1" x14ac:dyDescent="0.25">
      <c r="A674"/>
      <c r="B674"/>
      <c r="C674"/>
      <c r="D674"/>
      <c r="E674"/>
      <c r="F674"/>
      <c r="G674"/>
      <c r="H674" s="13"/>
      <c r="I674" s="13"/>
      <c r="J674"/>
      <c r="K674"/>
      <c r="L674"/>
      <c r="M674"/>
      <c r="N674"/>
      <c r="O674"/>
      <c r="P674"/>
      <c r="Q674"/>
      <c r="R674"/>
      <c r="S674"/>
      <c r="T674"/>
      <c r="U674" s="27"/>
      <c r="V674" s="14"/>
      <c r="W674" s="27"/>
      <c r="X674" s="27"/>
      <c r="Y674" s="27"/>
      <c r="Z674" s="27"/>
      <c r="AA674"/>
      <c r="AB674"/>
      <c r="AC674" s="27"/>
      <c r="AD674"/>
      <c r="AE674" s="27"/>
      <c r="AF674" s="27"/>
      <c r="AG674" s="28"/>
      <c r="AH674" s="15"/>
      <c r="AI674" s="15"/>
      <c r="AJ674"/>
      <c r="AK674" s="27"/>
      <c r="AL674"/>
      <c r="AM674"/>
      <c r="AN674"/>
      <c r="AO674" s="27"/>
      <c r="AP674" s="27"/>
      <c r="AQ674" s="15"/>
      <c r="AR674"/>
      <c r="AS674" s="27"/>
      <c r="AT674"/>
      <c r="AU674"/>
      <c r="AV674"/>
      <c r="AW674" s="13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</row>
    <row r="675" spans="1:65" s="6" customFormat="1" x14ac:dyDescent="0.25">
      <c r="F675" s="21"/>
      <c r="G675" s="10"/>
      <c r="H675" s="7"/>
      <c r="I675" s="13"/>
      <c r="U675" s="16"/>
      <c r="W675" s="16"/>
      <c r="X675" s="16"/>
      <c r="Y675" s="16"/>
      <c r="Z675" s="16"/>
      <c r="AC675" s="16"/>
      <c r="AE675" s="16"/>
      <c r="AF675" s="22"/>
      <c r="AG675" s="18"/>
      <c r="AH675" s="7"/>
      <c r="AI675" s="7"/>
      <c r="AK675" s="16"/>
      <c r="AO675" s="23"/>
      <c r="AP675" s="17"/>
      <c r="AQ675" s="7"/>
      <c r="AR675"/>
      <c r="AS675" s="17"/>
      <c r="AW675" s="7"/>
      <c r="BB675" s="24"/>
      <c r="BC675"/>
      <c r="BG675"/>
    </row>
    <row r="676" spans="1:65" s="6" customFormat="1" x14ac:dyDescent="0.25">
      <c r="A676"/>
      <c r="B676"/>
      <c r="C676"/>
      <c r="D676"/>
      <c r="E676"/>
      <c r="F676"/>
      <c r="G676"/>
      <c r="H676" s="13"/>
      <c r="I676" s="7"/>
      <c r="J676"/>
      <c r="K676"/>
      <c r="L676"/>
      <c r="M676"/>
      <c r="N676"/>
      <c r="O676"/>
      <c r="P676"/>
      <c r="Q676"/>
      <c r="R676"/>
      <c r="S676"/>
      <c r="T676"/>
      <c r="U676" s="27"/>
      <c r="V676" s="14"/>
      <c r="W676" s="27"/>
      <c r="X676" s="27"/>
      <c r="Y676" s="27"/>
      <c r="Z676" s="27"/>
      <c r="AA676"/>
      <c r="AB676"/>
      <c r="AC676" s="27"/>
      <c r="AD676"/>
      <c r="AE676" s="27"/>
      <c r="AF676" s="27"/>
      <c r="AG676" s="28"/>
      <c r="AH676" s="7"/>
      <c r="AI676" s="15"/>
      <c r="AJ676"/>
      <c r="AK676" s="27"/>
      <c r="AL676"/>
      <c r="AM676"/>
      <c r="AN676"/>
      <c r="AO676" s="27"/>
      <c r="AP676" s="27"/>
      <c r="AQ676" s="15"/>
      <c r="AR676"/>
      <c r="AS676" s="27"/>
      <c r="AT676"/>
      <c r="AU676"/>
      <c r="AW676" s="13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</row>
    <row r="677" spans="1:65" s="6" customFormat="1" x14ac:dyDescent="0.25">
      <c r="F677" s="21"/>
      <c r="G677" s="10"/>
      <c r="H677" s="7"/>
      <c r="I677" s="13"/>
      <c r="U677" s="16"/>
      <c r="W677" s="16"/>
      <c r="X677" s="16"/>
      <c r="Y677" s="16"/>
      <c r="Z677" s="16"/>
      <c r="AC677" s="16"/>
      <c r="AE677" s="16"/>
      <c r="AF677" s="22"/>
      <c r="AG677" s="18"/>
      <c r="AH677" s="7"/>
      <c r="AI677" s="7"/>
      <c r="AK677" s="16"/>
      <c r="AO677" s="23"/>
      <c r="AP677" s="17"/>
      <c r="AQ677" s="7"/>
      <c r="AR677"/>
      <c r="AS677" s="17"/>
      <c r="AV677"/>
      <c r="AW677" s="7"/>
      <c r="BB677" s="24"/>
      <c r="BC677"/>
      <c r="BG677"/>
    </row>
    <row r="678" spans="1:65" s="6" customFormat="1" x14ac:dyDescent="0.25">
      <c r="A678"/>
      <c r="B678"/>
      <c r="C678"/>
      <c r="D678"/>
      <c r="E678"/>
      <c r="F678"/>
      <c r="G678"/>
      <c r="H678" s="13"/>
      <c r="I678" s="13"/>
      <c r="J678"/>
      <c r="K678"/>
      <c r="L678"/>
      <c r="M678"/>
      <c r="N678"/>
      <c r="O678"/>
      <c r="P678"/>
      <c r="Q678"/>
      <c r="R678"/>
      <c r="S678"/>
      <c r="T678"/>
      <c r="U678" s="27"/>
      <c r="V678" s="14"/>
      <c r="W678" s="27"/>
      <c r="X678" s="27"/>
      <c r="Y678" s="27"/>
      <c r="Z678" s="27"/>
      <c r="AA678"/>
      <c r="AB678"/>
      <c r="AC678" s="27"/>
      <c r="AD678"/>
      <c r="AE678" s="27"/>
      <c r="AF678" s="27"/>
      <c r="AG678" s="28"/>
      <c r="AH678" s="15"/>
      <c r="AI678" s="15"/>
      <c r="AJ678"/>
      <c r="AK678" s="27"/>
      <c r="AL678"/>
      <c r="AM678"/>
      <c r="AN678"/>
      <c r="AO678" s="27"/>
      <c r="AP678" s="27"/>
      <c r="AQ678" s="15"/>
      <c r="AR678"/>
      <c r="AS678" s="27"/>
      <c r="AT678"/>
      <c r="AU678"/>
      <c r="AW678" s="13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</row>
    <row r="679" spans="1:65" s="6" customFormat="1" x14ac:dyDescent="0.25">
      <c r="A679"/>
      <c r="B679"/>
      <c r="C679"/>
      <c r="D679"/>
      <c r="E679"/>
      <c r="F679"/>
      <c r="G679"/>
      <c r="H679" s="13"/>
      <c r="I679" s="7"/>
      <c r="J679"/>
      <c r="K679"/>
      <c r="L679"/>
      <c r="M679"/>
      <c r="N679"/>
      <c r="O679"/>
      <c r="P679"/>
      <c r="Q679"/>
      <c r="R679"/>
      <c r="S679"/>
      <c r="T679"/>
      <c r="U679" s="27"/>
      <c r="V679" s="14"/>
      <c r="W679" s="27"/>
      <c r="X679" s="27"/>
      <c r="Y679" s="27"/>
      <c r="Z679" s="27"/>
      <c r="AA679"/>
      <c r="AB679"/>
      <c r="AC679" s="27"/>
      <c r="AD679"/>
      <c r="AE679" s="27"/>
      <c r="AF679" s="27"/>
      <c r="AG679" s="28"/>
      <c r="AH679" s="7"/>
      <c r="AI679" s="15"/>
      <c r="AJ679"/>
      <c r="AK679" s="27"/>
      <c r="AL679"/>
      <c r="AM679"/>
      <c r="AN679"/>
      <c r="AO679" s="27"/>
      <c r="AP679" s="27"/>
      <c r="AQ679" s="15"/>
      <c r="AR679"/>
      <c r="AS679" s="27"/>
      <c r="AT679"/>
      <c r="AU679"/>
      <c r="AW679" s="13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</row>
    <row r="680" spans="1:65" s="6" customFormat="1" x14ac:dyDescent="0.25">
      <c r="F680" s="21"/>
      <c r="G680" s="10"/>
      <c r="H680" s="7"/>
      <c r="I680" s="13"/>
      <c r="U680" s="16"/>
      <c r="W680" s="16"/>
      <c r="X680" s="16"/>
      <c r="Y680" s="16"/>
      <c r="Z680" s="16"/>
      <c r="AC680" s="16"/>
      <c r="AE680" s="16"/>
      <c r="AF680" s="22"/>
      <c r="AG680" s="18"/>
      <c r="AH680" s="7"/>
      <c r="AI680" s="7"/>
      <c r="AK680" s="16"/>
      <c r="AO680" s="23"/>
      <c r="AP680" s="17"/>
      <c r="AQ680" s="7"/>
      <c r="AR680"/>
      <c r="AS680" s="17"/>
      <c r="AV680"/>
      <c r="AW680" s="7"/>
      <c r="BB680" s="24"/>
      <c r="BC680"/>
      <c r="BG680"/>
    </row>
    <row r="681" spans="1:65" s="6" customFormat="1" x14ac:dyDescent="0.25">
      <c r="F681" s="21"/>
      <c r="G681" s="10"/>
      <c r="H681" s="7"/>
      <c r="I681" s="13"/>
      <c r="U681" s="16"/>
      <c r="W681" s="16"/>
      <c r="X681" s="16"/>
      <c r="Y681" s="16"/>
      <c r="Z681" s="16"/>
      <c r="AC681" s="16"/>
      <c r="AE681" s="16"/>
      <c r="AF681" s="22"/>
      <c r="AG681" s="18"/>
      <c r="AH681" s="7"/>
      <c r="AI681" s="7"/>
      <c r="AK681" s="16"/>
      <c r="AO681" s="23"/>
      <c r="AP681" s="17"/>
      <c r="AQ681" s="7"/>
      <c r="AR681"/>
      <c r="AS681" s="17"/>
      <c r="AW681" s="7"/>
      <c r="BB681" s="24"/>
      <c r="BC681"/>
      <c r="BG681"/>
    </row>
    <row r="682" spans="1:65" s="6" customFormat="1" x14ac:dyDescent="0.25">
      <c r="A682"/>
      <c r="B682"/>
      <c r="C682"/>
      <c r="D682"/>
      <c r="E682"/>
      <c r="F682"/>
      <c r="G682"/>
      <c r="H682" s="13"/>
      <c r="I682" s="13"/>
      <c r="J682"/>
      <c r="K682"/>
      <c r="L682"/>
      <c r="M682"/>
      <c r="N682"/>
      <c r="O682"/>
      <c r="P682"/>
      <c r="Q682"/>
      <c r="R682"/>
      <c r="S682"/>
      <c r="T682"/>
      <c r="U682" s="27"/>
      <c r="V682" s="14"/>
      <c r="W682" s="27"/>
      <c r="X682" s="27"/>
      <c r="Y682" s="27"/>
      <c r="Z682" s="27"/>
      <c r="AA682"/>
      <c r="AB682"/>
      <c r="AC682" s="27"/>
      <c r="AD682"/>
      <c r="AE682" s="27"/>
      <c r="AF682" s="27"/>
      <c r="AG682" s="28"/>
      <c r="AH682" s="15"/>
      <c r="AI682" s="15"/>
      <c r="AJ682"/>
      <c r="AK682" s="27"/>
      <c r="AL682"/>
      <c r="AM682"/>
      <c r="AN682"/>
      <c r="AO682" s="27"/>
      <c r="AP682" s="27"/>
      <c r="AQ682" s="15"/>
      <c r="AR682"/>
      <c r="AS682" s="27"/>
      <c r="AT682"/>
      <c r="AU682"/>
      <c r="AV682"/>
      <c r="AW682" s="13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</row>
    <row r="683" spans="1:65" s="6" customFormat="1" x14ac:dyDescent="0.25">
      <c r="A683"/>
      <c r="B683"/>
      <c r="C683"/>
      <c r="D683"/>
      <c r="E683"/>
      <c r="F683"/>
      <c r="G683"/>
      <c r="H683" s="13"/>
      <c r="I683" s="13"/>
      <c r="J683"/>
      <c r="K683"/>
      <c r="L683"/>
      <c r="M683"/>
      <c r="N683"/>
      <c r="O683"/>
      <c r="P683"/>
      <c r="Q683"/>
      <c r="R683"/>
      <c r="S683"/>
      <c r="T683"/>
      <c r="U683" s="27"/>
      <c r="V683" s="14"/>
      <c r="W683" s="27"/>
      <c r="X683" s="27"/>
      <c r="Y683" s="27"/>
      <c r="Z683" s="27"/>
      <c r="AA683"/>
      <c r="AB683"/>
      <c r="AC683" s="27"/>
      <c r="AD683"/>
      <c r="AE683" s="27"/>
      <c r="AF683" s="27"/>
      <c r="AG683" s="28"/>
      <c r="AH683" s="15"/>
      <c r="AI683" s="15"/>
      <c r="AJ683"/>
      <c r="AK683" s="27"/>
      <c r="AL683"/>
      <c r="AM683"/>
      <c r="AN683"/>
      <c r="AO683" s="27"/>
      <c r="AP683" s="27"/>
      <c r="AQ683" s="15"/>
      <c r="AR683"/>
      <c r="AS683" s="27"/>
      <c r="AT683"/>
      <c r="AU683"/>
      <c r="AV683"/>
      <c r="AW683" s="1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</row>
    <row r="684" spans="1:65" s="6" customFormat="1" x14ac:dyDescent="0.25">
      <c r="F684" s="21"/>
      <c r="G684" s="10"/>
      <c r="H684" s="7"/>
      <c r="I684" s="13"/>
      <c r="U684" s="16"/>
      <c r="W684" s="16"/>
      <c r="X684" s="16"/>
      <c r="Y684" s="16"/>
      <c r="Z684" s="16"/>
      <c r="AC684" s="16"/>
      <c r="AE684" s="16"/>
      <c r="AF684" s="22"/>
      <c r="AG684" s="18"/>
      <c r="AH684" s="7"/>
      <c r="AI684" s="7"/>
      <c r="AK684" s="16"/>
      <c r="AO684" s="23"/>
      <c r="AP684" s="17"/>
      <c r="AQ684" s="7"/>
      <c r="AR684"/>
      <c r="AS684" s="17"/>
      <c r="AW684" s="7"/>
      <c r="BB684" s="24"/>
      <c r="BC684"/>
      <c r="BG684"/>
    </row>
    <row r="685" spans="1:65" s="6" customFormat="1" x14ac:dyDescent="0.25">
      <c r="A685"/>
      <c r="B685"/>
      <c r="C685"/>
      <c r="D685"/>
      <c r="E685"/>
      <c r="F685"/>
      <c r="G685"/>
      <c r="H685" s="13"/>
      <c r="I685" s="7"/>
      <c r="J685"/>
      <c r="K685"/>
      <c r="L685"/>
      <c r="M685"/>
      <c r="N685"/>
      <c r="O685"/>
      <c r="P685"/>
      <c r="Q685"/>
      <c r="R685"/>
      <c r="S685"/>
      <c r="T685"/>
      <c r="U685" s="27"/>
      <c r="V685" s="14"/>
      <c r="W685" s="27"/>
      <c r="X685" s="27"/>
      <c r="Y685" s="27"/>
      <c r="Z685" s="27"/>
      <c r="AA685"/>
      <c r="AB685"/>
      <c r="AC685" s="27"/>
      <c r="AD685"/>
      <c r="AE685" s="27"/>
      <c r="AF685" s="27"/>
      <c r="AG685" s="28"/>
      <c r="AH685" s="7"/>
      <c r="AI685" s="15"/>
      <c r="AJ685"/>
      <c r="AK685" s="27"/>
      <c r="AL685"/>
      <c r="AM685"/>
      <c r="AN685"/>
      <c r="AO685" s="27"/>
      <c r="AP685" s="27"/>
      <c r="AQ685" s="15"/>
      <c r="AR685"/>
      <c r="AS685" s="27"/>
      <c r="AT685"/>
      <c r="AU685"/>
      <c r="AW685" s="13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</row>
    <row r="686" spans="1:65" s="6" customFormat="1" x14ac:dyDescent="0.25">
      <c r="F686" s="21"/>
      <c r="G686" s="10"/>
      <c r="H686" s="7"/>
      <c r="I686" s="13"/>
      <c r="U686" s="16"/>
      <c r="W686" s="16"/>
      <c r="X686" s="16"/>
      <c r="Y686" s="16"/>
      <c r="Z686" s="16"/>
      <c r="AC686" s="16"/>
      <c r="AE686" s="16"/>
      <c r="AF686" s="22"/>
      <c r="AG686" s="18"/>
      <c r="AH686" s="7"/>
      <c r="AI686" s="7"/>
      <c r="AK686" s="16"/>
      <c r="AO686" s="23"/>
      <c r="AP686" s="17"/>
      <c r="AQ686" s="7"/>
      <c r="AR686"/>
      <c r="AS686" s="17"/>
      <c r="AV686"/>
      <c r="AW686" s="7"/>
      <c r="BB686" s="24"/>
      <c r="BC686"/>
      <c r="BG686"/>
    </row>
    <row r="687" spans="1:65" s="6" customFormat="1" x14ac:dyDescent="0.25">
      <c r="A687"/>
      <c r="B687"/>
      <c r="C687"/>
      <c r="D687"/>
      <c r="E687"/>
      <c r="F687"/>
      <c r="G687"/>
      <c r="H687" s="13"/>
      <c r="I687" s="13"/>
      <c r="J687"/>
      <c r="K687"/>
      <c r="L687"/>
      <c r="M687"/>
      <c r="N687"/>
      <c r="O687"/>
      <c r="P687"/>
      <c r="Q687"/>
      <c r="R687"/>
      <c r="S687"/>
      <c r="T687"/>
      <c r="U687" s="27"/>
      <c r="V687" s="14"/>
      <c r="W687" s="27"/>
      <c r="X687" s="27"/>
      <c r="Y687" s="27"/>
      <c r="Z687" s="27"/>
      <c r="AA687"/>
      <c r="AB687"/>
      <c r="AC687" s="27"/>
      <c r="AD687"/>
      <c r="AE687" s="27"/>
      <c r="AF687" s="27"/>
      <c r="AG687" s="28"/>
      <c r="AH687" s="15"/>
      <c r="AI687" s="15"/>
      <c r="AJ687"/>
      <c r="AK687" s="27"/>
      <c r="AL687"/>
      <c r="AM687"/>
      <c r="AN687"/>
      <c r="AO687" s="27"/>
      <c r="AP687" s="27"/>
      <c r="AQ687" s="15"/>
      <c r="AR687"/>
      <c r="AS687" s="27"/>
      <c r="AT687"/>
      <c r="AU687"/>
      <c r="AW687" s="13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</row>
    <row r="688" spans="1:65" s="6" customFormat="1" x14ac:dyDescent="0.25">
      <c r="A688"/>
      <c r="B688"/>
      <c r="C688"/>
      <c r="D688"/>
      <c r="E688"/>
      <c r="F688"/>
      <c r="G688"/>
      <c r="H688" s="13"/>
      <c r="I688" s="7"/>
      <c r="J688"/>
      <c r="K688"/>
      <c r="L688"/>
      <c r="M688"/>
      <c r="N688"/>
      <c r="O688"/>
      <c r="P688"/>
      <c r="Q688"/>
      <c r="R688"/>
      <c r="S688"/>
      <c r="T688"/>
      <c r="U688" s="27"/>
      <c r="V688" s="14"/>
      <c r="W688" s="27"/>
      <c r="X688" s="27"/>
      <c r="Y688" s="27"/>
      <c r="Z688" s="27"/>
      <c r="AA688"/>
      <c r="AB688"/>
      <c r="AC688" s="27"/>
      <c r="AD688"/>
      <c r="AE688" s="27"/>
      <c r="AF688" s="27"/>
      <c r="AG688" s="28"/>
      <c r="AH688" s="7"/>
      <c r="AI688" s="15"/>
      <c r="AJ688"/>
      <c r="AK688" s="27"/>
      <c r="AL688"/>
      <c r="AM688"/>
      <c r="AN688"/>
      <c r="AO688" s="27"/>
      <c r="AP688" s="27"/>
      <c r="AQ688" s="15"/>
      <c r="AR688"/>
      <c r="AS688" s="27"/>
      <c r="AT688"/>
      <c r="AU688"/>
      <c r="AW688" s="13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</row>
    <row r="689" spans="1:65" s="6" customFormat="1" x14ac:dyDescent="0.25">
      <c r="F689" s="21"/>
      <c r="G689" s="10"/>
      <c r="H689" s="7"/>
      <c r="I689" s="13"/>
      <c r="U689" s="16"/>
      <c r="W689" s="16"/>
      <c r="X689" s="16"/>
      <c r="Y689" s="16"/>
      <c r="Z689" s="16"/>
      <c r="AC689" s="16"/>
      <c r="AE689" s="16"/>
      <c r="AF689" s="22"/>
      <c r="AG689" s="18"/>
      <c r="AH689" s="7"/>
      <c r="AI689" s="7"/>
      <c r="AK689" s="16"/>
      <c r="AO689" s="23"/>
      <c r="AP689" s="17"/>
      <c r="AQ689" s="7"/>
      <c r="AR689"/>
      <c r="AS689" s="17"/>
      <c r="AV689"/>
      <c r="AW689" s="7"/>
      <c r="BB689" s="24"/>
      <c r="BC689"/>
      <c r="BG689"/>
    </row>
    <row r="690" spans="1:65" s="6" customFormat="1" x14ac:dyDescent="0.25">
      <c r="F690" s="21"/>
      <c r="G690" s="10"/>
      <c r="H690" s="7"/>
      <c r="I690" s="13"/>
      <c r="U690" s="16"/>
      <c r="W690" s="16"/>
      <c r="X690" s="16"/>
      <c r="Y690" s="16"/>
      <c r="Z690" s="16"/>
      <c r="AC690" s="16"/>
      <c r="AE690" s="16"/>
      <c r="AF690" s="22"/>
      <c r="AG690" s="18"/>
      <c r="AH690" s="7"/>
      <c r="AI690" s="7"/>
      <c r="AK690" s="16"/>
      <c r="AO690" s="23"/>
      <c r="AP690" s="17"/>
      <c r="AQ690" s="7"/>
      <c r="AR690"/>
      <c r="AS690" s="17"/>
      <c r="AW690" s="7"/>
      <c r="BB690" s="24"/>
      <c r="BC690"/>
      <c r="BG690"/>
    </row>
    <row r="691" spans="1:65" s="6" customFormat="1" x14ac:dyDescent="0.25">
      <c r="A691"/>
      <c r="B691"/>
      <c r="C691"/>
      <c r="D691"/>
      <c r="E691"/>
      <c r="F691"/>
      <c r="G691"/>
      <c r="H691" s="13"/>
      <c r="I691" s="13"/>
      <c r="J691"/>
      <c r="K691"/>
      <c r="L691"/>
      <c r="M691"/>
      <c r="N691"/>
      <c r="O691"/>
      <c r="P691"/>
      <c r="Q691"/>
      <c r="R691"/>
      <c r="S691"/>
      <c r="T691"/>
      <c r="U691" s="27"/>
      <c r="V691" s="14"/>
      <c r="W691" s="27"/>
      <c r="X691" s="27"/>
      <c r="Y691" s="27"/>
      <c r="Z691" s="27"/>
      <c r="AA691"/>
      <c r="AB691"/>
      <c r="AC691" s="27"/>
      <c r="AD691"/>
      <c r="AE691" s="27"/>
      <c r="AF691" s="27"/>
      <c r="AG691" s="28"/>
      <c r="AH691" s="15"/>
      <c r="AI691" s="15"/>
      <c r="AJ691"/>
      <c r="AK691" s="27"/>
      <c r="AL691"/>
      <c r="AM691"/>
      <c r="AN691"/>
      <c r="AO691" s="27"/>
      <c r="AP691" s="27"/>
      <c r="AQ691" s="15"/>
      <c r="AR691"/>
      <c r="AS691" s="27"/>
      <c r="AT691"/>
      <c r="AU691"/>
      <c r="AV691"/>
      <c r="AW691" s="13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</row>
    <row r="692" spans="1:65" s="6" customFormat="1" x14ac:dyDescent="0.25">
      <c r="A692"/>
      <c r="B692"/>
      <c r="C692"/>
      <c r="D692"/>
      <c r="E692"/>
      <c r="F692"/>
      <c r="G692"/>
      <c r="H692" s="13"/>
      <c r="I692" s="13"/>
      <c r="J692"/>
      <c r="K692"/>
      <c r="L692"/>
      <c r="M692"/>
      <c r="N692"/>
      <c r="O692"/>
      <c r="P692"/>
      <c r="Q692"/>
      <c r="R692"/>
      <c r="S692"/>
      <c r="T692"/>
      <c r="U692" s="27"/>
      <c r="V692" s="14"/>
      <c r="W692" s="27"/>
      <c r="X692" s="27"/>
      <c r="Y692" s="27"/>
      <c r="Z692" s="27"/>
      <c r="AA692"/>
      <c r="AB692"/>
      <c r="AC692" s="27"/>
      <c r="AD692"/>
      <c r="AE692" s="27"/>
      <c r="AF692" s="27"/>
      <c r="AG692" s="28"/>
      <c r="AH692" s="15"/>
      <c r="AI692" s="15"/>
      <c r="AJ692"/>
      <c r="AK692" s="27"/>
      <c r="AL692"/>
      <c r="AM692"/>
      <c r="AN692"/>
      <c r="AO692" s="27"/>
      <c r="AP692" s="27"/>
      <c r="AQ692" s="15"/>
      <c r="AR692"/>
      <c r="AS692" s="27"/>
      <c r="AT692"/>
      <c r="AU692"/>
      <c r="AV692"/>
      <c r="AW692" s="13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</row>
    <row r="693" spans="1:65" s="6" customFormat="1" x14ac:dyDescent="0.25">
      <c r="F693" s="21"/>
      <c r="G693" s="10"/>
      <c r="H693" s="7"/>
      <c r="I693" s="13"/>
      <c r="U693" s="16"/>
      <c r="W693" s="16"/>
      <c r="X693" s="16"/>
      <c r="Y693" s="16"/>
      <c r="Z693" s="16"/>
      <c r="AC693" s="16"/>
      <c r="AE693" s="16"/>
      <c r="AF693" s="22"/>
      <c r="AG693" s="18"/>
      <c r="AH693" s="7"/>
      <c r="AI693" s="7"/>
      <c r="AK693" s="16"/>
      <c r="AO693" s="23"/>
      <c r="AP693" s="17"/>
      <c r="AQ693" s="7"/>
      <c r="AR693"/>
      <c r="AS693" s="17"/>
      <c r="AW693" s="7"/>
      <c r="BB693" s="24"/>
      <c r="BC693"/>
      <c r="BG693"/>
    </row>
    <row r="694" spans="1:65" s="6" customFormat="1" x14ac:dyDescent="0.25">
      <c r="A694"/>
      <c r="B694"/>
      <c r="C694"/>
      <c r="D694"/>
      <c r="E694"/>
      <c r="F694"/>
      <c r="G694"/>
      <c r="H694" s="13"/>
      <c r="I694" s="7"/>
      <c r="J694"/>
      <c r="K694"/>
      <c r="L694"/>
      <c r="M694"/>
      <c r="N694"/>
      <c r="O694"/>
      <c r="P694"/>
      <c r="Q694"/>
      <c r="R694"/>
      <c r="S694"/>
      <c r="T694"/>
      <c r="U694" s="27"/>
      <c r="V694" s="14"/>
      <c r="W694" s="27"/>
      <c r="X694" s="27"/>
      <c r="Y694" s="27"/>
      <c r="Z694" s="27"/>
      <c r="AA694"/>
      <c r="AB694"/>
      <c r="AC694" s="27"/>
      <c r="AD694"/>
      <c r="AE694" s="27"/>
      <c r="AF694" s="27"/>
      <c r="AG694" s="28"/>
      <c r="AH694" s="7"/>
      <c r="AI694" s="15"/>
      <c r="AJ694"/>
      <c r="AK694" s="27"/>
      <c r="AL694"/>
      <c r="AM694"/>
      <c r="AN694"/>
      <c r="AO694" s="27"/>
      <c r="AP694" s="27"/>
      <c r="AQ694" s="15"/>
      <c r="AR694"/>
      <c r="AS694" s="27"/>
      <c r="AT694"/>
      <c r="AU694"/>
      <c r="AW694" s="7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</row>
    <row r="695" spans="1:65" s="6" customFormat="1" x14ac:dyDescent="0.25">
      <c r="F695" s="21"/>
      <c r="G695" s="10"/>
      <c r="H695" s="7"/>
      <c r="I695" s="13"/>
      <c r="U695" s="16"/>
      <c r="W695" s="16"/>
      <c r="X695" s="16"/>
      <c r="Y695" s="16"/>
      <c r="Z695" s="16"/>
      <c r="AC695" s="16"/>
      <c r="AE695" s="16"/>
      <c r="AF695" s="22"/>
      <c r="AG695" s="18"/>
      <c r="AH695" s="7"/>
      <c r="AI695" s="7"/>
      <c r="AK695" s="16"/>
      <c r="AO695" s="23"/>
      <c r="AP695" s="17"/>
      <c r="AQ695" s="7"/>
      <c r="AR695"/>
      <c r="AS695" s="17"/>
      <c r="AV695"/>
      <c r="AW695" s="7"/>
      <c r="BB695" s="24"/>
      <c r="BC695"/>
      <c r="BG695"/>
    </row>
    <row r="696" spans="1:65" s="6" customFormat="1" x14ac:dyDescent="0.25">
      <c r="A696"/>
      <c r="B696"/>
      <c r="C696"/>
      <c r="D696"/>
      <c r="E696"/>
      <c r="F696"/>
      <c r="G696"/>
      <c r="H696" s="13"/>
      <c r="I696" s="13"/>
      <c r="J696"/>
      <c r="K696"/>
      <c r="L696"/>
      <c r="M696"/>
      <c r="N696"/>
      <c r="O696"/>
      <c r="P696"/>
      <c r="Q696"/>
      <c r="R696"/>
      <c r="S696"/>
      <c r="T696"/>
      <c r="U696" s="27"/>
      <c r="V696" s="14"/>
      <c r="W696" s="27"/>
      <c r="X696" s="27"/>
      <c r="Y696" s="27"/>
      <c r="Z696" s="27"/>
      <c r="AA696"/>
      <c r="AB696"/>
      <c r="AC696" s="27"/>
      <c r="AD696"/>
      <c r="AE696" s="27"/>
      <c r="AF696" s="27"/>
      <c r="AG696" s="28"/>
      <c r="AH696" s="15"/>
      <c r="AI696" s="15"/>
      <c r="AJ696"/>
      <c r="AK696" s="27"/>
      <c r="AL696"/>
      <c r="AM696"/>
      <c r="AN696"/>
      <c r="AO696" s="27"/>
      <c r="AP696" s="27"/>
      <c r="AQ696" s="15"/>
      <c r="AR696"/>
      <c r="AS696" s="27"/>
      <c r="AT696"/>
      <c r="AU696"/>
      <c r="AW696" s="13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</row>
    <row r="697" spans="1:65" s="6" customFormat="1" x14ac:dyDescent="0.25">
      <c r="A697"/>
      <c r="B697"/>
      <c r="C697"/>
      <c r="D697"/>
      <c r="E697"/>
      <c r="F697"/>
      <c r="G697"/>
      <c r="H697" s="13"/>
      <c r="I697" s="7"/>
      <c r="J697"/>
      <c r="K697"/>
      <c r="L697"/>
      <c r="M697"/>
      <c r="N697"/>
      <c r="O697"/>
      <c r="P697"/>
      <c r="Q697"/>
      <c r="R697"/>
      <c r="S697"/>
      <c r="T697"/>
      <c r="U697" s="27"/>
      <c r="V697" s="14"/>
      <c r="W697" s="27"/>
      <c r="X697" s="27"/>
      <c r="Y697" s="27"/>
      <c r="Z697" s="27"/>
      <c r="AA697"/>
      <c r="AB697"/>
      <c r="AC697" s="27"/>
      <c r="AD697"/>
      <c r="AE697" s="27"/>
      <c r="AF697" s="27"/>
      <c r="AG697" s="28"/>
      <c r="AH697" s="7"/>
      <c r="AI697" s="15"/>
      <c r="AJ697"/>
      <c r="AK697" s="27"/>
      <c r="AL697"/>
      <c r="AM697"/>
      <c r="AN697"/>
      <c r="AO697" s="27"/>
      <c r="AP697" s="27"/>
      <c r="AQ697" s="15"/>
      <c r="AR697"/>
      <c r="AS697" s="27"/>
      <c r="AT697"/>
      <c r="AU697"/>
      <c r="AW697" s="13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</row>
    <row r="698" spans="1:65" s="6" customFormat="1" x14ac:dyDescent="0.25">
      <c r="F698" s="21"/>
      <c r="G698" s="10"/>
      <c r="H698" s="7"/>
      <c r="I698" s="13"/>
      <c r="U698" s="16"/>
      <c r="W698" s="16"/>
      <c r="X698" s="16"/>
      <c r="Y698" s="16"/>
      <c r="Z698" s="16"/>
      <c r="AC698" s="16"/>
      <c r="AE698" s="16"/>
      <c r="AF698" s="22"/>
      <c r="AG698" s="18"/>
      <c r="AH698" s="7"/>
      <c r="AI698" s="7"/>
      <c r="AK698" s="16"/>
      <c r="AO698" s="23"/>
      <c r="AP698" s="17"/>
      <c r="AQ698" s="7"/>
      <c r="AR698"/>
      <c r="AS698" s="17"/>
      <c r="AV698"/>
      <c r="AW698" s="7"/>
      <c r="BB698" s="24"/>
      <c r="BC698"/>
      <c r="BG698"/>
    </row>
    <row r="699" spans="1:65" s="6" customFormat="1" x14ac:dyDescent="0.25">
      <c r="F699" s="21"/>
      <c r="G699" s="10"/>
      <c r="H699" s="7"/>
      <c r="I699" s="13"/>
      <c r="U699" s="16"/>
      <c r="W699" s="16"/>
      <c r="X699" s="16"/>
      <c r="Y699" s="16"/>
      <c r="Z699" s="16"/>
      <c r="AC699" s="16"/>
      <c r="AE699" s="16"/>
      <c r="AF699" s="22"/>
      <c r="AG699" s="18"/>
      <c r="AH699" s="7"/>
      <c r="AI699" s="7"/>
      <c r="AK699" s="16"/>
      <c r="AO699" s="23"/>
      <c r="AP699" s="17"/>
      <c r="AQ699" s="7"/>
      <c r="AR699"/>
      <c r="AS699" s="17"/>
      <c r="AW699" s="7"/>
      <c r="BB699" s="24"/>
      <c r="BC699"/>
      <c r="BG699"/>
    </row>
    <row r="700" spans="1:65" s="6" customFormat="1" x14ac:dyDescent="0.25">
      <c r="A700"/>
      <c r="B700"/>
      <c r="C700"/>
      <c r="D700"/>
      <c r="E700"/>
      <c r="F700"/>
      <c r="G700"/>
      <c r="H700" s="13"/>
      <c r="I700" s="13"/>
      <c r="J700"/>
      <c r="K700"/>
      <c r="L700"/>
      <c r="M700"/>
      <c r="N700"/>
      <c r="O700"/>
      <c r="P700"/>
      <c r="Q700"/>
      <c r="R700"/>
      <c r="S700"/>
      <c r="T700"/>
      <c r="U700" s="27"/>
      <c r="V700" s="14"/>
      <c r="W700" s="27"/>
      <c r="X700" s="27"/>
      <c r="Y700" s="27"/>
      <c r="Z700" s="27"/>
      <c r="AA700"/>
      <c r="AB700"/>
      <c r="AC700" s="27"/>
      <c r="AD700"/>
      <c r="AE700" s="27"/>
      <c r="AF700" s="27"/>
      <c r="AG700" s="28"/>
      <c r="AH700" s="15"/>
      <c r="AI700" s="15"/>
      <c r="AJ700"/>
      <c r="AK700" s="27"/>
      <c r="AL700"/>
      <c r="AM700"/>
      <c r="AN700"/>
      <c r="AO700" s="27"/>
      <c r="AP700" s="27"/>
      <c r="AQ700" s="15"/>
      <c r="AR700"/>
      <c r="AS700" s="27"/>
      <c r="AT700"/>
      <c r="AU700"/>
      <c r="AV700"/>
      <c r="AW700" s="13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</row>
    <row r="701" spans="1:65" s="6" customFormat="1" x14ac:dyDescent="0.25">
      <c r="A701"/>
      <c r="B701"/>
      <c r="C701"/>
      <c r="D701"/>
      <c r="E701"/>
      <c r="F701"/>
      <c r="G701"/>
      <c r="H701" s="13"/>
      <c r="I701" s="13"/>
      <c r="J701"/>
      <c r="K701"/>
      <c r="L701"/>
      <c r="M701"/>
      <c r="N701"/>
      <c r="O701"/>
      <c r="P701"/>
      <c r="Q701"/>
      <c r="R701"/>
      <c r="S701"/>
      <c r="T701"/>
      <c r="U701" s="27"/>
      <c r="V701" s="14"/>
      <c r="W701" s="27"/>
      <c r="X701" s="27"/>
      <c r="Y701" s="27"/>
      <c r="Z701" s="27"/>
      <c r="AA701"/>
      <c r="AB701"/>
      <c r="AC701" s="27"/>
      <c r="AD701"/>
      <c r="AE701" s="27"/>
      <c r="AF701" s="27"/>
      <c r="AG701" s="28"/>
      <c r="AH701" s="15"/>
      <c r="AI701" s="15"/>
      <c r="AJ701"/>
      <c r="AK701" s="27"/>
      <c r="AL701"/>
      <c r="AM701"/>
      <c r="AN701"/>
      <c r="AO701" s="27"/>
      <c r="AP701" s="27"/>
      <c r="AQ701" s="15"/>
      <c r="AR701"/>
      <c r="AS701" s="27"/>
      <c r="AT701"/>
      <c r="AU701"/>
      <c r="AV701"/>
      <c r="AW701" s="13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</row>
    <row r="702" spans="1:65" s="6" customFormat="1" x14ac:dyDescent="0.25">
      <c r="F702" s="21"/>
      <c r="G702" s="10"/>
      <c r="H702" s="7"/>
      <c r="I702" s="13"/>
      <c r="U702" s="16"/>
      <c r="W702" s="16"/>
      <c r="X702" s="16"/>
      <c r="Y702" s="16"/>
      <c r="Z702" s="16"/>
      <c r="AC702" s="16"/>
      <c r="AE702" s="16"/>
      <c r="AF702" s="22"/>
      <c r="AG702" s="18"/>
      <c r="AH702" s="7"/>
      <c r="AI702" s="7"/>
      <c r="AK702" s="16"/>
      <c r="AO702" s="23"/>
      <c r="AP702" s="17"/>
      <c r="AQ702" s="7"/>
      <c r="AR702"/>
      <c r="AS702" s="17"/>
      <c r="AW702" s="7"/>
      <c r="BB702" s="24"/>
      <c r="BC702"/>
      <c r="BG702"/>
    </row>
    <row r="703" spans="1:65" s="6" customFormat="1" x14ac:dyDescent="0.25">
      <c r="A703"/>
      <c r="B703"/>
      <c r="C703"/>
      <c r="D703"/>
      <c r="E703"/>
      <c r="F703"/>
      <c r="G703"/>
      <c r="H703" s="13"/>
      <c r="I703" s="7"/>
      <c r="J703"/>
      <c r="K703"/>
      <c r="L703"/>
      <c r="M703"/>
      <c r="N703"/>
      <c r="O703"/>
      <c r="P703"/>
      <c r="Q703"/>
      <c r="R703"/>
      <c r="S703"/>
      <c r="T703"/>
      <c r="U703" s="27"/>
      <c r="V703" s="14"/>
      <c r="W703" s="27"/>
      <c r="X703" s="27"/>
      <c r="Y703" s="27"/>
      <c r="Z703" s="27"/>
      <c r="AA703"/>
      <c r="AB703"/>
      <c r="AC703" s="27"/>
      <c r="AD703"/>
      <c r="AE703" s="27"/>
      <c r="AF703" s="27"/>
      <c r="AG703" s="28"/>
      <c r="AH703" s="7"/>
      <c r="AI703" s="15"/>
      <c r="AJ703"/>
      <c r="AK703" s="27"/>
      <c r="AL703"/>
      <c r="AM703"/>
      <c r="AN703"/>
      <c r="AO703" s="27"/>
      <c r="AP703" s="27"/>
      <c r="AQ703" s="15"/>
      <c r="AR703"/>
      <c r="AS703" s="27"/>
      <c r="AT703"/>
      <c r="AU703"/>
      <c r="AW703" s="7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</row>
    <row r="704" spans="1:65" s="6" customFormat="1" x14ac:dyDescent="0.25">
      <c r="F704" s="21"/>
      <c r="G704" s="10"/>
      <c r="H704" s="7"/>
      <c r="I704" s="13"/>
      <c r="AF704" s="25"/>
      <c r="AG704" s="7"/>
      <c r="AH704" s="7"/>
      <c r="AI704" s="7"/>
      <c r="AO704" s="26"/>
      <c r="AP704" s="11"/>
      <c r="AQ704" s="7"/>
      <c r="AR704"/>
      <c r="AS704" s="11"/>
      <c r="AV704"/>
      <c r="AW704" s="7"/>
      <c r="BB704" s="24"/>
      <c r="BC704"/>
      <c r="BG704"/>
    </row>
    <row r="705" spans="1:65" s="6" customFormat="1" x14ac:dyDescent="0.25">
      <c r="A705"/>
      <c r="B705"/>
      <c r="C705"/>
      <c r="D705"/>
      <c r="E705"/>
      <c r="F705"/>
      <c r="G705"/>
      <c r="H705" s="13"/>
      <c r="I705" s="13"/>
      <c r="J705"/>
      <c r="K705"/>
      <c r="L705"/>
      <c r="M705"/>
      <c r="N705"/>
      <c r="O705"/>
      <c r="P705"/>
      <c r="Q705"/>
      <c r="R705"/>
      <c r="S705"/>
      <c r="T705"/>
      <c r="U705"/>
      <c r="V705" s="14"/>
      <c r="W705"/>
      <c r="X705"/>
      <c r="Y705"/>
      <c r="Z705"/>
      <c r="AA705"/>
      <c r="AB705"/>
      <c r="AC705"/>
      <c r="AD705"/>
      <c r="AE705"/>
      <c r="AF705"/>
      <c r="AG705" s="15"/>
      <c r="AH705" s="15"/>
      <c r="AI705" s="15"/>
      <c r="AJ705"/>
      <c r="AK705"/>
      <c r="AL705"/>
      <c r="AM705"/>
      <c r="AN705"/>
      <c r="AO705"/>
      <c r="AP705"/>
      <c r="AQ705" s="15"/>
      <c r="AR705"/>
      <c r="AS705"/>
      <c r="AT705"/>
      <c r="AU705"/>
      <c r="AW705" s="13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</row>
    <row r="706" spans="1:65" s="6" customFormat="1" x14ac:dyDescent="0.25">
      <c r="A706"/>
      <c r="B706"/>
      <c r="C706"/>
      <c r="D706"/>
      <c r="E706"/>
      <c r="F706"/>
      <c r="G706"/>
      <c r="H706" s="13"/>
      <c r="I706" s="7"/>
      <c r="J706"/>
      <c r="K706"/>
      <c r="L706"/>
      <c r="M706"/>
      <c r="N706"/>
      <c r="O706"/>
      <c r="P706"/>
      <c r="Q706"/>
      <c r="R706"/>
      <c r="S706"/>
      <c r="T706"/>
      <c r="U706"/>
      <c r="V706" s="14"/>
      <c r="W706"/>
      <c r="X706"/>
      <c r="Y706"/>
      <c r="Z706"/>
      <c r="AA706"/>
      <c r="AB706"/>
      <c r="AC706"/>
      <c r="AD706"/>
      <c r="AE706"/>
      <c r="AF706"/>
      <c r="AG706" s="15"/>
      <c r="AH706" s="7"/>
      <c r="AI706" s="15"/>
      <c r="AJ706"/>
      <c r="AK706"/>
      <c r="AL706"/>
      <c r="AM706"/>
      <c r="AN706"/>
      <c r="AO706"/>
      <c r="AP706"/>
      <c r="AQ706" s="15"/>
      <c r="AR706"/>
      <c r="AS706"/>
      <c r="AT706"/>
      <c r="AU706"/>
      <c r="AW706" s="13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</row>
    <row r="707" spans="1:65" s="6" customFormat="1" x14ac:dyDescent="0.25">
      <c r="F707" s="21"/>
      <c r="G707" s="10"/>
      <c r="H707" s="7"/>
      <c r="I707" s="13"/>
      <c r="AF707" s="25"/>
      <c r="AG707" s="7"/>
      <c r="AH707" s="7"/>
      <c r="AI707" s="7"/>
      <c r="AO707" s="26"/>
      <c r="AP707" s="11"/>
      <c r="AQ707" s="7"/>
      <c r="AR707"/>
      <c r="AS707" s="11"/>
      <c r="AV707"/>
      <c r="AW707" s="7"/>
      <c r="BB707" s="24"/>
      <c r="BC707"/>
      <c r="BG707"/>
    </row>
    <row r="708" spans="1:65" s="6" customFormat="1" x14ac:dyDescent="0.25">
      <c r="F708" s="21"/>
      <c r="G708" s="10"/>
      <c r="H708" s="7"/>
      <c r="I708" s="13"/>
      <c r="AF708" s="25"/>
      <c r="AG708" s="7"/>
      <c r="AH708" s="7"/>
      <c r="AI708" s="7"/>
      <c r="AO708" s="26"/>
      <c r="AP708" s="11"/>
      <c r="AQ708" s="7"/>
      <c r="AR708"/>
      <c r="AS708" s="11"/>
      <c r="AW708" s="7"/>
      <c r="BB708" s="24"/>
      <c r="BC708"/>
      <c r="BG708"/>
    </row>
    <row r="709" spans="1:65" s="6" customFormat="1" x14ac:dyDescent="0.25">
      <c r="A709"/>
      <c r="B709"/>
      <c r="C709"/>
      <c r="D709"/>
      <c r="E709"/>
      <c r="F709"/>
      <c r="G709"/>
      <c r="H709" s="13"/>
      <c r="I709" s="13"/>
      <c r="J709"/>
      <c r="K709"/>
      <c r="L709"/>
      <c r="M709"/>
      <c r="N709"/>
      <c r="O709"/>
      <c r="P709"/>
      <c r="Q709"/>
      <c r="R709"/>
      <c r="S709"/>
      <c r="T709"/>
      <c r="U709"/>
      <c r="V709" s="14"/>
      <c r="W709"/>
      <c r="X709"/>
      <c r="Y709"/>
      <c r="Z709"/>
      <c r="AA709"/>
      <c r="AB709"/>
      <c r="AC709"/>
      <c r="AD709"/>
      <c r="AE709"/>
      <c r="AF709"/>
      <c r="AG709" s="15"/>
      <c r="AH709" s="15"/>
      <c r="AI709" s="15"/>
      <c r="AJ709"/>
      <c r="AK709"/>
      <c r="AL709"/>
      <c r="AM709"/>
      <c r="AN709"/>
      <c r="AO709"/>
      <c r="AP709"/>
      <c r="AQ709" s="15"/>
      <c r="AR709"/>
      <c r="AS709"/>
      <c r="AT709"/>
      <c r="AU709"/>
      <c r="AV709"/>
      <c r="AW709" s="13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</row>
    <row r="710" spans="1:65" s="6" customFormat="1" x14ac:dyDescent="0.25">
      <c r="A710"/>
      <c r="B710"/>
      <c r="C710"/>
      <c r="D710"/>
      <c r="E710"/>
      <c r="F710"/>
      <c r="G710"/>
      <c r="H710" s="13"/>
      <c r="I710" s="13"/>
      <c r="J710"/>
      <c r="K710"/>
      <c r="L710"/>
      <c r="M710"/>
      <c r="N710"/>
      <c r="O710"/>
      <c r="P710"/>
      <c r="Q710"/>
      <c r="R710"/>
      <c r="S710"/>
      <c r="T710"/>
      <c r="U710"/>
      <c r="V710" s="14"/>
      <c r="W710"/>
      <c r="X710"/>
      <c r="Y710"/>
      <c r="Z710"/>
      <c r="AA710"/>
      <c r="AB710"/>
      <c r="AC710"/>
      <c r="AD710"/>
      <c r="AE710"/>
      <c r="AF710"/>
      <c r="AG710" s="15"/>
      <c r="AH710" s="15"/>
      <c r="AI710" s="15"/>
      <c r="AJ710"/>
      <c r="AK710"/>
      <c r="AL710"/>
      <c r="AM710"/>
      <c r="AN710"/>
      <c r="AO710"/>
      <c r="AP710"/>
      <c r="AQ710" s="15"/>
      <c r="AR710"/>
      <c r="AS710"/>
      <c r="AT710"/>
      <c r="AU710"/>
      <c r="AV710"/>
      <c r="AW710" s="13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</row>
    <row r="711" spans="1:65" s="6" customFormat="1" x14ac:dyDescent="0.25">
      <c r="F711" s="21"/>
      <c r="G711" s="10"/>
      <c r="H711" s="7"/>
      <c r="I711" s="13"/>
      <c r="AF711" s="25"/>
      <c r="AG711" s="7"/>
      <c r="AH711" s="7"/>
      <c r="AI711" s="7"/>
      <c r="AO711" s="26"/>
      <c r="AP711" s="11"/>
      <c r="AQ711" s="7"/>
      <c r="AR711"/>
      <c r="AS711" s="11"/>
      <c r="AW711" s="7"/>
      <c r="BB711" s="24"/>
      <c r="BC711"/>
      <c r="BG711"/>
    </row>
    <row r="712" spans="1:65" s="6" customFormat="1" x14ac:dyDescent="0.25">
      <c r="A712"/>
      <c r="B712"/>
      <c r="C712"/>
      <c r="D712"/>
      <c r="E712"/>
      <c r="F712"/>
      <c r="G712"/>
      <c r="H712" s="13"/>
      <c r="I712" s="7"/>
      <c r="J712"/>
      <c r="K712"/>
      <c r="L712"/>
      <c r="M712"/>
      <c r="N712"/>
      <c r="O712"/>
      <c r="P712"/>
      <c r="Q712"/>
      <c r="R712"/>
      <c r="S712"/>
      <c r="T712"/>
      <c r="U712"/>
      <c r="V712" s="14"/>
      <c r="W712"/>
      <c r="X712"/>
      <c r="Y712"/>
      <c r="Z712"/>
      <c r="AA712"/>
      <c r="AB712"/>
      <c r="AC712"/>
      <c r="AD712"/>
      <c r="AE712"/>
      <c r="AF712"/>
      <c r="AG712" s="15"/>
      <c r="AH712" s="7"/>
      <c r="AI712" s="15"/>
      <c r="AJ712"/>
      <c r="AK712"/>
      <c r="AL712"/>
      <c r="AM712"/>
      <c r="AN712"/>
      <c r="AO712"/>
      <c r="AP712"/>
      <c r="AQ712" s="15"/>
      <c r="AR712"/>
      <c r="AS712"/>
      <c r="AT712"/>
      <c r="AU712"/>
      <c r="AW712" s="7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</row>
    <row r="713" spans="1:65" s="6" customFormat="1" x14ac:dyDescent="0.25">
      <c r="F713" s="21"/>
      <c r="G713" s="10"/>
      <c r="H713" s="7"/>
      <c r="I713" s="13"/>
      <c r="AF713" s="25"/>
      <c r="AG713" s="7"/>
      <c r="AH713" s="7"/>
      <c r="AI713" s="7"/>
      <c r="AO713" s="26"/>
      <c r="AP713" s="11"/>
      <c r="AQ713" s="7"/>
      <c r="AR713"/>
      <c r="AS713" s="11"/>
      <c r="AV713"/>
      <c r="AW713" s="7"/>
      <c r="BB713" s="24"/>
      <c r="BC713"/>
      <c r="BG713"/>
    </row>
    <row r="714" spans="1:65" s="6" customFormat="1" x14ac:dyDescent="0.25">
      <c r="A714"/>
      <c r="B714"/>
      <c r="C714"/>
      <c r="D714"/>
      <c r="E714"/>
      <c r="F714"/>
      <c r="G714"/>
      <c r="H714" s="13"/>
      <c r="I714" s="13"/>
      <c r="J714"/>
      <c r="K714"/>
      <c r="L714"/>
      <c r="M714"/>
      <c r="N714"/>
      <c r="O714"/>
      <c r="P714"/>
      <c r="Q714"/>
      <c r="R714"/>
      <c r="S714"/>
      <c r="T714"/>
      <c r="U714"/>
      <c r="V714" s="14"/>
      <c r="W714"/>
      <c r="X714"/>
      <c r="Y714"/>
      <c r="Z714"/>
      <c r="AA714"/>
      <c r="AB714"/>
      <c r="AC714"/>
      <c r="AD714"/>
      <c r="AE714"/>
      <c r="AF714"/>
      <c r="AG714" s="15"/>
      <c r="AH714" s="15"/>
      <c r="AI714" s="15"/>
      <c r="AJ714"/>
      <c r="AK714"/>
      <c r="AL714"/>
      <c r="AM714"/>
      <c r="AN714"/>
      <c r="AO714"/>
      <c r="AP714"/>
      <c r="AQ714" s="15"/>
      <c r="AR714"/>
      <c r="AS714"/>
      <c r="AT714"/>
      <c r="AU714"/>
      <c r="AW714" s="13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</row>
    <row r="715" spans="1:65" s="6" customFormat="1" x14ac:dyDescent="0.25">
      <c r="A715"/>
      <c r="B715"/>
      <c r="C715"/>
      <c r="D715"/>
      <c r="E715"/>
      <c r="F715"/>
      <c r="G715"/>
      <c r="H715" s="13"/>
      <c r="I715" s="7"/>
      <c r="J715"/>
      <c r="K715"/>
      <c r="L715"/>
      <c r="M715"/>
      <c r="N715"/>
      <c r="O715"/>
      <c r="P715"/>
      <c r="Q715"/>
      <c r="R715"/>
      <c r="S715"/>
      <c r="T715"/>
      <c r="U715"/>
      <c r="V715" s="14"/>
      <c r="W715"/>
      <c r="X715"/>
      <c r="Y715"/>
      <c r="Z715"/>
      <c r="AA715"/>
      <c r="AB715"/>
      <c r="AC715"/>
      <c r="AD715"/>
      <c r="AE715"/>
      <c r="AF715"/>
      <c r="AG715" s="15"/>
      <c r="AH715" s="7"/>
      <c r="AI715" s="15"/>
      <c r="AJ715"/>
      <c r="AK715"/>
      <c r="AL715"/>
      <c r="AM715"/>
      <c r="AN715"/>
      <c r="AO715"/>
      <c r="AP715"/>
      <c r="AQ715" s="15"/>
      <c r="AR715"/>
      <c r="AS715"/>
      <c r="AT715"/>
      <c r="AU715"/>
      <c r="AW715" s="13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</row>
    <row r="716" spans="1:65" s="6" customFormat="1" x14ac:dyDescent="0.25">
      <c r="F716" s="21"/>
      <c r="G716" s="10"/>
      <c r="H716" s="7"/>
      <c r="I716" s="13"/>
      <c r="AF716" s="25"/>
      <c r="AG716" s="7"/>
      <c r="AH716" s="7"/>
      <c r="AI716" s="7"/>
      <c r="AO716" s="26"/>
      <c r="AP716" s="11"/>
      <c r="AQ716" s="7"/>
      <c r="AR716"/>
      <c r="AS716" s="11"/>
      <c r="AV716"/>
      <c r="AW716" s="7"/>
      <c r="BB716" s="24"/>
      <c r="BC716"/>
      <c r="BG716"/>
    </row>
    <row r="717" spans="1:65" s="6" customFormat="1" x14ac:dyDescent="0.25">
      <c r="F717" s="21"/>
      <c r="G717" s="10"/>
      <c r="H717" s="7"/>
      <c r="I717" s="13"/>
      <c r="AF717" s="25"/>
      <c r="AG717" s="7"/>
      <c r="AH717" s="7"/>
      <c r="AI717" s="7"/>
      <c r="AO717" s="26"/>
      <c r="AP717" s="11"/>
      <c r="AQ717" s="7"/>
      <c r="AR717"/>
      <c r="AS717" s="11"/>
      <c r="AW717" s="7"/>
      <c r="BB717" s="24"/>
      <c r="BC717"/>
      <c r="BG717"/>
    </row>
    <row r="718" spans="1:65" s="6" customFormat="1" x14ac:dyDescent="0.25">
      <c r="A718"/>
      <c r="B718"/>
      <c r="C718"/>
      <c r="D718"/>
      <c r="E718"/>
      <c r="F718"/>
      <c r="G718"/>
      <c r="H718" s="13"/>
      <c r="I718" s="13"/>
      <c r="J718"/>
      <c r="K718"/>
      <c r="L718"/>
      <c r="M718"/>
      <c r="N718"/>
      <c r="O718"/>
      <c r="P718"/>
      <c r="Q718"/>
      <c r="R718"/>
      <c r="S718"/>
      <c r="T718"/>
      <c r="U718"/>
      <c r="V718" s="14"/>
      <c r="W718"/>
      <c r="X718"/>
      <c r="Y718"/>
      <c r="Z718"/>
      <c r="AA718"/>
      <c r="AB718"/>
      <c r="AC718"/>
      <c r="AD718"/>
      <c r="AE718"/>
      <c r="AF718"/>
      <c r="AG718" s="15"/>
      <c r="AH718" s="15"/>
      <c r="AI718" s="15"/>
      <c r="AJ718"/>
      <c r="AK718"/>
      <c r="AL718"/>
      <c r="AM718"/>
      <c r="AN718"/>
      <c r="AO718"/>
      <c r="AP718"/>
      <c r="AQ718" s="15"/>
      <c r="AR718"/>
      <c r="AS718"/>
      <c r="AT718"/>
      <c r="AU718"/>
      <c r="AV718"/>
      <c r="AW718" s="13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</row>
    <row r="719" spans="1:65" s="6" customFormat="1" x14ac:dyDescent="0.25">
      <c r="A719"/>
      <c r="B719"/>
      <c r="C719"/>
      <c r="D719"/>
      <c r="E719"/>
      <c r="F719"/>
      <c r="G719"/>
      <c r="H719" s="13"/>
      <c r="I719" s="13"/>
      <c r="J719"/>
      <c r="K719"/>
      <c r="L719"/>
      <c r="M719"/>
      <c r="N719"/>
      <c r="O719"/>
      <c r="P719"/>
      <c r="Q719"/>
      <c r="R719"/>
      <c r="S719"/>
      <c r="T719"/>
      <c r="U719"/>
      <c r="V719" s="14"/>
      <c r="W719"/>
      <c r="X719"/>
      <c r="Y719"/>
      <c r="Z719"/>
      <c r="AA719"/>
      <c r="AB719"/>
      <c r="AC719"/>
      <c r="AD719"/>
      <c r="AE719"/>
      <c r="AF719"/>
      <c r="AG719" s="15"/>
      <c r="AH719" s="15"/>
      <c r="AI719" s="15"/>
      <c r="AJ719"/>
      <c r="AK719"/>
      <c r="AL719"/>
      <c r="AM719"/>
      <c r="AN719"/>
      <c r="AO719"/>
      <c r="AP719"/>
      <c r="AQ719" s="15"/>
      <c r="AR719"/>
      <c r="AS719"/>
      <c r="AT719"/>
      <c r="AU719"/>
      <c r="AV719"/>
      <c r="AW719" s="13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</row>
    <row r="720" spans="1:65" s="6" customFormat="1" x14ac:dyDescent="0.25">
      <c r="F720" s="21"/>
      <c r="G720" s="10"/>
      <c r="H720" s="7"/>
      <c r="I720" s="13"/>
      <c r="AF720" s="25"/>
      <c r="AG720" s="7"/>
      <c r="AH720" s="7"/>
      <c r="AI720" s="7"/>
      <c r="AO720" s="26"/>
      <c r="AP720" s="11"/>
      <c r="AQ720" s="7"/>
      <c r="AR720"/>
      <c r="AS720" s="11"/>
      <c r="AW720" s="7"/>
      <c r="BB720" s="24"/>
      <c r="BC720"/>
      <c r="BG720"/>
    </row>
    <row r="721" spans="1:65" s="6" customFormat="1" x14ac:dyDescent="0.25">
      <c r="A721"/>
      <c r="B721"/>
      <c r="C721"/>
      <c r="D721"/>
      <c r="E721"/>
      <c r="F721"/>
      <c r="G721"/>
      <c r="H721" s="13"/>
      <c r="I721" s="7"/>
      <c r="J721"/>
      <c r="K721"/>
      <c r="L721"/>
      <c r="M721"/>
      <c r="N721"/>
      <c r="O721"/>
      <c r="P721"/>
      <c r="Q721"/>
      <c r="R721"/>
      <c r="S721"/>
      <c r="T721"/>
      <c r="U721"/>
      <c r="V721" s="14"/>
      <c r="W721"/>
      <c r="X721"/>
      <c r="Y721"/>
      <c r="Z721"/>
      <c r="AA721"/>
      <c r="AB721"/>
      <c r="AC721"/>
      <c r="AD721"/>
      <c r="AE721"/>
      <c r="AF721"/>
      <c r="AG721" s="15"/>
      <c r="AH721" s="7"/>
      <c r="AI721" s="15"/>
      <c r="AJ721"/>
      <c r="AK721"/>
      <c r="AL721"/>
      <c r="AM721"/>
      <c r="AN721"/>
      <c r="AO721"/>
      <c r="AP721"/>
      <c r="AQ721" s="15"/>
      <c r="AR721"/>
      <c r="AS721"/>
      <c r="AT721"/>
      <c r="AU721"/>
      <c r="AW721" s="13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</row>
    <row r="722" spans="1:65" s="6" customFormat="1" x14ac:dyDescent="0.25">
      <c r="F722" s="21"/>
      <c r="G722" s="10"/>
      <c r="H722" s="7"/>
      <c r="I722" s="13"/>
      <c r="AF722" s="25"/>
      <c r="AG722" s="7"/>
      <c r="AH722" s="7"/>
      <c r="AI722" s="7"/>
      <c r="AO722" s="26"/>
      <c r="AP722" s="11"/>
      <c r="AQ722" s="7"/>
      <c r="AR722"/>
      <c r="AS722" s="11"/>
      <c r="AV722"/>
      <c r="AW722" s="7"/>
      <c r="BB722" s="24"/>
      <c r="BC722"/>
      <c r="BG722"/>
    </row>
    <row r="723" spans="1:65" s="6" customFormat="1" x14ac:dyDescent="0.25">
      <c r="A723"/>
      <c r="B723"/>
      <c r="C723"/>
      <c r="D723"/>
      <c r="E723"/>
      <c r="F723"/>
      <c r="G723"/>
      <c r="H723" s="13"/>
      <c r="I723" s="13"/>
      <c r="J723"/>
      <c r="K723"/>
      <c r="L723"/>
      <c r="M723"/>
      <c r="N723"/>
      <c r="O723"/>
      <c r="P723"/>
      <c r="Q723"/>
      <c r="R723"/>
      <c r="S723"/>
      <c r="T723"/>
      <c r="U723"/>
      <c r="V723" s="14"/>
      <c r="W723"/>
      <c r="X723"/>
      <c r="Y723"/>
      <c r="Z723"/>
      <c r="AA723"/>
      <c r="AB723"/>
      <c r="AC723"/>
      <c r="AD723"/>
      <c r="AE723"/>
      <c r="AF723"/>
      <c r="AG723" s="15"/>
      <c r="AH723" s="15"/>
      <c r="AI723" s="15"/>
      <c r="AJ723"/>
      <c r="AK723"/>
      <c r="AL723"/>
      <c r="AM723"/>
      <c r="AN723"/>
      <c r="AO723"/>
      <c r="AP723"/>
      <c r="AQ723" s="15"/>
      <c r="AR723"/>
      <c r="AS723"/>
      <c r="AT723"/>
      <c r="AU723"/>
      <c r="AW723" s="1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</row>
    <row r="724" spans="1:65" s="6" customFormat="1" x14ac:dyDescent="0.25">
      <c r="A724"/>
      <c r="B724"/>
      <c r="C724"/>
      <c r="D724"/>
      <c r="E724"/>
      <c r="F724"/>
      <c r="G724"/>
      <c r="H724" s="13"/>
      <c r="I724" s="7"/>
      <c r="J724"/>
      <c r="K724"/>
      <c r="L724"/>
      <c r="M724"/>
      <c r="N724"/>
      <c r="O724"/>
      <c r="P724"/>
      <c r="Q724"/>
      <c r="R724"/>
      <c r="S724"/>
      <c r="T724"/>
      <c r="U724"/>
      <c r="V724" s="14"/>
      <c r="W724"/>
      <c r="X724"/>
      <c r="Y724"/>
      <c r="Z724"/>
      <c r="AA724"/>
      <c r="AB724"/>
      <c r="AC724"/>
      <c r="AD724"/>
      <c r="AE724"/>
      <c r="AF724"/>
      <c r="AG724" s="15"/>
      <c r="AH724" s="7"/>
      <c r="AI724" s="15"/>
      <c r="AJ724"/>
      <c r="AK724"/>
      <c r="AL724"/>
      <c r="AM724"/>
      <c r="AN724"/>
      <c r="AO724"/>
      <c r="AP724"/>
      <c r="AQ724" s="15"/>
      <c r="AR724"/>
      <c r="AS724"/>
      <c r="AT724"/>
      <c r="AU724"/>
      <c r="AW724" s="13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</row>
    <row r="725" spans="1:65" s="6" customFormat="1" x14ac:dyDescent="0.25">
      <c r="F725" s="21"/>
      <c r="G725" s="10"/>
      <c r="H725" s="7"/>
      <c r="I725" s="13"/>
      <c r="AF725" s="25"/>
      <c r="AG725" s="7"/>
      <c r="AH725" s="7"/>
      <c r="AI725" s="7"/>
      <c r="AO725" s="26"/>
      <c r="AP725" s="11"/>
      <c r="AQ725" s="7"/>
      <c r="AR725"/>
      <c r="AS725" s="11"/>
      <c r="AV725"/>
      <c r="AW725" s="7"/>
      <c r="BB725" s="24"/>
      <c r="BC725"/>
      <c r="BG725"/>
    </row>
    <row r="726" spans="1:65" s="6" customFormat="1" x14ac:dyDescent="0.25">
      <c r="F726" s="21"/>
      <c r="G726" s="10"/>
      <c r="H726" s="7"/>
      <c r="I726" s="13"/>
      <c r="AF726" s="25"/>
      <c r="AG726" s="7"/>
      <c r="AH726" s="7"/>
      <c r="AI726" s="7"/>
      <c r="AO726" s="26"/>
      <c r="AP726" s="11"/>
      <c r="AQ726" s="7"/>
      <c r="AR726"/>
      <c r="AS726" s="11"/>
      <c r="AW726" s="7"/>
      <c r="BB726" s="24"/>
      <c r="BC726"/>
      <c r="BG726"/>
    </row>
    <row r="727" spans="1:65" s="6" customFormat="1" x14ac:dyDescent="0.25">
      <c r="A727"/>
      <c r="B727"/>
      <c r="C727"/>
      <c r="D727"/>
      <c r="E727"/>
      <c r="F727"/>
      <c r="G727"/>
      <c r="H727" s="13"/>
      <c r="I727" s="13"/>
      <c r="J727"/>
      <c r="K727"/>
      <c r="L727"/>
      <c r="M727"/>
      <c r="N727"/>
      <c r="O727"/>
      <c r="P727"/>
      <c r="Q727"/>
      <c r="R727"/>
      <c r="S727"/>
      <c r="T727"/>
      <c r="U727"/>
      <c r="V727" s="14"/>
      <c r="W727"/>
      <c r="X727"/>
      <c r="Y727"/>
      <c r="Z727"/>
      <c r="AA727"/>
      <c r="AB727"/>
      <c r="AC727"/>
      <c r="AD727"/>
      <c r="AE727"/>
      <c r="AF727"/>
      <c r="AG727" s="15"/>
      <c r="AH727" s="15"/>
      <c r="AI727" s="15"/>
      <c r="AJ727"/>
      <c r="AK727"/>
      <c r="AL727"/>
      <c r="AM727"/>
      <c r="AN727"/>
      <c r="AO727"/>
      <c r="AP727"/>
      <c r="AQ727" s="15"/>
      <c r="AR727"/>
      <c r="AS727"/>
      <c r="AT727"/>
      <c r="AU727"/>
      <c r="AV727"/>
      <c r="AW727" s="13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</row>
    <row r="728" spans="1:65" s="6" customFormat="1" x14ac:dyDescent="0.25">
      <c r="A728"/>
      <c r="B728"/>
      <c r="C728"/>
      <c r="D728"/>
      <c r="E728"/>
      <c r="F728"/>
      <c r="G728"/>
      <c r="H728" s="13"/>
      <c r="I728" s="13"/>
      <c r="J728"/>
      <c r="K728"/>
      <c r="L728"/>
      <c r="M728"/>
      <c r="N728"/>
      <c r="O728"/>
      <c r="P728"/>
      <c r="Q728"/>
      <c r="R728"/>
      <c r="S728"/>
      <c r="T728"/>
      <c r="U728"/>
      <c r="V728" s="14"/>
      <c r="W728"/>
      <c r="X728"/>
      <c r="Y728"/>
      <c r="Z728"/>
      <c r="AA728"/>
      <c r="AB728"/>
      <c r="AC728"/>
      <c r="AD728"/>
      <c r="AE728"/>
      <c r="AF728"/>
      <c r="AG728" s="15"/>
      <c r="AH728" s="15"/>
      <c r="AI728" s="15"/>
      <c r="AJ728"/>
      <c r="AK728"/>
      <c r="AL728"/>
      <c r="AM728"/>
      <c r="AN728"/>
      <c r="AO728"/>
      <c r="AP728"/>
      <c r="AQ728" s="15"/>
      <c r="AR728"/>
      <c r="AS728"/>
      <c r="AT728"/>
      <c r="AU728"/>
      <c r="AV728"/>
      <c r="AW728" s="13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</row>
    <row r="729" spans="1:65" s="6" customFormat="1" x14ac:dyDescent="0.25">
      <c r="F729" s="21"/>
      <c r="G729" s="10"/>
      <c r="H729" s="7"/>
      <c r="I729" s="13"/>
      <c r="AF729" s="25"/>
      <c r="AG729" s="7"/>
      <c r="AH729" s="7"/>
      <c r="AI729" s="7"/>
      <c r="AO729" s="26"/>
      <c r="AP729" s="11"/>
      <c r="AQ729" s="7"/>
      <c r="AR729"/>
      <c r="AS729" s="11"/>
      <c r="AW729" s="7"/>
      <c r="BB729" s="24"/>
      <c r="BC729"/>
      <c r="BG729"/>
    </row>
    <row r="730" spans="1:65" s="6" customFormat="1" x14ac:dyDescent="0.25">
      <c r="A730"/>
      <c r="B730"/>
      <c r="C730"/>
      <c r="D730"/>
      <c r="E730"/>
      <c r="F730"/>
      <c r="G730"/>
      <c r="H730" s="13"/>
      <c r="I730" s="7"/>
      <c r="J730"/>
      <c r="K730"/>
      <c r="L730"/>
      <c r="M730"/>
      <c r="N730"/>
      <c r="O730"/>
      <c r="P730"/>
      <c r="Q730"/>
      <c r="R730"/>
      <c r="S730"/>
      <c r="T730"/>
      <c r="U730"/>
      <c r="V730" s="14"/>
      <c r="W730"/>
      <c r="X730"/>
      <c r="Y730"/>
      <c r="Z730"/>
      <c r="AA730"/>
      <c r="AB730"/>
      <c r="AC730"/>
      <c r="AD730"/>
      <c r="AE730"/>
      <c r="AF730"/>
      <c r="AG730" s="15"/>
      <c r="AH730" s="7"/>
      <c r="AI730" s="15"/>
      <c r="AJ730"/>
      <c r="AK730"/>
      <c r="AL730"/>
      <c r="AM730"/>
      <c r="AN730"/>
      <c r="AO730"/>
      <c r="AP730"/>
      <c r="AQ730" s="15"/>
      <c r="AR730"/>
      <c r="AS730"/>
      <c r="AT730"/>
      <c r="AU730"/>
      <c r="AW730" s="7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</row>
    <row r="731" spans="1:65" s="6" customFormat="1" x14ac:dyDescent="0.25">
      <c r="F731" s="21"/>
      <c r="G731" s="10"/>
      <c r="H731" s="7"/>
      <c r="I731" s="13"/>
      <c r="AF731" s="25"/>
      <c r="AG731" s="7"/>
      <c r="AH731" s="7"/>
      <c r="AI731" s="7"/>
      <c r="AO731" s="26"/>
      <c r="AP731" s="11"/>
      <c r="AQ731" s="7"/>
      <c r="AR731"/>
      <c r="AS731" s="11"/>
      <c r="AV731"/>
      <c r="AW731" s="7"/>
      <c r="BB731" s="24"/>
      <c r="BC731"/>
      <c r="BG731"/>
    </row>
    <row r="732" spans="1:65" s="6" customFormat="1" x14ac:dyDescent="0.25">
      <c r="A732"/>
      <c r="B732"/>
      <c r="C732"/>
      <c r="D732"/>
      <c r="E732"/>
      <c r="F732"/>
      <c r="G732"/>
      <c r="H732" s="13"/>
      <c r="I732" s="13"/>
      <c r="J732"/>
      <c r="K732"/>
      <c r="L732"/>
      <c r="M732"/>
      <c r="N732"/>
      <c r="O732"/>
      <c r="P732"/>
      <c r="Q732"/>
      <c r="R732"/>
      <c r="S732"/>
      <c r="T732"/>
      <c r="U732"/>
      <c r="V732" s="14"/>
      <c r="W732"/>
      <c r="X732"/>
      <c r="Y732"/>
      <c r="Z732"/>
      <c r="AA732"/>
      <c r="AB732"/>
      <c r="AC732"/>
      <c r="AD732"/>
      <c r="AE732"/>
      <c r="AF732"/>
      <c r="AG732" s="15"/>
      <c r="AH732" s="15"/>
      <c r="AI732" s="15"/>
      <c r="AJ732"/>
      <c r="AK732"/>
      <c r="AL732"/>
      <c r="AM732"/>
      <c r="AN732"/>
      <c r="AO732"/>
      <c r="AP732"/>
      <c r="AQ732" s="15"/>
      <c r="AR732"/>
      <c r="AS732"/>
      <c r="AT732"/>
      <c r="AU732"/>
      <c r="AW732" s="13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</row>
    <row r="733" spans="1:65" s="6" customFormat="1" x14ac:dyDescent="0.25">
      <c r="A733"/>
      <c r="B733"/>
      <c r="C733"/>
      <c r="D733"/>
      <c r="E733"/>
      <c r="F733"/>
      <c r="G733"/>
      <c r="H733" s="13"/>
      <c r="I733" s="7"/>
      <c r="J733"/>
      <c r="K733"/>
      <c r="L733"/>
      <c r="M733"/>
      <c r="N733"/>
      <c r="O733"/>
      <c r="P733"/>
      <c r="Q733"/>
      <c r="R733"/>
      <c r="S733"/>
      <c r="T733"/>
      <c r="U733"/>
      <c r="V733" s="14"/>
      <c r="W733"/>
      <c r="X733"/>
      <c r="Y733"/>
      <c r="Z733"/>
      <c r="AA733"/>
      <c r="AB733"/>
      <c r="AC733"/>
      <c r="AD733"/>
      <c r="AE733"/>
      <c r="AF733"/>
      <c r="AG733" s="15"/>
      <c r="AH733" s="7"/>
      <c r="AI733" s="15"/>
      <c r="AJ733"/>
      <c r="AK733"/>
      <c r="AL733"/>
      <c r="AM733"/>
      <c r="AN733"/>
      <c r="AO733"/>
      <c r="AP733"/>
      <c r="AQ733" s="15"/>
      <c r="AR733"/>
      <c r="AS733"/>
      <c r="AT733"/>
      <c r="AU733"/>
      <c r="AW733" s="1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</row>
    <row r="734" spans="1:65" s="6" customFormat="1" x14ac:dyDescent="0.25">
      <c r="F734" s="21"/>
      <c r="G734" s="10"/>
      <c r="H734" s="7"/>
      <c r="I734" s="13"/>
      <c r="AF734" s="25"/>
      <c r="AG734" s="7"/>
      <c r="AH734" s="7"/>
      <c r="AI734" s="7"/>
      <c r="AO734" s="26"/>
      <c r="AP734" s="11"/>
      <c r="AQ734" s="7"/>
      <c r="AR734"/>
      <c r="AS734" s="11"/>
      <c r="AV734"/>
      <c r="AW734" s="7"/>
      <c r="BB734" s="24"/>
      <c r="BC734"/>
      <c r="BG734"/>
    </row>
    <row r="735" spans="1:65" s="6" customFormat="1" x14ac:dyDescent="0.25">
      <c r="F735" s="21"/>
      <c r="G735" s="10"/>
      <c r="H735" s="7"/>
      <c r="I735" s="13"/>
      <c r="AF735" s="25"/>
      <c r="AG735" s="7"/>
      <c r="AH735" s="7"/>
      <c r="AI735" s="7"/>
      <c r="AO735" s="26"/>
      <c r="AP735" s="11"/>
      <c r="AQ735" s="7"/>
      <c r="AR735"/>
      <c r="AS735" s="11"/>
      <c r="AW735" s="7"/>
      <c r="BB735" s="24"/>
      <c r="BC735"/>
      <c r="BG735"/>
    </row>
    <row r="736" spans="1:65" s="6" customFormat="1" x14ac:dyDescent="0.25">
      <c r="A736"/>
      <c r="B736"/>
      <c r="C736"/>
      <c r="D736"/>
      <c r="E736"/>
      <c r="F736"/>
      <c r="G736"/>
      <c r="H736" s="13"/>
      <c r="I736" s="13"/>
      <c r="J736"/>
      <c r="K736"/>
      <c r="L736"/>
      <c r="M736"/>
      <c r="N736"/>
      <c r="O736"/>
      <c r="P736"/>
      <c r="Q736"/>
      <c r="R736"/>
      <c r="S736"/>
      <c r="T736"/>
      <c r="U736"/>
      <c r="V736" s="14"/>
      <c r="W736"/>
      <c r="X736"/>
      <c r="Y736"/>
      <c r="Z736"/>
      <c r="AA736"/>
      <c r="AB736"/>
      <c r="AC736"/>
      <c r="AD736"/>
      <c r="AE736"/>
      <c r="AF736"/>
      <c r="AG736" s="15"/>
      <c r="AH736" s="15"/>
      <c r="AI736" s="15"/>
      <c r="AJ736"/>
      <c r="AK736"/>
      <c r="AL736"/>
      <c r="AM736"/>
      <c r="AN736"/>
      <c r="AO736"/>
      <c r="AP736"/>
      <c r="AQ736" s="15"/>
      <c r="AR736"/>
      <c r="AS736"/>
      <c r="AT736"/>
      <c r="AU736"/>
      <c r="AV736"/>
      <c r="AW736" s="13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</row>
    <row r="737" spans="1:65" s="6" customFormat="1" x14ac:dyDescent="0.25">
      <c r="A737"/>
      <c r="B737"/>
      <c r="C737"/>
      <c r="D737"/>
      <c r="E737"/>
      <c r="F737"/>
      <c r="G737"/>
      <c r="H737" s="13"/>
      <c r="I737" s="13"/>
      <c r="J737"/>
      <c r="K737"/>
      <c r="L737"/>
      <c r="M737"/>
      <c r="N737"/>
      <c r="O737"/>
      <c r="P737"/>
      <c r="Q737"/>
      <c r="R737"/>
      <c r="S737"/>
      <c r="T737"/>
      <c r="U737"/>
      <c r="V737" s="14"/>
      <c r="W737"/>
      <c r="X737"/>
      <c r="Y737"/>
      <c r="Z737"/>
      <c r="AA737"/>
      <c r="AB737"/>
      <c r="AC737"/>
      <c r="AD737"/>
      <c r="AE737"/>
      <c r="AF737"/>
      <c r="AG737" s="15"/>
      <c r="AH737" s="15"/>
      <c r="AI737" s="15"/>
      <c r="AJ737"/>
      <c r="AK737"/>
      <c r="AL737"/>
      <c r="AM737"/>
      <c r="AN737"/>
      <c r="AO737"/>
      <c r="AP737"/>
      <c r="AQ737" s="15"/>
      <c r="AR737"/>
      <c r="AS737"/>
      <c r="AT737"/>
      <c r="AU737"/>
      <c r="AV737"/>
      <c r="AW737" s="13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</row>
    <row r="738" spans="1:65" s="6" customFormat="1" x14ac:dyDescent="0.25">
      <c r="F738" s="21"/>
      <c r="G738" s="10"/>
      <c r="H738" s="7"/>
      <c r="I738" s="13"/>
      <c r="AF738" s="25"/>
      <c r="AG738" s="7"/>
      <c r="AH738" s="7"/>
      <c r="AI738" s="7"/>
      <c r="AO738" s="26"/>
      <c r="AP738" s="11"/>
      <c r="AQ738" s="7"/>
      <c r="AR738"/>
      <c r="AS738" s="11"/>
      <c r="AW738" s="7"/>
      <c r="BB738" s="24"/>
      <c r="BC738"/>
      <c r="BG738"/>
    </row>
    <row r="739" spans="1:65" s="6" customFormat="1" x14ac:dyDescent="0.25">
      <c r="A739"/>
      <c r="B739"/>
      <c r="C739"/>
      <c r="D739"/>
      <c r="E739"/>
      <c r="F739"/>
      <c r="G739"/>
      <c r="H739" s="13"/>
      <c r="I739" s="7"/>
      <c r="J739"/>
      <c r="K739"/>
      <c r="L739"/>
      <c r="M739"/>
      <c r="N739"/>
      <c r="O739"/>
      <c r="P739"/>
      <c r="Q739"/>
      <c r="R739"/>
      <c r="S739"/>
      <c r="T739"/>
      <c r="U739"/>
      <c r="V739" s="14"/>
      <c r="W739"/>
      <c r="X739"/>
      <c r="Y739"/>
      <c r="Z739"/>
      <c r="AA739"/>
      <c r="AB739"/>
      <c r="AC739"/>
      <c r="AD739"/>
      <c r="AE739"/>
      <c r="AF739"/>
      <c r="AG739" s="15"/>
      <c r="AH739" s="7"/>
      <c r="AI739" s="15"/>
      <c r="AJ739"/>
      <c r="AK739"/>
      <c r="AL739"/>
      <c r="AM739"/>
      <c r="AN739"/>
      <c r="AO739"/>
      <c r="AP739"/>
      <c r="AQ739" s="15"/>
      <c r="AR739"/>
      <c r="AS739"/>
      <c r="AT739"/>
      <c r="AU739"/>
      <c r="AW739" s="7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</row>
    <row r="740" spans="1:65" s="6" customFormat="1" x14ac:dyDescent="0.25">
      <c r="F740" s="21"/>
      <c r="G740" s="10"/>
      <c r="H740" s="7"/>
      <c r="I740" s="13"/>
      <c r="AF740" s="25"/>
      <c r="AG740" s="7"/>
      <c r="AH740" s="7"/>
      <c r="AI740" s="7"/>
      <c r="AO740" s="26"/>
      <c r="AP740" s="11"/>
      <c r="AQ740" s="7"/>
      <c r="AR740"/>
      <c r="AS740" s="11"/>
      <c r="AV740"/>
      <c r="AW740" s="7"/>
      <c r="BB740" s="24"/>
      <c r="BC740"/>
      <c r="BG740"/>
    </row>
    <row r="741" spans="1:65" s="6" customFormat="1" x14ac:dyDescent="0.25">
      <c r="A741"/>
      <c r="B741"/>
      <c r="C741"/>
      <c r="D741"/>
      <c r="E741"/>
      <c r="F741"/>
      <c r="G741"/>
      <c r="H741" s="13"/>
      <c r="I741" s="13"/>
      <c r="J741"/>
      <c r="K741"/>
      <c r="L741"/>
      <c r="M741"/>
      <c r="N741"/>
      <c r="O741"/>
      <c r="P741"/>
      <c r="Q741"/>
      <c r="R741"/>
      <c r="S741"/>
      <c r="T741"/>
      <c r="U741"/>
      <c r="V741" s="14"/>
      <c r="W741"/>
      <c r="X741"/>
      <c r="Y741"/>
      <c r="Z741"/>
      <c r="AA741"/>
      <c r="AB741"/>
      <c r="AC741"/>
      <c r="AD741"/>
      <c r="AE741"/>
      <c r="AF741"/>
      <c r="AG741" s="15"/>
      <c r="AH741" s="15"/>
      <c r="AI741" s="15"/>
      <c r="AJ741"/>
      <c r="AK741"/>
      <c r="AL741"/>
      <c r="AM741"/>
      <c r="AN741"/>
      <c r="AO741"/>
      <c r="AP741"/>
      <c r="AQ741" s="15"/>
      <c r="AR741"/>
      <c r="AS741"/>
      <c r="AT741"/>
      <c r="AU741"/>
      <c r="AW741" s="13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</row>
    <row r="742" spans="1:65" s="6" customFormat="1" x14ac:dyDescent="0.25">
      <c r="A742"/>
      <c r="B742"/>
      <c r="C742"/>
      <c r="D742"/>
      <c r="E742"/>
      <c r="F742"/>
      <c r="G742"/>
      <c r="H742" s="13"/>
      <c r="I742" s="7"/>
      <c r="J742"/>
      <c r="K742"/>
      <c r="L742"/>
      <c r="M742"/>
      <c r="N742"/>
      <c r="O742"/>
      <c r="P742"/>
      <c r="Q742"/>
      <c r="R742"/>
      <c r="S742"/>
      <c r="T742"/>
      <c r="U742"/>
      <c r="V742" s="14"/>
      <c r="W742"/>
      <c r="X742"/>
      <c r="Y742"/>
      <c r="Z742"/>
      <c r="AA742"/>
      <c r="AB742"/>
      <c r="AC742"/>
      <c r="AD742"/>
      <c r="AE742"/>
      <c r="AF742"/>
      <c r="AG742" s="15"/>
      <c r="AH742" s="7"/>
      <c r="AI742" s="15"/>
      <c r="AJ742"/>
      <c r="AK742"/>
      <c r="AL742"/>
      <c r="AM742"/>
      <c r="AN742"/>
      <c r="AO742"/>
      <c r="AP742"/>
      <c r="AQ742" s="15"/>
      <c r="AR742"/>
      <c r="AS742"/>
      <c r="AT742"/>
      <c r="AU742"/>
      <c r="AW742" s="13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</row>
    <row r="743" spans="1:65" s="6" customFormat="1" x14ac:dyDescent="0.25">
      <c r="F743" s="21"/>
      <c r="G743" s="10"/>
      <c r="H743" s="7"/>
      <c r="I743" s="13"/>
      <c r="AF743" s="25"/>
      <c r="AG743" s="7"/>
      <c r="AH743" s="7"/>
      <c r="AI743" s="7"/>
      <c r="AO743" s="26"/>
      <c r="AP743" s="11"/>
      <c r="AQ743" s="7"/>
      <c r="AR743"/>
      <c r="AS743" s="11"/>
      <c r="AV743"/>
      <c r="AW743" s="7"/>
      <c r="BB743" s="24"/>
      <c r="BC743"/>
      <c r="BG743"/>
    </row>
    <row r="744" spans="1:65" s="6" customFormat="1" x14ac:dyDescent="0.25">
      <c r="F744" s="21"/>
      <c r="G744" s="10"/>
      <c r="H744" s="7"/>
      <c r="I744" s="13"/>
      <c r="AF744" s="25"/>
      <c r="AG744" s="7"/>
      <c r="AH744" s="7"/>
      <c r="AI744" s="7"/>
      <c r="AO744" s="26"/>
      <c r="AP744" s="11"/>
      <c r="AQ744" s="7"/>
      <c r="AR744"/>
      <c r="AS744" s="11"/>
      <c r="AW744" s="7"/>
      <c r="BB744" s="24"/>
      <c r="BC744"/>
      <c r="BG744"/>
    </row>
    <row r="745" spans="1:65" s="6" customFormat="1" x14ac:dyDescent="0.25">
      <c r="A745"/>
      <c r="B745"/>
      <c r="C745"/>
      <c r="D745"/>
      <c r="E745"/>
      <c r="F745"/>
      <c r="G745"/>
      <c r="H745" s="13"/>
      <c r="I745" s="13"/>
      <c r="J745"/>
      <c r="K745"/>
      <c r="L745"/>
      <c r="M745"/>
      <c r="N745"/>
      <c r="O745"/>
      <c r="P745"/>
      <c r="Q745"/>
      <c r="R745"/>
      <c r="S745"/>
      <c r="T745"/>
      <c r="U745"/>
      <c r="V745" s="14"/>
      <c r="W745"/>
      <c r="X745"/>
      <c r="Y745"/>
      <c r="Z745"/>
      <c r="AA745"/>
      <c r="AB745"/>
      <c r="AC745"/>
      <c r="AD745"/>
      <c r="AE745"/>
      <c r="AF745"/>
      <c r="AG745" s="15"/>
      <c r="AH745" s="15"/>
      <c r="AI745" s="15"/>
      <c r="AJ745"/>
      <c r="AK745"/>
      <c r="AL745"/>
      <c r="AM745"/>
      <c r="AN745"/>
      <c r="AO745"/>
      <c r="AP745"/>
      <c r="AQ745" s="15"/>
      <c r="AR745"/>
      <c r="AS745"/>
      <c r="AT745"/>
      <c r="AU745"/>
      <c r="AV745"/>
      <c r="AW745" s="13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</row>
    <row r="746" spans="1:65" s="6" customFormat="1" x14ac:dyDescent="0.25">
      <c r="A746"/>
      <c r="B746"/>
      <c r="C746"/>
      <c r="D746"/>
      <c r="E746"/>
      <c r="F746"/>
      <c r="G746"/>
      <c r="H746" s="13"/>
      <c r="I746" s="13"/>
      <c r="J746"/>
      <c r="K746"/>
      <c r="L746"/>
      <c r="M746"/>
      <c r="N746"/>
      <c r="O746"/>
      <c r="P746"/>
      <c r="Q746"/>
      <c r="R746"/>
      <c r="S746"/>
      <c r="T746"/>
      <c r="U746"/>
      <c r="V746" s="14"/>
      <c r="W746"/>
      <c r="X746"/>
      <c r="Y746"/>
      <c r="Z746"/>
      <c r="AA746"/>
      <c r="AB746"/>
      <c r="AC746"/>
      <c r="AD746"/>
      <c r="AE746"/>
      <c r="AF746"/>
      <c r="AG746" s="15"/>
      <c r="AH746" s="15"/>
      <c r="AI746" s="15"/>
      <c r="AJ746"/>
      <c r="AK746"/>
      <c r="AL746"/>
      <c r="AM746"/>
      <c r="AN746"/>
      <c r="AO746"/>
      <c r="AP746"/>
      <c r="AQ746" s="15"/>
      <c r="AR746"/>
      <c r="AS746"/>
      <c r="AT746"/>
      <c r="AU746"/>
      <c r="AV746"/>
      <c r="AW746" s="13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</row>
    <row r="747" spans="1:65" s="6" customFormat="1" x14ac:dyDescent="0.25">
      <c r="F747" s="21"/>
      <c r="G747" s="10"/>
      <c r="H747" s="7"/>
      <c r="I747" s="13"/>
      <c r="AF747" s="25"/>
      <c r="AG747" s="7"/>
      <c r="AH747" s="7"/>
      <c r="AI747" s="7"/>
      <c r="AO747" s="26"/>
      <c r="AP747" s="11"/>
      <c r="AQ747" s="7"/>
      <c r="AR747"/>
      <c r="AS747" s="11"/>
      <c r="AW747" s="7"/>
      <c r="BB747" s="24"/>
      <c r="BC747"/>
      <c r="BG747"/>
    </row>
    <row r="748" spans="1:65" s="6" customFormat="1" x14ac:dyDescent="0.25">
      <c r="A748"/>
      <c r="B748"/>
      <c r="C748"/>
      <c r="D748"/>
      <c r="E748"/>
      <c r="F748"/>
      <c r="G748"/>
      <c r="H748" s="13"/>
      <c r="I748" s="7"/>
      <c r="J748"/>
      <c r="K748"/>
      <c r="L748"/>
      <c r="M748"/>
      <c r="N748"/>
      <c r="O748"/>
      <c r="P748"/>
      <c r="Q748"/>
      <c r="R748"/>
      <c r="S748"/>
      <c r="T748"/>
      <c r="U748"/>
      <c r="V748" s="14"/>
      <c r="W748"/>
      <c r="X748"/>
      <c r="Y748"/>
      <c r="Z748"/>
      <c r="AA748"/>
      <c r="AB748"/>
      <c r="AC748"/>
      <c r="AD748"/>
      <c r="AE748"/>
      <c r="AF748"/>
      <c r="AG748" s="15"/>
      <c r="AH748" s="7"/>
      <c r="AI748" s="15"/>
      <c r="AJ748"/>
      <c r="AK748"/>
      <c r="AL748"/>
      <c r="AM748"/>
      <c r="AN748"/>
      <c r="AO748"/>
      <c r="AP748"/>
      <c r="AQ748" s="15"/>
      <c r="AR748"/>
      <c r="AS748"/>
      <c r="AT748"/>
      <c r="AU748"/>
      <c r="AW748" s="7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</row>
    <row r="749" spans="1:65" s="6" customFormat="1" x14ac:dyDescent="0.25">
      <c r="F749" s="21"/>
      <c r="G749" s="10"/>
      <c r="H749" s="7"/>
      <c r="I749" s="13"/>
      <c r="AF749" s="25"/>
      <c r="AG749" s="7"/>
      <c r="AH749" s="7"/>
      <c r="AI749" s="7"/>
      <c r="AO749" s="26"/>
      <c r="AP749" s="11"/>
      <c r="AQ749" s="7"/>
      <c r="AR749"/>
      <c r="AS749" s="11"/>
      <c r="AV749"/>
      <c r="AW749" s="7"/>
      <c r="BB749" s="24"/>
      <c r="BC749"/>
      <c r="BG749"/>
    </row>
    <row r="750" spans="1:65" s="6" customFormat="1" x14ac:dyDescent="0.25">
      <c r="A750"/>
      <c r="B750"/>
      <c r="C750"/>
      <c r="D750"/>
      <c r="E750"/>
      <c r="F750"/>
      <c r="G750"/>
      <c r="H750" s="13"/>
      <c r="I750" s="13"/>
      <c r="J750"/>
      <c r="K750"/>
      <c r="L750"/>
      <c r="M750"/>
      <c r="N750"/>
      <c r="O750"/>
      <c r="P750"/>
      <c r="Q750"/>
      <c r="R750"/>
      <c r="S750"/>
      <c r="T750"/>
      <c r="U750"/>
      <c r="V750" s="14"/>
      <c r="W750"/>
      <c r="X750"/>
      <c r="Y750"/>
      <c r="Z750"/>
      <c r="AA750"/>
      <c r="AB750"/>
      <c r="AC750"/>
      <c r="AD750"/>
      <c r="AE750"/>
      <c r="AF750"/>
      <c r="AG750" s="15"/>
      <c r="AH750" s="15"/>
      <c r="AI750" s="15"/>
      <c r="AJ750"/>
      <c r="AK750"/>
      <c r="AL750"/>
      <c r="AM750"/>
      <c r="AN750"/>
      <c r="AO750"/>
      <c r="AP750"/>
      <c r="AQ750" s="15"/>
      <c r="AR750"/>
      <c r="AS750"/>
      <c r="AT750"/>
      <c r="AU750"/>
      <c r="AW750" s="13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</row>
    <row r="751" spans="1:65" s="6" customFormat="1" x14ac:dyDescent="0.25">
      <c r="A751"/>
      <c r="B751"/>
      <c r="C751"/>
      <c r="D751"/>
      <c r="E751"/>
      <c r="F751"/>
      <c r="G751"/>
      <c r="H751" s="13"/>
      <c r="I751" s="7"/>
      <c r="J751"/>
      <c r="K751"/>
      <c r="L751"/>
      <c r="M751"/>
      <c r="N751"/>
      <c r="O751"/>
      <c r="P751"/>
      <c r="Q751"/>
      <c r="R751"/>
      <c r="S751"/>
      <c r="T751"/>
      <c r="U751"/>
      <c r="V751" s="14"/>
      <c r="W751"/>
      <c r="X751"/>
      <c r="Y751"/>
      <c r="Z751"/>
      <c r="AA751"/>
      <c r="AB751"/>
      <c r="AC751"/>
      <c r="AD751"/>
      <c r="AE751"/>
      <c r="AF751"/>
      <c r="AG751" s="15"/>
      <c r="AH751" s="7"/>
      <c r="AI751" s="15"/>
      <c r="AJ751"/>
      <c r="AK751"/>
      <c r="AL751"/>
      <c r="AM751"/>
      <c r="AN751"/>
      <c r="AO751"/>
      <c r="AP751"/>
      <c r="AQ751" s="15"/>
      <c r="AR751"/>
      <c r="AS751"/>
      <c r="AT751"/>
      <c r="AU751"/>
      <c r="AW751" s="13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</row>
    <row r="752" spans="1:65" s="6" customFormat="1" x14ac:dyDescent="0.25">
      <c r="F752" s="21"/>
      <c r="G752" s="10"/>
      <c r="H752" s="7"/>
      <c r="I752" s="13"/>
      <c r="AF752" s="25"/>
      <c r="AG752" s="7"/>
      <c r="AH752" s="7"/>
      <c r="AI752" s="7"/>
      <c r="AO752" s="26"/>
      <c r="AP752" s="11"/>
      <c r="AQ752" s="7"/>
      <c r="AR752"/>
      <c r="AS752" s="11"/>
      <c r="AV752"/>
      <c r="AW752" s="7"/>
      <c r="BB752" s="24"/>
      <c r="BC752"/>
      <c r="BG752"/>
    </row>
    <row r="753" spans="1:65" s="6" customFormat="1" x14ac:dyDescent="0.25">
      <c r="F753" s="21"/>
      <c r="G753" s="10"/>
      <c r="H753" s="7"/>
      <c r="I753" s="13"/>
      <c r="AF753" s="25"/>
      <c r="AG753" s="7"/>
      <c r="AH753" s="7"/>
      <c r="AI753" s="7"/>
      <c r="AO753" s="26"/>
      <c r="AP753" s="11"/>
      <c r="AQ753" s="7"/>
      <c r="AR753"/>
      <c r="AS753" s="11"/>
      <c r="AW753" s="7"/>
      <c r="BB753" s="24"/>
      <c r="BC753"/>
      <c r="BG753"/>
    </row>
    <row r="754" spans="1:65" s="6" customFormat="1" x14ac:dyDescent="0.25">
      <c r="A754"/>
      <c r="B754"/>
      <c r="C754"/>
      <c r="D754"/>
      <c r="E754"/>
      <c r="F754"/>
      <c r="G754"/>
      <c r="H754" s="13"/>
      <c r="I754" s="13"/>
      <c r="J754"/>
      <c r="K754"/>
      <c r="L754"/>
      <c r="M754"/>
      <c r="N754"/>
      <c r="O754"/>
      <c r="P754"/>
      <c r="Q754"/>
      <c r="R754"/>
      <c r="S754"/>
      <c r="T754"/>
      <c r="U754"/>
      <c r="V754" s="14"/>
      <c r="W754"/>
      <c r="X754"/>
      <c r="Y754"/>
      <c r="Z754"/>
      <c r="AA754"/>
      <c r="AB754"/>
      <c r="AC754"/>
      <c r="AD754"/>
      <c r="AE754"/>
      <c r="AF754"/>
      <c r="AG754" s="15"/>
      <c r="AH754" s="15"/>
      <c r="AI754" s="15"/>
      <c r="AJ754"/>
      <c r="AK754"/>
      <c r="AL754"/>
      <c r="AM754"/>
      <c r="AN754"/>
      <c r="AO754"/>
      <c r="AP754"/>
      <c r="AQ754" s="15"/>
      <c r="AR754"/>
      <c r="AS754"/>
      <c r="AT754"/>
      <c r="AU754"/>
      <c r="AV754"/>
      <c r="AW754" s="13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</row>
    <row r="755" spans="1:65" s="6" customFormat="1" x14ac:dyDescent="0.25">
      <c r="A755"/>
      <c r="B755"/>
      <c r="C755"/>
      <c r="D755"/>
      <c r="E755"/>
      <c r="F755"/>
      <c r="G755"/>
      <c r="H755" s="13"/>
      <c r="I755" s="13"/>
      <c r="J755"/>
      <c r="K755"/>
      <c r="L755"/>
      <c r="M755"/>
      <c r="N755"/>
      <c r="O755"/>
      <c r="P755"/>
      <c r="Q755"/>
      <c r="R755"/>
      <c r="S755"/>
      <c r="T755"/>
      <c r="U755"/>
      <c r="V755" s="14"/>
      <c r="W755"/>
      <c r="X755"/>
      <c r="Y755"/>
      <c r="Z755"/>
      <c r="AA755"/>
      <c r="AB755"/>
      <c r="AC755"/>
      <c r="AD755"/>
      <c r="AE755"/>
      <c r="AF755"/>
      <c r="AG755" s="15"/>
      <c r="AH755" s="15"/>
      <c r="AI755" s="15"/>
      <c r="AJ755"/>
      <c r="AK755"/>
      <c r="AL755"/>
      <c r="AM755"/>
      <c r="AN755"/>
      <c r="AO755"/>
      <c r="AP755"/>
      <c r="AQ755" s="15"/>
      <c r="AR755"/>
      <c r="AS755"/>
      <c r="AT755"/>
      <c r="AU755"/>
      <c r="AV755"/>
      <c r="AW755" s="7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</row>
    <row r="756" spans="1:65" s="6" customFormat="1" x14ac:dyDescent="0.25">
      <c r="F756" s="21"/>
      <c r="G756" s="10"/>
      <c r="H756" s="7"/>
      <c r="I756" s="13"/>
      <c r="AF756" s="25"/>
      <c r="AG756" s="7"/>
      <c r="AH756" s="7"/>
      <c r="AI756" s="7"/>
      <c r="AO756" s="26"/>
      <c r="AP756" s="11"/>
      <c r="AQ756" s="7"/>
      <c r="AR756"/>
      <c r="AS756" s="11"/>
      <c r="AW756" s="7"/>
      <c r="BB756" s="24"/>
      <c r="BC756"/>
      <c r="BG756"/>
    </row>
    <row r="757" spans="1:65" s="6" customFormat="1" x14ac:dyDescent="0.25">
      <c r="A757"/>
      <c r="B757"/>
      <c r="C757"/>
      <c r="D757"/>
      <c r="E757"/>
      <c r="F757"/>
      <c r="G757"/>
      <c r="H757" s="13"/>
      <c r="I757" s="7"/>
      <c r="J757"/>
      <c r="K757"/>
      <c r="L757"/>
      <c r="M757"/>
      <c r="N757"/>
      <c r="O757"/>
      <c r="P757"/>
      <c r="Q757"/>
      <c r="R757"/>
      <c r="S757"/>
      <c r="T757"/>
      <c r="U757"/>
      <c r="V757" s="14"/>
      <c r="W757"/>
      <c r="X757"/>
      <c r="Y757"/>
      <c r="Z757"/>
      <c r="AA757"/>
      <c r="AB757"/>
      <c r="AC757"/>
      <c r="AD757"/>
      <c r="AE757"/>
      <c r="AF757"/>
      <c r="AG757" s="15"/>
      <c r="AH757" s="7"/>
      <c r="AI757" s="15"/>
      <c r="AJ757"/>
      <c r="AK757"/>
      <c r="AL757"/>
      <c r="AM757"/>
      <c r="AN757"/>
      <c r="AO757"/>
      <c r="AP757"/>
      <c r="AQ757" s="15"/>
      <c r="AR757"/>
      <c r="AS757"/>
      <c r="AT757"/>
      <c r="AU757"/>
      <c r="AW757" s="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</row>
    <row r="758" spans="1:65" s="6" customFormat="1" x14ac:dyDescent="0.25">
      <c r="F758" s="21"/>
      <c r="G758" s="10"/>
      <c r="H758" s="7"/>
      <c r="I758" s="13"/>
      <c r="AF758" s="25"/>
      <c r="AG758" s="7"/>
      <c r="AH758" s="7"/>
      <c r="AI758" s="7"/>
      <c r="AO758" s="26"/>
      <c r="AP758" s="11"/>
      <c r="AQ758" s="7"/>
      <c r="AR758"/>
      <c r="AS758" s="11"/>
      <c r="AV758"/>
      <c r="AW758" s="7"/>
      <c r="BB758" s="24"/>
      <c r="BC758"/>
      <c r="BG758"/>
    </row>
    <row r="759" spans="1:65" s="6" customFormat="1" x14ac:dyDescent="0.25">
      <c r="A759"/>
      <c r="B759"/>
      <c r="C759"/>
      <c r="D759"/>
      <c r="E759"/>
      <c r="F759"/>
      <c r="G759"/>
      <c r="H759" s="13"/>
      <c r="I759" s="13"/>
      <c r="J759"/>
      <c r="K759"/>
      <c r="L759"/>
      <c r="M759"/>
      <c r="N759"/>
      <c r="O759"/>
      <c r="P759"/>
      <c r="Q759"/>
      <c r="R759"/>
      <c r="S759"/>
      <c r="T759"/>
      <c r="U759"/>
      <c r="V759" s="14"/>
      <c r="W759"/>
      <c r="X759"/>
      <c r="Y759"/>
      <c r="Z759"/>
      <c r="AA759"/>
      <c r="AB759"/>
      <c r="AC759"/>
      <c r="AD759"/>
      <c r="AE759"/>
      <c r="AF759"/>
      <c r="AG759" s="15"/>
      <c r="AH759" s="15"/>
      <c r="AI759" s="15"/>
      <c r="AJ759"/>
      <c r="AK759"/>
      <c r="AL759"/>
      <c r="AM759"/>
      <c r="AN759"/>
      <c r="AO759"/>
      <c r="AP759"/>
      <c r="AQ759" s="15"/>
      <c r="AR759"/>
      <c r="AS759"/>
      <c r="AT759"/>
      <c r="AU759"/>
      <c r="AW759" s="13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</row>
    <row r="760" spans="1:65" s="6" customFormat="1" x14ac:dyDescent="0.25">
      <c r="A760"/>
      <c r="B760"/>
      <c r="C760"/>
      <c r="D760"/>
      <c r="E760"/>
      <c r="F760"/>
      <c r="G760"/>
      <c r="H760" s="13"/>
      <c r="I760" s="7"/>
      <c r="J760"/>
      <c r="K760"/>
      <c r="L760"/>
      <c r="M760"/>
      <c r="N760"/>
      <c r="O760"/>
      <c r="P760"/>
      <c r="Q760"/>
      <c r="R760"/>
      <c r="S760"/>
      <c r="T760"/>
      <c r="U760"/>
      <c r="V760" s="14"/>
      <c r="W760"/>
      <c r="X760"/>
      <c r="Y760"/>
      <c r="Z760"/>
      <c r="AA760"/>
      <c r="AB760"/>
      <c r="AC760"/>
      <c r="AD760"/>
      <c r="AE760"/>
      <c r="AF760"/>
      <c r="AG760" s="15"/>
      <c r="AH760" s="7"/>
      <c r="AI760" s="15"/>
      <c r="AJ760"/>
      <c r="AK760"/>
      <c r="AL760"/>
      <c r="AM760"/>
      <c r="AN760"/>
      <c r="AO760"/>
      <c r="AP760"/>
      <c r="AQ760" s="15"/>
      <c r="AR760"/>
      <c r="AS760"/>
      <c r="AT760"/>
      <c r="AU760"/>
      <c r="AW760" s="13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</row>
    <row r="761" spans="1:65" s="6" customFormat="1" x14ac:dyDescent="0.25">
      <c r="F761" s="21"/>
      <c r="G761" s="10"/>
      <c r="H761" s="7"/>
      <c r="I761" s="13"/>
      <c r="AF761" s="25"/>
      <c r="AG761" s="7"/>
      <c r="AH761" s="7"/>
      <c r="AI761" s="7"/>
      <c r="AO761" s="26"/>
      <c r="AP761" s="11"/>
      <c r="AQ761" s="7"/>
      <c r="AR761"/>
      <c r="AS761" s="11"/>
      <c r="AV761"/>
      <c r="AW761" s="7"/>
      <c r="BB761" s="24"/>
      <c r="BC761"/>
      <c r="BG761"/>
    </row>
    <row r="762" spans="1:65" s="6" customFormat="1" x14ac:dyDescent="0.25">
      <c r="F762" s="21"/>
      <c r="G762" s="10"/>
      <c r="H762" s="7"/>
      <c r="I762" s="13"/>
      <c r="AF762" s="25"/>
      <c r="AG762" s="7"/>
      <c r="AH762" s="7"/>
      <c r="AI762" s="7"/>
      <c r="AO762" s="26"/>
      <c r="AP762" s="11"/>
      <c r="AQ762" s="7"/>
      <c r="AR762"/>
      <c r="AS762" s="11"/>
      <c r="AW762" s="7"/>
      <c r="BB762" s="24"/>
      <c r="BC762"/>
      <c r="BG762"/>
    </row>
    <row r="763" spans="1:65" s="6" customFormat="1" x14ac:dyDescent="0.25">
      <c r="A763"/>
      <c r="B763"/>
      <c r="C763"/>
      <c r="D763"/>
      <c r="E763"/>
      <c r="F763"/>
      <c r="G763"/>
      <c r="H763" s="13"/>
      <c r="I763" s="13"/>
      <c r="J763"/>
      <c r="K763"/>
      <c r="L763"/>
      <c r="M763"/>
      <c r="N763"/>
      <c r="O763"/>
      <c r="P763"/>
      <c r="Q763"/>
      <c r="R763"/>
      <c r="S763"/>
      <c r="T763"/>
      <c r="U763"/>
      <c r="V763" s="14"/>
      <c r="W763"/>
      <c r="X763"/>
      <c r="Y763"/>
      <c r="Z763"/>
      <c r="AA763"/>
      <c r="AB763"/>
      <c r="AC763"/>
      <c r="AD763"/>
      <c r="AE763"/>
      <c r="AF763"/>
      <c r="AG763" s="15"/>
      <c r="AH763" s="15"/>
      <c r="AI763" s="15"/>
      <c r="AJ763"/>
      <c r="AK763"/>
      <c r="AL763"/>
      <c r="AM763"/>
      <c r="AN763"/>
      <c r="AO763"/>
      <c r="AP763"/>
      <c r="AQ763" s="15"/>
      <c r="AR763"/>
      <c r="AS763"/>
      <c r="AT763"/>
      <c r="AU763"/>
      <c r="AV763"/>
      <c r="AW763" s="1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</row>
    <row r="764" spans="1:65" s="6" customFormat="1" x14ac:dyDescent="0.25">
      <c r="A764"/>
      <c r="B764"/>
      <c r="C764"/>
      <c r="D764"/>
      <c r="E764"/>
      <c r="F764"/>
      <c r="G764"/>
      <c r="H764" s="13"/>
      <c r="I764" s="13"/>
      <c r="J764"/>
      <c r="K764"/>
      <c r="L764"/>
      <c r="M764"/>
      <c r="N764"/>
      <c r="O764"/>
      <c r="P764"/>
      <c r="Q764"/>
      <c r="R764"/>
      <c r="S764"/>
      <c r="T764"/>
      <c r="U764"/>
      <c r="V764" s="14"/>
      <c r="W764"/>
      <c r="X764"/>
      <c r="Y764"/>
      <c r="Z764"/>
      <c r="AA764"/>
      <c r="AB764"/>
      <c r="AC764"/>
      <c r="AD764"/>
      <c r="AE764"/>
      <c r="AF764"/>
      <c r="AG764" s="15"/>
      <c r="AH764" s="15"/>
      <c r="AI764" s="15"/>
      <c r="AJ764"/>
      <c r="AK764"/>
      <c r="AL764"/>
      <c r="AM764"/>
      <c r="AN764"/>
      <c r="AO764"/>
      <c r="AP764"/>
      <c r="AQ764" s="15"/>
      <c r="AR764"/>
      <c r="AS764"/>
      <c r="AT764"/>
      <c r="AU764"/>
      <c r="AV764"/>
      <c r="AW764" s="13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</row>
    <row r="765" spans="1:65" s="6" customFormat="1" x14ac:dyDescent="0.25">
      <c r="F765" s="21"/>
      <c r="G765" s="10"/>
      <c r="H765" s="7"/>
      <c r="I765" s="13"/>
      <c r="AF765" s="25"/>
      <c r="AG765" s="7"/>
      <c r="AH765" s="7"/>
      <c r="AI765" s="7"/>
      <c r="AO765" s="26"/>
      <c r="AP765" s="11"/>
      <c r="AQ765" s="7"/>
      <c r="AR765"/>
      <c r="AS765" s="11"/>
      <c r="AW765" s="7"/>
      <c r="BB765" s="24"/>
      <c r="BC765"/>
      <c r="BG765"/>
    </row>
    <row r="766" spans="1:65" s="6" customFormat="1" x14ac:dyDescent="0.25">
      <c r="A766"/>
      <c r="B766"/>
      <c r="C766"/>
      <c r="D766"/>
      <c r="E766"/>
      <c r="F766"/>
      <c r="G766"/>
      <c r="H766" s="13"/>
      <c r="I766" s="7"/>
      <c r="J766"/>
      <c r="K766"/>
      <c r="L766"/>
      <c r="M766"/>
      <c r="N766"/>
      <c r="O766"/>
      <c r="P766"/>
      <c r="Q766"/>
      <c r="R766"/>
      <c r="S766"/>
      <c r="T766"/>
      <c r="U766"/>
      <c r="V766" s="14"/>
      <c r="W766"/>
      <c r="X766"/>
      <c r="Y766"/>
      <c r="Z766"/>
      <c r="AA766"/>
      <c r="AB766"/>
      <c r="AC766"/>
      <c r="AD766"/>
      <c r="AE766"/>
      <c r="AF766"/>
      <c r="AG766" s="15"/>
      <c r="AH766" s="7"/>
      <c r="AI766" s="15"/>
      <c r="AJ766"/>
      <c r="AK766"/>
      <c r="AL766"/>
      <c r="AM766"/>
      <c r="AN766"/>
      <c r="AO766"/>
      <c r="AP766"/>
      <c r="AQ766" s="15"/>
      <c r="AR766"/>
      <c r="AS766"/>
      <c r="AT766"/>
      <c r="AU766"/>
      <c r="AW766" s="13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</row>
    <row r="767" spans="1:65" s="6" customFormat="1" x14ac:dyDescent="0.25">
      <c r="F767" s="21"/>
      <c r="G767" s="10"/>
      <c r="H767" s="7"/>
      <c r="I767" s="13"/>
      <c r="AF767" s="25"/>
      <c r="AG767" s="7"/>
      <c r="AH767" s="7"/>
      <c r="AI767" s="7"/>
      <c r="AO767" s="26"/>
      <c r="AP767" s="11"/>
      <c r="AQ767" s="7"/>
      <c r="AR767"/>
      <c r="AS767" s="11"/>
      <c r="AV767"/>
      <c r="AW767" s="7"/>
      <c r="BB767" s="24"/>
      <c r="BC767"/>
      <c r="BG767"/>
    </row>
    <row r="768" spans="1:65" s="6" customFormat="1" x14ac:dyDescent="0.25">
      <c r="A768"/>
      <c r="B768"/>
      <c r="C768"/>
      <c r="D768"/>
      <c r="E768"/>
      <c r="F768"/>
      <c r="G768"/>
      <c r="H768" s="13"/>
      <c r="I768" s="13"/>
      <c r="J768"/>
      <c r="K768"/>
      <c r="L768"/>
      <c r="M768"/>
      <c r="N768"/>
      <c r="O768"/>
      <c r="P768"/>
      <c r="Q768"/>
      <c r="R768"/>
      <c r="S768"/>
      <c r="T768"/>
      <c r="U768"/>
      <c r="V768" s="14"/>
      <c r="W768"/>
      <c r="X768"/>
      <c r="Y768"/>
      <c r="Z768"/>
      <c r="AA768"/>
      <c r="AB768"/>
      <c r="AC768"/>
      <c r="AD768"/>
      <c r="AE768"/>
      <c r="AF768"/>
      <c r="AG768" s="15"/>
      <c r="AH768" s="15"/>
      <c r="AI768" s="15"/>
      <c r="AJ768"/>
      <c r="AK768"/>
      <c r="AL768"/>
      <c r="AM768"/>
      <c r="AN768"/>
      <c r="AO768"/>
      <c r="AP768"/>
      <c r="AQ768" s="15"/>
      <c r="AR768"/>
      <c r="AS768"/>
      <c r="AT768"/>
      <c r="AU768"/>
      <c r="AW768" s="13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</row>
    <row r="769" spans="1:65" s="6" customFormat="1" x14ac:dyDescent="0.25">
      <c r="A769"/>
      <c r="B769"/>
      <c r="C769"/>
      <c r="D769"/>
      <c r="E769"/>
      <c r="F769"/>
      <c r="G769"/>
      <c r="H769" s="13"/>
      <c r="I769" s="7"/>
      <c r="J769"/>
      <c r="K769"/>
      <c r="L769"/>
      <c r="M769"/>
      <c r="N769"/>
      <c r="O769"/>
      <c r="P769"/>
      <c r="Q769"/>
      <c r="R769"/>
      <c r="S769"/>
      <c r="T769"/>
      <c r="U769"/>
      <c r="V769" s="14"/>
      <c r="W769"/>
      <c r="X769"/>
      <c r="Y769"/>
      <c r="Z769"/>
      <c r="AA769"/>
      <c r="AB769"/>
      <c r="AC769"/>
      <c r="AD769"/>
      <c r="AE769"/>
      <c r="AF769"/>
      <c r="AG769" s="15"/>
      <c r="AH769" s="7"/>
      <c r="AI769" s="15"/>
      <c r="AJ769"/>
      <c r="AK769"/>
      <c r="AL769"/>
      <c r="AM769"/>
      <c r="AN769"/>
      <c r="AO769"/>
      <c r="AP769"/>
      <c r="AQ769" s="15"/>
      <c r="AR769"/>
      <c r="AS769"/>
      <c r="AT769"/>
      <c r="AU769"/>
      <c r="AW769" s="13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</row>
    <row r="770" spans="1:65" s="6" customFormat="1" x14ac:dyDescent="0.25">
      <c r="F770" s="21"/>
      <c r="G770" s="10"/>
      <c r="H770" s="7"/>
      <c r="I770" s="13"/>
      <c r="AF770" s="25"/>
      <c r="AG770" s="7"/>
      <c r="AH770" s="7"/>
      <c r="AI770" s="7"/>
      <c r="AO770" s="26"/>
      <c r="AP770" s="11"/>
      <c r="AQ770" s="7"/>
      <c r="AR770"/>
      <c r="AS770" s="11"/>
      <c r="AV770"/>
      <c r="AW770" s="7"/>
      <c r="BB770" s="24"/>
      <c r="BC770"/>
      <c r="BG770"/>
    </row>
    <row r="771" spans="1:65" s="6" customFormat="1" x14ac:dyDescent="0.25">
      <c r="F771" s="21"/>
      <c r="G771" s="10"/>
      <c r="H771" s="7"/>
      <c r="I771" s="13"/>
      <c r="AF771" s="25"/>
      <c r="AG771" s="7"/>
      <c r="AH771" s="7"/>
      <c r="AI771" s="7"/>
      <c r="AO771" s="26"/>
      <c r="AP771" s="11"/>
      <c r="AQ771" s="7"/>
      <c r="AR771"/>
      <c r="AS771" s="11"/>
      <c r="AW771" s="7"/>
      <c r="BB771" s="24"/>
      <c r="BC771"/>
      <c r="BG771"/>
    </row>
    <row r="772" spans="1:65" s="6" customFormat="1" x14ac:dyDescent="0.25">
      <c r="A772"/>
      <c r="B772"/>
      <c r="C772"/>
      <c r="D772"/>
      <c r="E772"/>
      <c r="F772"/>
      <c r="G772"/>
      <c r="H772" s="13"/>
      <c r="I772" s="13"/>
      <c r="J772"/>
      <c r="K772"/>
      <c r="L772"/>
      <c r="M772"/>
      <c r="N772"/>
      <c r="O772"/>
      <c r="P772"/>
      <c r="Q772"/>
      <c r="R772"/>
      <c r="S772"/>
      <c r="T772"/>
      <c r="U772"/>
      <c r="V772" s="14"/>
      <c r="W772"/>
      <c r="X772"/>
      <c r="Y772"/>
      <c r="Z772"/>
      <c r="AA772"/>
      <c r="AB772"/>
      <c r="AC772"/>
      <c r="AD772"/>
      <c r="AE772"/>
      <c r="AF772"/>
      <c r="AG772" s="15"/>
      <c r="AH772" s="15"/>
      <c r="AI772" s="15"/>
      <c r="AJ772"/>
      <c r="AK772"/>
      <c r="AL772"/>
      <c r="AM772"/>
      <c r="AN772"/>
      <c r="AO772"/>
      <c r="AP772"/>
      <c r="AQ772" s="15"/>
      <c r="AR772"/>
      <c r="AS772"/>
      <c r="AT772"/>
      <c r="AU772"/>
      <c r="AV772"/>
      <c r="AW772" s="13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</row>
    <row r="773" spans="1:65" s="6" customFormat="1" x14ac:dyDescent="0.25">
      <c r="A773"/>
      <c r="B773"/>
      <c r="C773"/>
      <c r="D773"/>
      <c r="E773"/>
      <c r="F773"/>
      <c r="G773"/>
      <c r="H773" s="13"/>
      <c r="I773" s="13"/>
      <c r="J773"/>
      <c r="K773"/>
      <c r="L773"/>
      <c r="M773"/>
      <c r="N773"/>
      <c r="O773"/>
      <c r="P773"/>
      <c r="Q773"/>
      <c r="R773"/>
      <c r="S773"/>
      <c r="T773"/>
      <c r="U773"/>
      <c r="V773" s="14"/>
      <c r="W773"/>
      <c r="X773"/>
      <c r="Y773"/>
      <c r="Z773"/>
      <c r="AA773"/>
      <c r="AB773"/>
      <c r="AC773"/>
      <c r="AD773"/>
      <c r="AE773"/>
      <c r="AF773"/>
      <c r="AG773" s="15"/>
      <c r="AH773" s="15"/>
      <c r="AI773" s="15"/>
      <c r="AJ773"/>
      <c r="AK773"/>
      <c r="AL773"/>
      <c r="AM773"/>
      <c r="AN773"/>
      <c r="AO773"/>
      <c r="AP773"/>
      <c r="AQ773" s="15"/>
      <c r="AR773"/>
      <c r="AS773"/>
      <c r="AT773"/>
      <c r="AU773"/>
      <c r="AV773"/>
      <c r="AW773" s="1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</row>
    <row r="774" spans="1:65" s="6" customFormat="1" x14ac:dyDescent="0.25">
      <c r="F774" s="21"/>
      <c r="G774" s="10"/>
      <c r="H774" s="7"/>
      <c r="I774" s="13"/>
      <c r="AF774" s="25"/>
      <c r="AG774" s="7"/>
      <c r="AH774" s="7"/>
      <c r="AI774" s="7"/>
      <c r="AO774" s="26"/>
      <c r="AP774" s="11"/>
      <c r="AQ774" s="7"/>
      <c r="AR774"/>
      <c r="AS774" s="11"/>
      <c r="AW774" s="7"/>
      <c r="BB774" s="24"/>
      <c r="BC774"/>
      <c r="BG774"/>
    </row>
    <row r="775" spans="1:65" s="6" customFormat="1" x14ac:dyDescent="0.25">
      <c r="A775"/>
      <c r="B775"/>
      <c r="C775"/>
      <c r="D775"/>
      <c r="E775"/>
      <c r="F775"/>
      <c r="G775"/>
      <c r="H775" s="13"/>
      <c r="I775" s="7"/>
      <c r="J775"/>
      <c r="K775"/>
      <c r="L775"/>
      <c r="M775"/>
      <c r="N775"/>
      <c r="O775"/>
      <c r="P775"/>
      <c r="Q775"/>
      <c r="R775"/>
      <c r="S775"/>
      <c r="T775"/>
      <c r="U775"/>
      <c r="V775" s="14"/>
      <c r="W775"/>
      <c r="X775"/>
      <c r="Y775"/>
      <c r="Z775"/>
      <c r="AA775"/>
      <c r="AB775"/>
      <c r="AC775"/>
      <c r="AD775"/>
      <c r="AE775"/>
      <c r="AF775"/>
      <c r="AG775" s="15"/>
      <c r="AH775" s="7"/>
      <c r="AI775" s="15"/>
      <c r="AJ775"/>
      <c r="AK775"/>
      <c r="AL775"/>
      <c r="AM775"/>
      <c r="AN775"/>
      <c r="AO775"/>
      <c r="AP775"/>
      <c r="AQ775" s="15"/>
      <c r="AR775"/>
      <c r="AS775"/>
      <c r="AT775"/>
      <c r="AU775"/>
      <c r="AW775" s="13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</row>
    <row r="776" spans="1:65" s="6" customFormat="1" x14ac:dyDescent="0.25">
      <c r="F776" s="21"/>
      <c r="G776" s="10"/>
      <c r="H776" s="7"/>
      <c r="I776" s="13"/>
      <c r="AF776" s="25"/>
      <c r="AG776" s="7"/>
      <c r="AH776" s="7"/>
      <c r="AI776" s="7"/>
      <c r="AO776" s="26"/>
      <c r="AP776" s="11"/>
      <c r="AQ776" s="7"/>
      <c r="AR776"/>
      <c r="AS776" s="11"/>
      <c r="AV776"/>
      <c r="AW776" s="7"/>
      <c r="BB776" s="24"/>
      <c r="BC776"/>
      <c r="BG776"/>
    </row>
    <row r="777" spans="1:65" s="6" customFormat="1" x14ac:dyDescent="0.25">
      <c r="A777"/>
      <c r="B777"/>
      <c r="C777"/>
      <c r="D777"/>
      <c r="E777"/>
      <c r="F777"/>
      <c r="G777"/>
      <c r="H777" s="13"/>
      <c r="I777" s="13"/>
      <c r="J777"/>
      <c r="K777"/>
      <c r="L777"/>
      <c r="M777"/>
      <c r="N777"/>
      <c r="O777"/>
      <c r="P777"/>
      <c r="Q777"/>
      <c r="R777"/>
      <c r="S777"/>
      <c r="T777"/>
      <c r="U777"/>
      <c r="V777" s="14"/>
      <c r="W777"/>
      <c r="X777"/>
      <c r="Y777"/>
      <c r="Z777"/>
      <c r="AA777"/>
      <c r="AB777"/>
      <c r="AC777"/>
      <c r="AD777"/>
      <c r="AE777"/>
      <c r="AF777"/>
      <c r="AG777" s="15"/>
      <c r="AH777" s="15"/>
      <c r="AI777" s="15"/>
      <c r="AJ777"/>
      <c r="AK777"/>
      <c r="AL777"/>
      <c r="AM777"/>
      <c r="AN777"/>
      <c r="AO777"/>
      <c r="AP777"/>
      <c r="AQ777" s="15"/>
      <c r="AR777"/>
      <c r="AS777"/>
      <c r="AT777"/>
      <c r="AU777"/>
      <c r="AW777" s="13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</row>
    <row r="778" spans="1:65" s="6" customFormat="1" x14ac:dyDescent="0.25">
      <c r="A778"/>
      <c r="B778"/>
      <c r="C778"/>
      <c r="D778"/>
      <c r="E778"/>
      <c r="F778"/>
      <c r="G778"/>
      <c r="H778" s="13"/>
      <c r="I778" s="7"/>
      <c r="J778"/>
      <c r="K778"/>
      <c r="L778"/>
      <c r="M778"/>
      <c r="N778"/>
      <c r="O778"/>
      <c r="P778"/>
      <c r="Q778"/>
      <c r="R778"/>
      <c r="S778"/>
      <c r="T778"/>
      <c r="U778"/>
      <c r="V778" s="14"/>
      <c r="W778"/>
      <c r="X778"/>
      <c r="Y778"/>
      <c r="Z778"/>
      <c r="AA778"/>
      <c r="AB778"/>
      <c r="AC778"/>
      <c r="AD778"/>
      <c r="AE778"/>
      <c r="AF778"/>
      <c r="AG778" s="15"/>
      <c r="AH778" s="7"/>
      <c r="AI778" s="15"/>
      <c r="AJ778"/>
      <c r="AK778"/>
      <c r="AL778"/>
      <c r="AM778"/>
      <c r="AN778"/>
      <c r="AO778"/>
      <c r="AP778"/>
      <c r="AQ778" s="15"/>
      <c r="AR778"/>
      <c r="AS778"/>
      <c r="AT778"/>
      <c r="AU778"/>
      <c r="AW778" s="13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</row>
    <row r="779" spans="1:65" s="6" customFormat="1" x14ac:dyDescent="0.25">
      <c r="F779" s="21"/>
      <c r="G779" s="10"/>
      <c r="H779" s="7"/>
      <c r="I779" s="13"/>
      <c r="AF779" s="25"/>
      <c r="AG779" s="7"/>
      <c r="AH779" s="7"/>
      <c r="AI779" s="7"/>
      <c r="AO779" s="26"/>
      <c r="AP779" s="11"/>
      <c r="AQ779" s="7"/>
      <c r="AR779"/>
      <c r="AS779" s="11"/>
      <c r="AV779"/>
      <c r="AW779" s="7"/>
      <c r="BB779" s="24"/>
      <c r="BC779"/>
      <c r="BG779"/>
    </row>
    <row r="780" spans="1:65" s="6" customFormat="1" x14ac:dyDescent="0.25">
      <c r="F780" s="21"/>
      <c r="G780" s="10"/>
      <c r="H780" s="7"/>
      <c r="I780" s="13"/>
      <c r="AF780" s="25"/>
      <c r="AG780" s="7"/>
      <c r="AH780" s="7"/>
      <c r="AI780" s="7"/>
      <c r="AO780" s="26"/>
      <c r="AP780" s="11"/>
      <c r="AQ780" s="7"/>
      <c r="AR780"/>
      <c r="AS780" s="11"/>
      <c r="AW780" s="7"/>
      <c r="BB780" s="24"/>
      <c r="BC780"/>
      <c r="BG780"/>
    </row>
    <row r="781" spans="1:65" s="6" customFormat="1" x14ac:dyDescent="0.25">
      <c r="A781"/>
      <c r="B781"/>
      <c r="C781"/>
      <c r="D781"/>
      <c r="E781"/>
      <c r="F781"/>
      <c r="G781"/>
      <c r="H781" s="13"/>
      <c r="I781" s="13"/>
      <c r="J781"/>
      <c r="K781"/>
      <c r="L781"/>
      <c r="M781"/>
      <c r="N781"/>
      <c r="O781"/>
      <c r="P781"/>
      <c r="Q781"/>
      <c r="R781"/>
      <c r="S781"/>
      <c r="T781"/>
      <c r="U781"/>
      <c r="V781" s="14"/>
      <c r="W781"/>
      <c r="X781"/>
      <c r="Y781"/>
      <c r="Z781"/>
      <c r="AA781"/>
      <c r="AB781"/>
      <c r="AC781"/>
      <c r="AD781"/>
      <c r="AE781"/>
      <c r="AF781"/>
      <c r="AG781" s="15"/>
      <c r="AH781" s="15"/>
      <c r="AI781" s="15"/>
      <c r="AJ781"/>
      <c r="AK781"/>
      <c r="AL781"/>
      <c r="AM781"/>
      <c r="AN781"/>
      <c r="AO781"/>
      <c r="AP781"/>
      <c r="AQ781" s="15"/>
      <c r="AR781"/>
      <c r="AS781"/>
      <c r="AT781"/>
      <c r="AU781"/>
      <c r="AV781"/>
      <c r="AW781" s="13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</row>
    <row r="782" spans="1:65" s="6" customFormat="1" x14ac:dyDescent="0.25">
      <c r="A782"/>
      <c r="B782"/>
      <c r="C782"/>
      <c r="D782"/>
      <c r="E782"/>
      <c r="F782"/>
      <c r="G782"/>
      <c r="H782" s="13"/>
      <c r="I782" s="13"/>
      <c r="J782"/>
      <c r="K782"/>
      <c r="L782"/>
      <c r="M782"/>
      <c r="N782"/>
      <c r="O782"/>
      <c r="P782"/>
      <c r="Q782"/>
      <c r="R782"/>
      <c r="S782"/>
      <c r="T782"/>
      <c r="U782"/>
      <c r="V782" s="14"/>
      <c r="W782"/>
      <c r="X782"/>
      <c r="Y782"/>
      <c r="Z782"/>
      <c r="AA782"/>
      <c r="AB782"/>
      <c r="AC782"/>
      <c r="AD782"/>
      <c r="AE782"/>
      <c r="AF782"/>
      <c r="AG782" s="15"/>
      <c r="AH782" s="15"/>
      <c r="AI782" s="15"/>
      <c r="AJ782"/>
      <c r="AK782"/>
      <c r="AL782"/>
      <c r="AM782"/>
      <c r="AN782"/>
      <c r="AO782"/>
      <c r="AP782"/>
      <c r="AQ782" s="15"/>
      <c r="AR782"/>
      <c r="AS782"/>
      <c r="AT782"/>
      <c r="AU782"/>
      <c r="AV782"/>
      <c r="AW782" s="13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</row>
    <row r="783" spans="1:65" s="6" customFormat="1" x14ac:dyDescent="0.25">
      <c r="F783" s="21"/>
      <c r="G783" s="10"/>
      <c r="H783" s="7"/>
      <c r="I783" s="13"/>
      <c r="AF783" s="25"/>
      <c r="AG783" s="7"/>
      <c r="AH783" s="7"/>
      <c r="AI783" s="7"/>
      <c r="AO783" s="26"/>
      <c r="AP783" s="11"/>
      <c r="AQ783" s="7"/>
      <c r="AR783"/>
      <c r="AS783" s="11"/>
      <c r="AW783" s="7"/>
      <c r="BB783" s="24"/>
      <c r="BC783"/>
      <c r="BG783"/>
    </row>
    <row r="784" spans="1:65" s="6" customFormat="1" x14ac:dyDescent="0.25">
      <c r="A784"/>
      <c r="B784"/>
      <c r="C784"/>
      <c r="D784"/>
      <c r="E784"/>
      <c r="F784"/>
      <c r="G784"/>
      <c r="H784" s="13"/>
      <c r="I784" s="7"/>
      <c r="J784"/>
      <c r="K784"/>
      <c r="L784"/>
      <c r="M784"/>
      <c r="N784"/>
      <c r="O784"/>
      <c r="P784"/>
      <c r="Q784"/>
      <c r="R784"/>
      <c r="S784"/>
      <c r="T784"/>
      <c r="U784"/>
      <c r="V784" s="14"/>
      <c r="W784"/>
      <c r="X784"/>
      <c r="Y784"/>
      <c r="Z784"/>
      <c r="AA784"/>
      <c r="AB784"/>
      <c r="AC784"/>
      <c r="AD784"/>
      <c r="AE784"/>
      <c r="AF784"/>
      <c r="AG784" s="15"/>
      <c r="AH784" s="7"/>
      <c r="AI784" s="15"/>
      <c r="AJ784"/>
      <c r="AK784"/>
      <c r="AL784"/>
      <c r="AM784"/>
      <c r="AN784"/>
      <c r="AO784"/>
      <c r="AP784"/>
      <c r="AQ784" s="15"/>
      <c r="AR784"/>
      <c r="AS784"/>
      <c r="AT784"/>
      <c r="AU784"/>
      <c r="AW784" s="7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</row>
    <row r="785" spans="1:65" s="6" customFormat="1" x14ac:dyDescent="0.25">
      <c r="F785" s="21"/>
      <c r="G785" s="10"/>
      <c r="H785" s="7"/>
      <c r="I785" s="13"/>
      <c r="AF785" s="25"/>
      <c r="AG785" s="7"/>
      <c r="AH785" s="7"/>
      <c r="AI785" s="7"/>
      <c r="AO785" s="26"/>
      <c r="AP785" s="11"/>
      <c r="AQ785" s="7"/>
      <c r="AR785"/>
      <c r="AS785" s="11"/>
      <c r="AV785"/>
      <c r="AW785" s="7"/>
      <c r="BB785" s="24"/>
      <c r="BC785"/>
      <c r="BG785"/>
    </row>
    <row r="786" spans="1:65" s="6" customFormat="1" x14ac:dyDescent="0.25">
      <c r="A786"/>
      <c r="B786"/>
      <c r="C786"/>
      <c r="D786"/>
      <c r="E786"/>
      <c r="F786"/>
      <c r="G786"/>
      <c r="H786" s="13"/>
      <c r="I786" s="13"/>
      <c r="J786"/>
      <c r="K786"/>
      <c r="L786"/>
      <c r="M786"/>
      <c r="N786"/>
      <c r="O786"/>
      <c r="P786"/>
      <c r="Q786"/>
      <c r="R786"/>
      <c r="S786"/>
      <c r="T786"/>
      <c r="U786"/>
      <c r="V786" s="14"/>
      <c r="W786"/>
      <c r="X786"/>
      <c r="Y786"/>
      <c r="Z786"/>
      <c r="AA786"/>
      <c r="AB786"/>
      <c r="AC786"/>
      <c r="AD786"/>
      <c r="AE786"/>
      <c r="AF786"/>
      <c r="AG786" s="15"/>
      <c r="AH786" s="15"/>
      <c r="AI786" s="15"/>
      <c r="AJ786"/>
      <c r="AK786"/>
      <c r="AL786"/>
      <c r="AM786"/>
      <c r="AN786"/>
      <c r="AO786"/>
      <c r="AP786"/>
      <c r="AQ786" s="15"/>
      <c r="AR786"/>
      <c r="AS786"/>
      <c r="AT786"/>
      <c r="AU786"/>
      <c r="AW786" s="13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</row>
    <row r="787" spans="1:65" s="6" customFormat="1" x14ac:dyDescent="0.25">
      <c r="A787"/>
      <c r="B787"/>
      <c r="C787"/>
      <c r="D787"/>
      <c r="E787"/>
      <c r="F787"/>
      <c r="G787"/>
      <c r="H787" s="13"/>
      <c r="I787" s="7"/>
      <c r="J787"/>
      <c r="K787"/>
      <c r="L787"/>
      <c r="M787"/>
      <c r="N787"/>
      <c r="O787"/>
      <c r="P787"/>
      <c r="Q787"/>
      <c r="R787"/>
      <c r="S787"/>
      <c r="T787"/>
      <c r="U787"/>
      <c r="V787" s="14"/>
      <c r="W787"/>
      <c r="X787"/>
      <c r="Y787"/>
      <c r="Z787"/>
      <c r="AA787"/>
      <c r="AB787"/>
      <c r="AC787"/>
      <c r="AD787"/>
      <c r="AE787"/>
      <c r="AF787"/>
      <c r="AG787" s="15"/>
      <c r="AH787" s="7"/>
      <c r="AI787" s="15"/>
      <c r="AJ787"/>
      <c r="AK787"/>
      <c r="AL787"/>
      <c r="AM787"/>
      <c r="AN787"/>
      <c r="AO787"/>
      <c r="AP787"/>
      <c r="AQ787" s="15"/>
      <c r="AR787"/>
      <c r="AS787"/>
      <c r="AT787"/>
      <c r="AU787"/>
      <c r="AW787" s="13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</row>
    <row r="788" spans="1:65" s="6" customFormat="1" x14ac:dyDescent="0.25">
      <c r="F788" s="21"/>
      <c r="G788" s="10"/>
      <c r="H788" s="7"/>
      <c r="I788" s="13"/>
      <c r="AF788" s="25"/>
      <c r="AG788" s="7"/>
      <c r="AH788" s="7"/>
      <c r="AI788" s="7"/>
      <c r="AO788" s="26"/>
      <c r="AP788" s="11"/>
      <c r="AQ788" s="7"/>
      <c r="AR788"/>
      <c r="AS788" s="11"/>
      <c r="AV788"/>
      <c r="AW788" s="7"/>
      <c r="BB788" s="24"/>
      <c r="BC788"/>
      <c r="BG788"/>
    </row>
    <row r="789" spans="1:65" s="6" customFormat="1" x14ac:dyDescent="0.25">
      <c r="H789" s="7"/>
      <c r="I789" s="13"/>
      <c r="AG789" s="7"/>
      <c r="AH789" s="7"/>
      <c r="AI789" s="7"/>
      <c r="AQ789" s="7"/>
      <c r="AR789"/>
      <c r="AW789" s="7"/>
      <c r="BC789"/>
      <c r="BG789"/>
    </row>
    <row r="790" spans="1:65" s="6" customFormat="1" x14ac:dyDescent="0.25">
      <c r="A790"/>
      <c r="B790"/>
      <c r="C790"/>
      <c r="D790"/>
      <c r="E790"/>
      <c r="F790"/>
      <c r="G790"/>
      <c r="H790" s="13"/>
      <c r="I790" s="13"/>
      <c r="J790"/>
      <c r="K790"/>
      <c r="L790"/>
      <c r="M790"/>
      <c r="N790"/>
      <c r="O790"/>
      <c r="P790"/>
      <c r="Q790"/>
      <c r="R790"/>
      <c r="S790"/>
      <c r="T790"/>
      <c r="U790"/>
      <c r="V790" s="14"/>
      <c r="W790"/>
      <c r="X790"/>
      <c r="Y790"/>
      <c r="Z790"/>
      <c r="AA790"/>
      <c r="AB790"/>
      <c r="AC790"/>
      <c r="AD790"/>
      <c r="AE790"/>
      <c r="AF790"/>
      <c r="AG790" s="15"/>
      <c r="AH790" s="15"/>
      <c r="AI790" s="15"/>
      <c r="AJ790"/>
      <c r="AK790"/>
      <c r="AL790"/>
      <c r="AM790"/>
      <c r="AN790"/>
      <c r="AO790"/>
      <c r="AP790"/>
      <c r="AQ790" s="15"/>
      <c r="AR790"/>
      <c r="AS790"/>
      <c r="AT790"/>
      <c r="AU790"/>
      <c r="AV790"/>
      <c r="AW790" s="13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</row>
    <row r="791" spans="1:65" s="6" customFormat="1" x14ac:dyDescent="0.25">
      <c r="A791"/>
      <c r="B791"/>
      <c r="C791"/>
      <c r="D791"/>
      <c r="E791"/>
      <c r="F791"/>
      <c r="G791"/>
      <c r="H791" s="13"/>
      <c r="I791" s="13"/>
      <c r="J791"/>
      <c r="K791"/>
      <c r="L791"/>
      <c r="M791"/>
      <c r="N791"/>
      <c r="O791"/>
      <c r="P791"/>
      <c r="Q791"/>
      <c r="R791"/>
      <c r="S791"/>
      <c r="T791"/>
      <c r="U791"/>
      <c r="V791" s="14"/>
      <c r="W791"/>
      <c r="X791"/>
      <c r="Y791"/>
      <c r="Z791"/>
      <c r="AA791"/>
      <c r="AB791"/>
      <c r="AC791"/>
      <c r="AD791"/>
      <c r="AE791"/>
      <c r="AF791"/>
      <c r="AG791" s="15"/>
      <c r="AH791" s="15"/>
      <c r="AI791" s="15"/>
      <c r="AJ791"/>
      <c r="AK791"/>
      <c r="AL791"/>
      <c r="AM791"/>
      <c r="AN791"/>
      <c r="AO791"/>
      <c r="AP791"/>
      <c r="AQ791" s="15"/>
      <c r="AR791"/>
      <c r="AS791"/>
      <c r="AT791"/>
      <c r="AU791"/>
      <c r="AV791"/>
      <c r="AW791" s="13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</row>
    <row r="792" spans="1:65" s="6" customFormat="1" x14ac:dyDescent="0.25">
      <c r="F792" s="21"/>
      <c r="G792" s="10"/>
      <c r="H792" s="7"/>
      <c r="I792" s="13"/>
      <c r="AF792" s="25"/>
      <c r="AG792" s="7"/>
      <c r="AH792" s="7"/>
      <c r="AI792" s="7"/>
      <c r="AO792" s="26"/>
      <c r="AP792" s="11"/>
      <c r="AQ792" s="7"/>
      <c r="AR792"/>
      <c r="AS792" s="11"/>
      <c r="AW792" s="7"/>
      <c r="BB792" s="24"/>
      <c r="BC792"/>
      <c r="BG792"/>
    </row>
    <row r="793" spans="1:65" s="6" customFormat="1" x14ac:dyDescent="0.25">
      <c r="A793"/>
      <c r="B793"/>
      <c r="C793"/>
      <c r="D793"/>
      <c r="E793"/>
      <c r="F793"/>
      <c r="G793"/>
      <c r="H793" s="13"/>
      <c r="I793" s="7"/>
      <c r="J793"/>
      <c r="K793"/>
      <c r="L793"/>
      <c r="M793"/>
      <c r="N793"/>
      <c r="O793"/>
      <c r="P793"/>
      <c r="Q793"/>
      <c r="R793"/>
      <c r="S793"/>
      <c r="T793"/>
      <c r="U793"/>
      <c r="V793" s="14"/>
      <c r="W793"/>
      <c r="X793"/>
      <c r="Y793"/>
      <c r="Z793"/>
      <c r="AA793"/>
      <c r="AB793"/>
      <c r="AC793"/>
      <c r="AD793"/>
      <c r="AE793"/>
      <c r="AF793"/>
      <c r="AG793" s="15"/>
      <c r="AH793" s="7"/>
      <c r="AI793" s="15"/>
      <c r="AJ793"/>
      <c r="AK793"/>
      <c r="AL793"/>
      <c r="AM793"/>
      <c r="AN793"/>
      <c r="AO793"/>
      <c r="AP793"/>
      <c r="AQ793" s="15"/>
      <c r="AR793"/>
      <c r="AS793"/>
      <c r="AT793"/>
      <c r="AU793"/>
      <c r="AW793" s="1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</row>
    <row r="794" spans="1:65" s="6" customFormat="1" x14ac:dyDescent="0.25">
      <c r="F794" s="21"/>
      <c r="G794" s="10"/>
      <c r="H794" s="7"/>
      <c r="I794" s="13"/>
      <c r="AF794" s="25"/>
      <c r="AG794" s="7"/>
      <c r="AH794" s="7"/>
      <c r="AI794" s="7"/>
      <c r="AO794" s="26"/>
      <c r="AP794" s="11"/>
      <c r="AQ794" s="7"/>
      <c r="AR794"/>
      <c r="AS794" s="11"/>
      <c r="AV794"/>
      <c r="AW794" s="7"/>
      <c r="BB794" s="24"/>
      <c r="BC794"/>
      <c r="BG794"/>
    </row>
    <row r="795" spans="1:65" s="6" customFormat="1" x14ac:dyDescent="0.25">
      <c r="A795"/>
      <c r="B795"/>
      <c r="C795"/>
      <c r="D795"/>
      <c r="E795"/>
      <c r="F795"/>
      <c r="G795"/>
      <c r="H795" s="13"/>
      <c r="I795" s="13"/>
      <c r="J795"/>
      <c r="K795"/>
      <c r="L795"/>
      <c r="M795"/>
      <c r="N795"/>
      <c r="O795"/>
      <c r="P795"/>
      <c r="Q795"/>
      <c r="R795"/>
      <c r="S795"/>
      <c r="T795"/>
      <c r="U795"/>
      <c r="V795" s="14"/>
      <c r="W795"/>
      <c r="X795"/>
      <c r="Y795"/>
      <c r="Z795"/>
      <c r="AA795"/>
      <c r="AB795"/>
      <c r="AC795"/>
      <c r="AD795"/>
      <c r="AE795"/>
      <c r="AF795"/>
      <c r="AG795" s="15"/>
      <c r="AH795" s="15"/>
      <c r="AI795" s="15"/>
      <c r="AJ795"/>
      <c r="AK795"/>
      <c r="AL795"/>
      <c r="AM795"/>
      <c r="AN795"/>
      <c r="AO795"/>
      <c r="AP795"/>
      <c r="AQ795" s="15"/>
      <c r="AR795"/>
      <c r="AS795"/>
      <c r="AT795"/>
      <c r="AU795"/>
      <c r="AW795" s="13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</row>
    <row r="796" spans="1:65" s="6" customFormat="1" x14ac:dyDescent="0.25">
      <c r="A796"/>
      <c r="B796"/>
      <c r="C796"/>
      <c r="D796"/>
      <c r="E796"/>
      <c r="F796"/>
      <c r="G796"/>
      <c r="H796" s="13"/>
      <c r="I796" s="7"/>
      <c r="J796"/>
      <c r="K796"/>
      <c r="L796"/>
      <c r="M796"/>
      <c r="N796"/>
      <c r="O796"/>
      <c r="P796"/>
      <c r="Q796"/>
      <c r="R796"/>
      <c r="S796"/>
      <c r="T796"/>
      <c r="U796"/>
      <c r="V796" s="14"/>
      <c r="W796"/>
      <c r="X796"/>
      <c r="Y796"/>
      <c r="Z796"/>
      <c r="AA796"/>
      <c r="AB796"/>
      <c r="AC796"/>
      <c r="AD796"/>
      <c r="AE796"/>
      <c r="AF796"/>
      <c r="AG796" s="15"/>
      <c r="AH796" s="7"/>
      <c r="AI796" s="15"/>
      <c r="AJ796"/>
      <c r="AK796"/>
      <c r="AL796"/>
      <c r="AM796"/>
      <c r="AN796"/>
      <c r="AO796"/>
      <c r="AP796"/>
      <c r="AQ796" s="15"/>
      <c r="AR796"/>
      <c r="AS796"/>
      <c r="AT796"/>
      <c r="AU796"/>
      <c r="AW796" s="13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</row>
    <row r="797" spans="1:65" s="6" customFormat="1" x14ac:dyDescent="0.25">
      <c r="F797" s="21"/>
      <c r="G797" s="10"/>
      <c r="H797" s="7"/>
      <c r="I797" s="13"/>
      <c r="AF797" s="25"/>
      <c r="AG797" s="7"/>
      <c r="AH797" s="7"/>
      <c r="AI797" s="7"/>
      <c r="AO797" s="26"/>
      <c r="AP797" s="11"/>
      <c r="AQ797" s="7"/>
      <c r="AR797"/>
      <c r="AS797" s="11"/>
      <c r="AV797"/>
      <c r="AW797" s="7"/>
      <c r="BB797" s="24"/>
      <c r="BC797"/>
      <c r="BG797"/>
    </row>
    <row r="798" spans="1:65" s="6" customFormat="1" x14ac:dyDescent="0.25">
      <c r="F798" s="21"/>
      <c r="G798" s="10"/>
      <c r="H798" s="7"/>
      <c r="I798" s="13"/>
      <c r="AF798" s="25"/>
      <c r="AG798" s="7"/>
      <c r="AH798" s="7"/>
      <c r="AI798" s="7"/>
      <c r="AO798" s="26"/>
      <c r="AP798" s="11"/>
      <c r="AQ798" s="7"/>
      <c r="AR798"/>
      <c r="AS798" s="11"/>
      <c r="AW798" s="7"/>
      <c r="BB798" s="24"/>
      <c r="BC798"/>
      <c r="BG798"/>
    </row>
    <row r="799" spans="1:65" s="6" customFormat="1" x14ac:dyDescent="0.25">
      <c r="A799"/>
      <c r="B799"/>
      <c r="C799"/>
      <c r="D799"/>
      <c r="E799"/>
      <c r="F799"/>
      <c r="G799"/>
      <c r="H799" s="13"/>
      <c r="I799" s="13"/>
      <c r="J799"/>
      <c r="K799"/>
      <c r="L799"/>
      <c r="M799"/>
      <c r="N799"/>
      <c r="O799"/>
      <c r="P799"/>
      <c r="Q799"/>
      <c r="R799"/>
      <c r="S799"/>
      <c r="T799"/>
      <c r="U799"/>
      <c r="V799" s="14"/>
      <c r="W799"/>
      <c r="X799"/>
      <c r="Y799"/>
      <c r="Z799"/>
      <c r="AA799"/>
      <c r="AB799"/>
      <c r="AC799"/>
      <c r="AD799"/>
      <c r="AE799"/>
      <c r="AF799"/>
      <c r="AG799" s="15"/>
      <c r="AH799" s="15"/>
      <c r="AI799" s="15"/>
      <c r="AJ799"/>
      <c r="AK799"/>
      <c r="AL799"/>
      <c r="AM799"/>
      <c r="AN799"/>
      <c r="AO799"/>
      <c r="AP799"/>
      <c r="AQ799" s="15"/>
      <c r="AR799"/>
      <c r="AS799"/>
      <c r="AT799"/>
      <c r="AU799"/>
      <c r="AV799"/>
      <c r="AW799" s="13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</row>
    <row r="800" spans="1:65" s="6" customFormat="1" x14ac:dyDescent="0.25">
      <c r="A800"/>
      <c r="B800"/>
      <c r="C800"/>
      <c r="D800"/>
      <c r="E800"/>
      <c r="F800"/>
      <c r="G800"/>
      <c r="H800" s="13"/>
      <c r="I800" s="13"/>
      <c r="J800"/>
      <c r="K800"/>
      <c r="L800"/>
      <c r="M800"/>
      <c r="N800"/>
      <c r="O800"/>
      <c r="P800"/>
      <c r="Q800"/>
      <c r="R800"/>
      <c r="S800"/>
      <c r="T800"/>
      <c r="U800"/>
      <c r="V800" s="14"/>
      <c r="W800"/>
      <c r="X800"/>
      <c r="Y800"/>
      <c r="Z800"/>
      <c r="AA800"/>
      <c r="AB800"/>
      <c r="AC800"/>
      <c r="AD800"/>
      <c r="AE800"/>
      <c r="AF800"/>
      <c r="AG800" s="15"/>
      <c r="AH800" s="15"/>
      <c r="AI800" s="15"/>
      <c r="AJ800"/>
      <c r="AK800"/>
      <c r="AL800"/>
      <c r="AM800"/>
      <c r="AN800"/>
      <c r="AO800"/>
      <c r="AP800"/>
      <c r="AQ800" s="15"/>
      <c r="AR800"/>
      <c r="AS800"/>
      <c r="AT800"/>
      <c r="AU800"/>
      <c r="AV800"/>
      <c r="AW800" s="13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</row>
    <row r="801" spans="1:65" s="6" customFormat="1" x14ac:dyDescent="0.25">
      <c r="F801" s="21"/>
      <c r="G801" s="10"/>
      <c r="H801" s="7"/>
      <c r="I801" s="13"/>
      <c r="AF801" s="25"/>
      <c r="AG801" s="7"/>
      <c r="AH801" s="7"/>
      <c r="AI801" s="7"/>
      <c r="AO801" s="26"/>
      <c r="AP801" s="11"/>
      <c r="AQ801" s="7"/>
      <c r="AR801"/>
      <c r="AS801" s="11"/>
      <c r="AW801" s="7"/>
      <c r="BB801" s="24"/>
      <c r="BC801"/>
      <c r="BG801"/>
    </row>
    <row r="802" spans="1:65" s="6" customFormat="1" x14ac:dyDescent="0.25">
      <c r="A802"/>
      <c r="B802"/>
      <c r="C802"/>
      <c r="D802"/>
      <c r="E802"/>
      <c r="F802"/>
      <c r="G802"/>
      <c r="H802" s="13"/>
      <c r="I802" s="7"/>
      <c r="J802"/>
      <c r="K802"/>
      <c r="L802"/>
      <c r="M802"/>
      <c r="N802"/>
      <c r="O802"/>
      <c r="P802"/>
      <c r="Q802"/>
      <c r="R802"/>
      <c r="S802"/>
      <c r="T802"/>
      <c r="U802"/>
      <c r="V802" s="14"/>
      <c r="W802"/>
      <c r="X802"/>
      <c r="Y802"/>
      <c r="Z802"/>
      <c r="AA802"/>
      <c r="AB802"/>
      <c r="AC802"/>
      <c r="AD802"/>
      <c r="AE802"/>
      <c r="AF802"/>
      <c r="AG802" s="15"/>
      <c r="AH802" s="7"/>
      <c r="AI802" s="15"/>
      <c r="AJ802"/>
      <c r="AK802"/>
      <c r="AL802"/>
      <c r="AM802"/>
      <c r="AN802"/>
      <c r="AO802"/>
      <c r="AP802"/>
      <c r="AQ802" s="15"/>
      <c r="AR802"/>
      <c r="AS802"/>
      <c r="AT802"/>
      <c r="AU802"/>
      <c r="AW802" s="7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</row>
    <row r="803" spans="1:65" s="6" customFormat="1" x14ac:dyDescent="0.25">
      <c r="F803" s="21"/>
      <c r="G803" s="10"/>
      <c r="H803" s="7"/>
      <c r="I803" s="13"/>
      <c r="AF803" s="25"/>
      <c r="AG803" s="7"/>
      <c r="AH803" s="7"/>
      <c r="AI803" s="7"/>
      <c r="AO803" s="26"/>
      <c r="AP803" s="11"/>
      <c r="AQ803" s="7"/>
      <c r="AR803"/>
      <c r="AS803" s="11"/>
      <c r="AV803"/>
      <c r="AW803" s="7"/>
      <c r="BB803" s="24"/>
      <c r="BC803"/>
      <c r="BG803"/>
    </row>
    <row r="804" spans="1:65" s="6" customFormat="1" x14ac:dyDescent="0.25">
      <c r="A804"/>
      <c r="B804"/>
      <c r="C804"/>
      <c r="D804"/>
      <c r="E804"/>
      <c r="F804"/>
      <c r="G804"/>
      <c r="H804" s="13"/>
      <c r="I804" s="13"/>
      <c r="J804"/>
      <c r="K804"/>
      <c r="L804"/>
      <c r="M804"/>
      <c r="N804"/>
      <c r="O804"/>
      <c r="P804"/>
      <c r="Q804"/>
      <c r="R804"/>
      <c r="S804"/>
      <c r="T804"/>
      <c r="U804"/>
      <c r="V804" s="14"/>
      <c r="W804"/>
      <c r="X804"/>
      <c r="Y804"/>
      <c r="Z804"/>
      <c r="AA804"/>
      <c r="AB804"/>
      <c r="AC804"/>
      <c r="AD804"/>
      <c r="AE804"/>
      <c r="AF804"/>
      <c r="AG804" s="15"/>
      <c r="AH804" s="15"/>
      <c r="AI804" s="15"/>
      <c r="AJ804"/>
      <c r="AK804"/>
      <c r="AL804"/>
      <c r="AM804"/>
      <c r="AN804"/>
      <c r="AO804"/>
      <c r="AP804"/>
      <c r="AQ804" s="15"/>
      <c r="AR804"/>
      <c r="AS804"/>
      <c r="AT804"/>
      <c r="AU804"/>
      <c r="AW804" s="13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</row>
    <row r="805" spans="1:65" s="6" customFormat="1" x14ac:dyDescent="0.25">
      <c r="A805"/>
      <c r="B805"/>
      <c r="C805"/>
      <c r="D805"/>
      <c r="E805"/>
      <c r="F805"/>
      <c r="G805"/>
      <c r="H805" s="13"/>
      <c r="I805" s="7"/>
      <c r="J805"/>
      <c r="K805"/>
      <c r="L805"/>
      <c r="M805"/>
      <c r="N805"/>
      <c r="O805"/>
      <c r="P805"/>
      <c r="Q805"/>
      <c r="R805"/>
      <c r="S805"/>
      <c r="T805"/>
      <c r="U805"/>
      <c r="V805" s="14"/>
      <c r="W805"/>
      <c r="X805"/>
      <c r="Y805"/>
      <c r="Z805"/>
      <c r="AA805"/>
      <c r="AB805"/>
      <c r="AC805"/>
      <c r="AD805"/>
      <c r="AE805"/>
      <c r="AF805"/>
      <c r="AG805" s="15"/>
      <c r="AH805" s="7"/>
      <c r="AI805" s="15"/>
      <c r="AJ805"/>
      <c r="AK805"/>
      <c r="AL805"/>
      <c r="AM805"/>
      <c r="AN805"/>
      <c r="AO805"/>
      <c r="AP805"/>
      <c r="AQ805" s="15"/>
      <c r="AR805"/>
      <c r="AS805"/>
      <c r="AT805"/>
      <c r="AU805"/>
      <c r="AW805" s="13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</row>
    <row r="806" spans="1:65" s="6" customFormat="1" x14ac:dyDescent="0.25">
      <c r="F806" s="21"/>
      <c r="G806" s="10"/>
      <c r="H806" s="7"/>
      <c r="I806" s="13"/>
      <c r="AF806" s="25"/>
      <c r="AG806" s="7"/>
      <c r="AH806" s="7"/>
      <c r="AI806" s="7"/>
      <c r="AO806" s="26"/>
      <c r="AP806" s="11"/>
      <c r="AQ806" s="7"/>
      <c r="AR806"/>
      <c r="AS806" s="11"/>
      <c r="AV806"/>
      <c r="AW806" s="7"/>
      <c r="BB806" s="24"/>
      <c r="BC806"/>
      <c r="BG806"/>
    </row>
    <row r="807" spans="1:65" s="6" customFormat="1" x14ac:dyDescent="0.25">
      <c r="F807" s="21"/>
      <c r="G807" s="10"/>
      <c r="H807" s="7"/>
      <c r="I807" s="13"/>
      <c r="AF807" s="25"/>
      <c r="AG807" s="7"/>
      <c r="AH807" s="7"/>
      <c r="AI807" s="7"/>
      <c r="AO807" s="26"/>
      <c r="AP807" s="11"/>
      <c r="AQ807" s="7"/>
      <c r="AR807"/>
      <c r="AS807" s="11"/>
      <c r="AW807" s="7"/>
      <c r="BB807" s="24"/>
      <c r="BC807"/>
      <c r="BG807"/>
    </row>
    <row r="808" spans="1:65" s="6" customFormat="1" x14ac:dyDescent="0.25">
      <c r="A808"/>
      <c r="B808"/>
      <c r="C808"/>
      <c r="D808"/>
      <c r="E808"/>
      <c r="F808"/>
      <c r="G808"/>
      <c r="H808" s="13"/>
      <c r="I808" s="13"/>
      <c r="J808"/>
      <c r="K808"/>
      <c r="L808"/>
      <c r="M808"/>
      <c r="N808"/>
      <c r="O808"/>
      <c r="P808"/>
      <c r="Q808"/>
      <c r="R808"/>
      <c r="S808"/>
      <c r="T808"/>
      <c r="U808"/>
      <c r="V808" s="14"/>
      <c r="W808"/>
      <c r="X808"/>
      <c r="Y808"/>
      <c r="Z808"/>
      <c r="AA808"/>
      <c r="AB808"/>
      <c r="AC808"/>
      <c r="AD808"/>
      <c r="AE808"/>
      <c r="AF808"/>
      <c r="AG808" s="15"/>
      <c r="AH808" s="15"/>
      <c r="AI808" s="15"/>
      <c r="AJ808"/>
      <c r="AK808"/>
      <c r="AL808"/>
      <c r="AM808"/>
      <c r="AN808"/>
      <c r="AO808"/>
      <c r="AP808"/>
      <c r="AQ808" s="15"/>
      <c r="AR808"/>
      <c r="AS808"/>
      <c r="AT808"/>
      <c r="AU808"/>
      <c r="AV808"/>
      <c r="AW808" s="13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</row>
    <row r="809" spans="1:65" s="6" customFormat="1" x14ac:dyDescent="0.25">
      <c r="A809"/>
      <c r="B809"/>
      <c r="C809"/>
      <c r="D809"/>
      <c r="E809"/>
      <c r="F809"/>
      <c r="G809"/>
      <c r="H809" s="13"/>
      <c r="I809" s="13"/>
      <c r="J809"/>
      <c r="K809"/>
      <c r="L809"/>
      <c r="M809"/>
      <c r="N809"/>
      <c r="O809"/>
      <c r="P809"/>
      <c r="Q809"/>
      <c r="R809"/>
      <c r="S809"/>
      <c r="T809"/>
      <c r="U809"/>
      <c r="V809" s="14"/>
      <c r="W809"/>
      <c r="X809"/>
      <c r="Y809"/>
      <c r="Z809"/>
      <c r="AA809"/>
      <c r="AB809"/>
      <c r="AC809"/>
      <c r="AD809"/>
      <c r="AE809"/>
      <c r="AF809"/>
      <c r="AG809" s="15"/>
      <c r="AH809" s="15"/>
      <c r="AI809" s="15"/>
      <c r="AJ809"/>
      <c r="AK809"/>
      <c r="AL809"/>
      <c r="AM809"/>
      <c r="AN809"/>
      <c r="AO809"/>
      <c r="AP809"/>
      <c r="AQ809" s="15"/>
      <c r="AR809"/>
      <c r="AS809"/>
      <c r="AT809"/>
      <c r="AU809"/>
      <c r="AV809"/>
      <c r="AW809" s="13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</row>
    <row r="810" spans="1:65" s="6" customFormat="1" x14ac:dyDescent="0.25">
      <c r="F810" s="21"/>
      <c r="G810" s="10"/>
      <c r="H810" s="7"/>
      <c r="I810" s="13"/>
      <c r="AF810" s="25"/>
      <c r="AG810" s="7"/>
      <c r="AH810" s="7"/>
      <c r="AI810" s="7"/>
      <c r="AO810" s="26"/>
      <c r="AP810" s="11"/>
      <c r="AQ810" s="7"/>
      <c r="AR810"/>
      <c r="AS810" s="11"/>
      <c r="AW810" s="7"/>
      <c r="BB810" s="24"/>
      <c r="BC810"/>
      <c r="BG810"/>
    </row>
    <row r="811" spans="1:65" s="6" customFormat="1" x14ac:dyDescent="0.25">
      <c r="A811"/>
      <c r="B811"/>
      <c r="C811"/>
      <c r="D811"/>
      <c r="E811"/>
      <c r="F811"/>
      <c r="G811"/>
      <c r="H811" s="13"/>
      <c r="I811" s="7"/>
      <c r="J811"/>
      <c r="K811"/>
      <c r="L811"/>
      <c r="M811"/>
      <c r="N811"/>
      <c r="O811"/>
      <c r="P811"/>
      <c r="Q811"/>
      <c r="R811"/>
      <c r="S811"/>
      <c r="T811"/>
      <c r="U811"/>
      <c r="V811" s="14"/>
      <c r="W811"/>
      <c r="X811"/>
      <c r="Y811"/>
      <c r="Z811"/>
      <c r="AA811"/>
      <c r="AB811"/>
      <c r="AC811"/>
      <c r="AD811"/>
      <c r="AE811"/>
      <c r="AF811"/>
      <c r="AG811" s="15"/>
      <c r="AH811" s="7"/>
      <c r="AI811" s="15"/>
      <c r="AJ811"/>
      <c r="AK811"/>
      <c r="AL811"/>
      <c r="AM811"/>
      <c r="AN811"/>
      <c r="AO811"/>
      <c r="AP811"/>
      <c r="AQ811" s="15"/>
      <c r="AR811"/>
      <c r="AS811"/>
      <c r="AT811"/>
      <c r="AU811"/>
      <c r="AW811" s="7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</row>
    <row r="812" spans="1:65" s="6" customFormat="1" x14ac:dyDescent="0.25">
      <c r="F812" s="21"/>
      <c r="G812" s="10"/>
      <c r="H812" s="7"/>
      <c r="I812" s="13"/>
      <c r="AF812" s="25"/>
      <c r="AG812" s="7"/>
      <c r="AH812" s="7"/>
      <c r="AI812" s="7"/>
      <c r="AO812" s="26"/>
      <c r="AP812" s="11"/>
      <c r="AQ812" s="7"/>
      <c r="AR812"/>
      <c r="AS812" s="11"/>
      <c r="AV812"/>
      <c r="AW812" s="7"/>
      <c r="BB812" s="24"/>
      <c r="BC812"/>
      <c r="BG812"/>
    </row>
    <row r="813" spans="1:65" s="6" customFormat="1" x14ac:dyDescent="0.25">
      <c r="A813"/>
      <c r="B813"/>
      <c r="C813"/>
      <c r="D813"/>
      <c r="E813"/>
      <c r="F813"/>
      <c r="G813"/>
      <c r="H813" s="13"/>
      <c r="I813" s="13"/>
      <c r="J813"/>
      <c r="K813"/>
      <c r="L813"/>
      <c r="M813"/>
      <c r="N813"/>
      <c r="O813"/>
      <c r="P813"/>
      <c r="Q813"/>
      <c r="R813"/>
      <c r="S813"/>
      <c r="T813"/>
      <c r="U813"/>
      <c r="V813" s="14"/>
      <c r="W813"/>
      <c r="X813"/>
      <c r="Y813"/>
      <c r="Z813"/>
      <c r="AA813"/>
      <c r="AB813"/>
      <c r="AC813"/>
      <c r="AD813"/>
      <c r="AE813"/>
      <c r="AF813"/>
      <c r="AG813" s="15"/>
      <c r="AH813" s="15"/>
      <c r="AI813" s="15"/>
      <c r="AJ813"/>
      <c r="AK813"/>
      <c r="AL813"/>
      <c r="AM813"/>
      <c r="AN813"/>
      <c r="AO813"/>
      <c r="AP813"/>
      <c r="AQ813" s="15"/>
      <c r="AR813"/>
      <c r="AS813"/>
      <c r="AT813"/>
      <c r="AU813"/>
      <c r="AW813" s="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</row>
    <row r="814" spans="1:65" s="6" customFormat="1" x14ac:dyDescent="0.25">
      <c r="A814"/>
      <c r="B814"/>
      <c r="C814"/>
      <c r="D814"/>
      <c r="E814"/>
      <c r="F814"/>
      <c r="G814"/>
      <c r="H814" s="13"/>
      <c r="I814" s="7"/>
      <c r="J814"/>
      <c r="K814"/>
      <c r="L814"/>
      <c r="M814"/>
      <c r="N814"/>
      <c r="O814"/>
      <c r="P814"/>
      <c r="Q814"/>
      <c r="R814"/>
      <c r="S814"/>
      <c r="T814"/>
      <c r="U814"/>
      <c r="V814" s="14"/>
      <c r="W814"/>
      <c r="X814"/>
      <c r="Y814"/>
      <c r="Z814"/>
      <c r="AA814"/>
      <c r="AB814"/>
      <c r="AC814"/>
      <c r="AD814"/>
      <c r="AE814"/>
      <c r="AF814"/>
      <c r="AG814" s="15"/>
      <c r="AH814" s="7"/>
      <c r="AI814" s="15"/>
      <c r="AJ814"/>
      <c r="AK814"/>
      <c r="AL814"/>
      <c r="AM814"/>
      <c r="AN814"/>
      <c r="AO814"/>
      <c r="AP814"/>
      <c r="AQ814" s="15"/>
      <c r="AR814"/>
      <c r="AS814"/>
      <c r="AT814"/>
      <c r="AU814"/>
      <c r="AW814" s="13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</row>
    <row r="815" spans="1:65" s="6" customFormat="1" x14ac:dyDescent="0.25">
      <c r="F815" s="21"/>
      <c r="G815" s="10"/>
      <c r="H815" s="7"/>
      <c r="I815" s="13"/>
      <c r="AF815" s="25"/>
      <c r="AG815" s="7"/>
      <c r="AH815" s="7"/>
      <c r="AI815" s="7"/>
      <c r="AO815" s="26"/>
      <c r="AP815" s="11"/>
      <c r="AQ815" s="7"/>
      <c r="AR815"/>
      <c r="AS815" s="11"/>
      <c r="AV815"/>
      <c r="AW815" s="7"/>
      <c r="BB815" s="24"/>
      <c r="BC815"/>
      <c r="BG815"/>
    </row>
    <row r="816" spans="1:65" s="6" customFormat="1" x14ac:dyDescent="0.25">
      <c r="F816" s="21"/>
      <c r="G816" s="10"/>
      <c r="H816" s="7"/>
      <c r="I816" s="13"/>
      <c r="AF816" s="25"/>
      <c r="AG816" s="7"/>
      <c r="AH816" s="7"/>
      <c r="AI816" s="7"/>
      <c r="AO816" s="26"/>
      <c r="AP816" s="11"/>
      <c r="AQ816" s="7"/>
      <c r="AR816"/>
      <c r="AS816" s="11"/>
      <c r="AW816" s="7"/>
      <c r="BB816" s="24"/>
      <c r="BC816"/>
      <c r="BG816"/>
    </row>
    <row r="817" spans="1:65" s="6" customFormat="1" x14ac:dyDescent="0.25">
      <c r="A817"/>
      <c r="B817"/>
      <c r="C817"/>
      <c r="D817"/>
      <c r="E817"/>
      <c r="F817"/>
      <c r="G817"/>
      <c r="H817" s="13"/>
      <c r="I817" s="13"/>
      <c r="J817"/>
      <c r="K817"/>
      <c r="L817"/>
      <c r="M817"/>
      <c r="N817"/>
      <c r="O817"/>
      <c r="P817"/>
      <c r="Q817"/>
      <c r="R817"/>
      <c r="S817"/>
      <c r="T817"/>
      <c r="U817"/>
      <c r="V817" s="14"/>
      <c r="W817"/>
      <c r="X817"/>
      <c r="Y817"/>
      <c r="Z817"/>
      <c r="AA817"/>
      <c r="AB817"/>
      <c r="AC817"/>
      <c r="AD817"/>
      <c r="AE817"/>
      <c r="AF817"/>
      <c r="AG817" s="15"/>
      <c r="AH817" s="15"/>
      <c r="AI817" s="15"/>
      <c r="AJ817"/>
      <c r="AK817"/>
      <c r="AL817"/>
      <c r="AM817"/>
      <c r="AN817"/>
      <c r="AO817"/>
      <c r="AP817"/>
      <c r="AQ817" s="15"/>
      <c r="AR817"/>
      <c r="AS817"/>
      <c r="AT817"/>
      <c r="AU817"/>
      <c r="AV817"/>
      <c r="AW817" s="13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</row>
    <row r="818" spans="1:65" s="6" customFormat="1" x14ac:dyDescent="0.25">
      <c r="A818"/>
      <c r="B818"/>
      <c r="C818"/>
      <c r="D818"/>
      <c r="E818"/>
      <c r="F818"/>
      <c r="G818"/>
      <c r="H818" s="13"/>
      <c r="I818" s="13"/>
      <c r="J818"/>
      <c r="K818"/>
      <c r="L818"/>
      <c r="M818"/>
      <c r="N818"/>
      <c r="O818"/>
      <c r="P818"/>
      <c r="Q818"/>
      <c r="R818"/>
      <c r="S818"/>
      <c r="T818"/>
      <c r="U818"/>
      <c r="V818" s="14"/>
      <c r="W818"/>
      <c r="X818"/>
      <c r="Y818"/>
      <c r="Z818"/>
      <c r="AA818"/>
      <c r="AB818"/>
      <c r="AC818"/>
      <c r="AD818"/>
      <c r="AE818"/>
      <c r="AF818"/>
      <c r="AG818" s="15"/>
      <c r="AH818" s="15"/>
      <c r="AI818" s="15"/>
      <c r="AJ818"/>
      <c r="AK818"/>
      <c r="AL818"/>
      <c r="AM818"/>
      <c r="AN818"/>
      <c r="AO818"/>
      <c r="AP818"/>
      <c r="AQ818" s="15"/>
      <c r="AR818"/>
      <c r="AS818"/>
      <c r="AT818"/>
      <c r="AU818"/>
      <c r="AV818"/>
      <c r="AW818" s="13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</row>
    <row r="819" spans="1:65" s="6" customFormat="1" x14ac:dyDescent="0.25">
      <c r="F819" s="21"/>
      <c r="G819" s="10"/>
      <c r="H819" s="7"/>
      <c r="I819" s="13"/>
      <c r="AF819" s="25"/>
      <c r="AG819" s="7"/>
      <c r="AH819" s="7"/>
      <c r="AI819" s="7"/>
      <c r="AO819" s="26"/>
      <c r="AP819" s="11"/>
      <c r="AQ819" s="7"/>
      <c r="AR819"/>
      <c r="AS819" s="11"/>
      <c r="AW819" s="7"/>
      <c r="BB819" s="24"/>
      <c r="BC819"/>
      <c r="BG819"/>
    </row>
    <row r="820" spans="1:65" s="6" customFormat="1" x14ac:dyDescent="0.25">
      <c r="A820"/>
      <c r="B820"/>
      <c r="C820"/>
      <c r="D820"/>
      <c r="E820"/>
      <c r="F820"/>
      <c r="G820"/>
      <c r="H820" s="13"/>
      <c r="I820" s="7"/>
      <c r="J820"/>
      <c r="K820"/>
      <c r="L820"/>
      <c r="M820"/>
      <c r="N820"/>
      <c r="O820"/>
      <c r="P820"/>
      <c r="Q820"/>
      <c r="R820"/>
      <c r="S820"/>
      <c r="T820"/>
      <c r="U820"/>
      <c r="V820" s="14"/>
      <c r="W820"/>
      <c r="X820"/>
      <c r="Y820"/>
      <c r="Z820"/>
      <c r="AA820"/>
      <c r="AB820"/>
      <c r="AC820"/>
      <c r="AD820"/>
      <c r="AE820"/>
      <c r="AF820"/>
      <c r="AG820" s="15"/>
      <c r="AH820" s="7"/>
      <c r="AI820" s="15"/>
      <c r="AJ820"/>
      <c r="AK820"/>
      <c r="AL820"/>
      <c r="AM820"/>
      <c r="AN820"/>
      <c r="AO820"/>
      <c r="AP820"/>
      <c r="AQ820" s="15"/>
      <c r="AR820"/>
      <c r="AS820"/>
      <c r="AT820"/>
      <c r="AU820"/>
      <c r="AW820" s="7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</row>
    <row r="821" spans="1:65" s="6" customFormat="1" x14ac:dyDescent="0.25">
      <c r="F821" s="21"/>
      <c r="G821" s="10"/>
      <c r="H821" s="7"/>
      <c r="I821" s="13"/>
      <c r="AF821" s="25"/>
      <c r="AG821" s="7"/>
      <c r="AH821" s="7"/>
      <c r="AI821" s="7"/>
      <c r="AO821" s="26"/>
      <c r="AP821" s="11"/>
      <c r="AQ821" s="7"/>
      <c r="AR821"/>
      <c r="AS821" s="11"/>
      <c r="AV821"/>
      <c r="AW821" s="7"/>
      <c r="BB821" s="24"/>
      <c r="BC821"/>
      <c r="BG821"/>
    </row>
    <row r="822" spans="1:65" s="6" customFormat="1" x14ac:dyDescent="0.25">
      <c r="A822"/>
      <c r="B822"/>
      <c r="C822"/>
      <c r="D822"/>
      <c r="E822"/>
      <c r="F822"/>
      <c r="G822"/>
      <c r="H822" s="13"/>
      <c r="I822" s="13"/>
      <c r="J822"/>
      <c r="K822"/>
      <c r="L822"/>
      <c r="M822"/>
      <c r="N822"/>
      <c r="O822"/>
      <c r="P822"/>
      <c r="Q822"/>
      <c r="R822"/>
      <c r="S822"/>
      <c r="T822"/>
      <c r="U822"/>
      <c r="V822" s="14"/>
      <c r="W822"/>
      <c r="X822"/>
      <c r="Y822"/>
      <c r="Z822"/>
      <c r="AA822"/>
      <c r="AB822"/>
      <c r="AC822"/>
      <c r="AD822"/>
      <c r="AE822"/>
      <c r="AF822"/>
      <c r="AG822" s="15"/>
      <c r="AH822" s="15"/>
      <c r="AI822" s="15"/>
      <c r="AJ822"/>
      <c r="AK822"/>
      <c r="AL822"/>
      <c r="AM822"/>
      <c r="AN822"/>
      <c r="AO822"/>
      <c r="AP822"/>
      <c r="AQ822" s="15"/>
      <c r="AR822"/>
      <c r="AS822"/>
      <c r="AT822"/>
      <c r="AU822"/>
      <c r="AW822" s="13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</row>
    <row r="823" spans="1:65" s="6" customFormat="1" x14ac:dyDescent="0.25">
      <c r="A823"/>
      <c r="B823"/>
      <c r="C823"/>
      <c r="D823"/>
      <c r="E823"/>
      <c r="F823"/>
      <c r="G823"/>
      <c r="H823" s="13"/>
      <c r="I823" s="7"/>
      <c r="J823"/>
      <c r="K823"/>
      <c r="L823"/>
      <c r="M823"/>
      <c r="N823"/>
      <c r="O823"/>
      <c r="P823"/>
      <c r="Q823"/>
      <c r="R823"/>
      <c r="S823"/>
      <c r="T823"/>
      <c r="U823"/>
      <c r="V823" s="14"/>
      <c r="W823"/>
      <c r="X823"/>
      <c r="Y823"/>
      <c r="Z823"/>
      <c r="AA823"/>
      <c r="AB823"/>
      <c r="AC823"/>
      <c r="AD823"/>
      <c r="AE823"/>
      <c r="AF823"/>
      <c r="AG823" s="15"/>
      <c r="AH823" s="7"/>
      <c r="AI823" s="15"/>
      <c r="AJ823"/>
      <c r="AK823"/>
      <c r="AL823"/>
      <c r="AM823"/>
      <c r="AN823"/>
      <c r="AO823"/>
      <c r="AP823"/>
      <c r="AQ823" s="15"/>
      <c r="AR823"/>
      <c r="AS823"/>
      <c r="AT823"/>
      <c r="AU823"/>
      <c r="AW823" s="1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</row>
    <row r="824" spans="1:65" s="6" customFormat="1" x14ac:dyDescent="0.25">
      <c r="F824" s="21"/>
      <c r="G824" s="10"/>
      <c r="H824" s="7"/>
      <c r="I824" s="13"/>
      <c r="AF824" s="25"/>
      <c r="AG824" s="7"/>
      <c r="AH824" s="7"/>
      <c r="AI824" s="7"/>
      <c r="AO824" s="26"/>
      <c r="AP824" s="11"/>
      <c r="AQ824" s="7"/>
      <c r="AR824"/>
      <c r="AS824" s="11"/>
      <c r="AV824"/>
      <c r="AW824" s="7"/>
      <c r="BB824" s="24"/>
      <c r="BC824"/>
      <c r="BG824"/>
    </row>
    <row r="825" spans="1:65" s="6" customFormat="1" x14ac:dyDescent="0.25">
      <c r="F825" s="21"/>
      <c r="G825" s="10"/>
      <c r="H825" s="7"/>
      <c r="I825" s="13"/>
      <c r="AF825" s="25"/>
      <c r="AG825" s="7"/>
      <c r="AH825" s="7"/>
      <c r="AI825" s="7"/>
      <c r="AO825" s="26"/>
      <c r="AP825" s="11"/>
      <c r="AQ825" s="7"/>
      <c r="AR825"/>
      <c r="AS825" s="11"/>
      <c r="AW825" s="7"/>
      <c r="BB825" s="24"/>
      <c r="BC825"/>
      <c r="BG825"/>
    </row>
    <row r="826" spans="1:65" s="6" customFormat="1" x14ac:dyDescent="0.25">
      <c r="A826"/>
      <c r="B826"/>
      <c r="C826"/>
      <c r="D826"/>
      <c r="E826"/>
      <c r="F826"/>
      <c r="G826"/>
      <c r="H826" s="13"/>
      <c r="I826" s="13"/>
      <c r="J826"/>
      <c r="K826"/>
      <c r="L826"/>
      <c r="M826"/>
      <c r="N826"/>
      <c r="O826"/>
      <c r="P826"/>
      <c r="Q826"/>
      <c r="R826"/>
      <c r="S826"/>
      <c r="T826"/>
      <c r="U826"/>
      <c r="V826" s="14"/>
      <c r="W826"/>
      <c r="X826"/>
      <c r="Y826"/>
      <c r="Z826"/>
      <c r="AA826"/>
      <c r="AB826"/>
      <c r="AC826"/>
      <c r="AD826"/>
      <c r="AE826"/>
      <c r="AF826"/>
      <c r="AG826" s="15"/>
      <c r="AH826" s="15"/>
      <c r="AI826" s="15"/>
      <c r="AJ826"/>
      <c r="AK826"/>
      <c r="AL826"/>
      <c r="AM826"/>
      <c r="AN826"/>
      <c r="AO826"/>
      <c r="AP826"/>
      <c r="AQ826" s="15"/>
      <c r="AR826"/>
      <c r="AS826"/>
      <c r="AT826"/>
      <c r="AU826"/>
      <c r="AV826"/>
      <c r="AW826" s="13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</row>
    <row r="827" spans="1:65" s="6" customFormat="1" x14ac:dyDescent="0.25">
      <c r="A827"/>
      <c r="B827"/>
      <c r="C827"/>
      <c r="D827"/>
      <c r="E827"/>
      <c r="F827"/>
      <c r="G827"/>
      <c r="H827" s="13"/>
      <c r="I827" s="13"/>
      <c r="J827"/>
      <c r="K827"/>
      <c r="L827"/>
      <c r="M827"/>
      <c r="N827"/>
      <c r="O827"/>
      <c r="P827"/>
      <c r="Q827"/>
      <c r="R827"/>
      <c r="S827"/>
      <c r="T827"/>
      <c r="U827"/>
      <c r="V827" s="14"/>
      <c r="W827"/>
      <c r="X827"/>
      <c r="Y827"/>
      <c r="Z827"/>
      <c r="AA827"/>
      <c r="AB827"/>
      <c r="AC827"/>
      <c r="AD827"/>
      <c r="AE827"/>
      <c r="AF827"/>
      <c r="AG827" s="15"/>
      <c r="AH827" s="15"/>
      <c r="AI827" s="15"/>
      <c r="AJ827"/>
      <c r="AK827"/>
      <c r="AL827"/>
      <c r="AM827"/>
      <c r="AN827"/>
      <c r="AO827"/>
      <c r="AP827"/>
      <c r="AQ827" s="15"/>
      <c r="AR827"/>
      <c r="AS827"/>
      <c r="AT827"/>
      <c r="AU827"/>
      <c r="AV827"/>
      <c r="AW827" s="13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</row>
    <row r="828" spans="1:65" s="6" customFormat="1" x14ac:dyDescent="0.25">
      <c r="F828" s="21"/>
      <c r="G828" s="10"/>
      <c r="H828" s="7"/>
      <c r="I828" s="13"/>
      <c r="AF828" s="25"/>
      <c r="AG828" s="7"/>
      <c r="AH828" s="7"/>
      <c r="AI828" s="7"/>
      <c r="AO828" s="26"/>
      <c r="AP828" s="11"/>
      <c r="AQ828" s="7"/>
      <c r="AR828"/>
      <c r="AS828" s="11"/>
      <c r="AW828" s="7"/>
      <c r="BB828" s="24"/>
      <c r="BC828"/>
      <c r="BG828"/>
    </row>
    <row r="829" spans="1:65" s="6" customFormat="1" x14ac:dyDescent="0.25">
      <c r="A829"/>
      <c r="B829"/>
      <c r="C829"/>
      <c r="D829"/>
      <c r="E829"/>
      <c r="F829"/>
      <c r="G829"/>
      <c r="H829" s="13"/>
      <c r="I829" s="7"/>
      <c r="J829"/>
      <c r="K829"/>
      <c r="L829"/>
      <c r="M829"/>
      <c r="N829"/>
      <c r="O829"/>
      <c r="P829"/>
      <c r="Q829"/>
      <c r="R829"/>
      <c r="S829"/>
      <c r="T829"/>
      <c r="U829"/>
      <c r="V829" s="14"/>
      <c r="W829"/>
      <c r="X829"/>
      <c r="Y829"/>
      <c r="Z829"/>
      <c r="AA829"/>
      <c r="AB829"/>
      <c r="AC829"/>
      <c r="AD829"/>
      <c r="AE829"/>
      <c r="AF829"/>
      <c r="AG829" s="15"/>
      <c r="AH829" s="7"/>
      <c r="AI829" s="15"/>
      <c r="AJ829"/>
      <c r="AK829"/>
      <c r="AL829"/>
      <c r="AM829"/>
      <c r="AN829"/>
      <c r="AO829"/>
      <c r="AP829"/>
      <c r="AQ829" s="15"/>
      <c r="AR829"/>
      <c r="AS829"/>
      <c r="AT829"/>
      <c r="AU829"/>
      <c r="AW829" s="13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</row>
    <row r="830" spans="1:65" s="6" customFormat="1" x14ac:dyDescent="0.25">
      <c r="F830" s="21"/>
      <c r="G830" s="10"/>
      <c r="H830" s="7"/>
      <c r="I830" s="13"/>
      <c r="AF830" s="25"/>
      <c r="AG830" s="7"/>
      <c r="AH830" s="7"/>
      <c r="AI830" s="7"/>
      <c r="AO830" s="26"/>
      <c r="AP830" s="11"/>
      <c r="AQ830" s="7"/>
      <c r="AR830"/>
      <c r="AS830" s="11"/>
      <c r="AV830"/>
      <c r="AW830" s="7"/>
      <c r="BB830" s="24"/>
      <c r="BC830"/>
      <c r="BG830"/>
    </row>
    <row r="831" spans="1:65" s="6" customFormat="1" x14ac:dyDescent="0.25">
      <c r="A831"/>
      <c r="B831"/>
      <c r="C831"/>
      <c r="D831"/>
      <c r="E831"/>
      <c r="F831"/>
      <c r="G831"/>
      <c r="H831" s="13"/>
      <c r="I831" s="13"/>
      <c r="J831"/>
      <c r="K831"/>
      <c r="L831"/>
      <c r="M831"/>
      <c r="N831"/>
      <c r="O831"/>
      <c r="P831"/>
      <c r="Q831"/>
      <c r="R831"/>
      <c r="S831"/>
      <c r="T831"/>
      <c r="U831"/>
      <c r="V831" s="14"/>
      <c r="W831"/>
      <c r="X831"/>
      <c r="Y831"/>
      <c r="Z831"/>
      <c r="AA831"/>
      <c r="AB831"/>
      <c r="AC831"/>
      <c r="AD831"/>
      <c r="AE831"/>
      <c r="AF831"/>
      <c r="AG831" s="15"/>
      <c r="AH831" s="15"/>
      <c r="AI831" s="15"/>
      <c r="AJ831"/>
      <c r="AK831"/>
      <c r="AL831"/>
      <c r="AM831"/>
      <c r="AN831"/>
      <c r="AO831"/>
      <c r="AP831"/>
      <c r="AQ831" s="15"/>
      <c r="AR831"/>
      <c r="AS831"/>
      <c r="AT831"/>
      <c r="AU831"/>
      <c r="AW831" s="13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</row>
    <row r="832" spans="1:65" s="6" customFormat="1" x14ac:dyDescent="0.25">
      <c r="A832"/>
      <c r="B832"/>
      <c r="C832"/>
      <c r="D832"/>
      <c r="E832"/>
      <c r="F832"/>
      <c r="G832"/>
      <c r="H832" s="13"/>
      <c r="I832" s="7"/>
      <c r="J832"/>
      <c r="K832"/>
      <c r="L832"/>
      <c r="M832"/>
      <c r="N832"/>
      <c r="O832"/>
      <c r="P832"/>
      <c r="Q832"/>
      <c r="R832"/>
      <c r="S832"/>
      <c r="T832"/>
      <c r="U832"/>
      <c r="V832" s="14"/>
      <c r="W832"/>
      <c r="X832"/>
      <c r="Y832"/>
      <c r="Z832"/>
      <c r="AA832"/>
      <c r="AB832"/>
      <c r="AC832"/>
      <c r="AD832"/>
      <c r="AE832"/>
      <c r="AF832"/>
      <c r="AG832" s="15"/>
      <c r="AH832" s="7"/>
      <c r="AI832" s="15"/>
      <c r="AJ832"/>
      <c r="AK832"/>
      <c r="AL832"/>
      <c r="AM832"/>
      <c r="AN832"/>
      <c r="AO832"/>
      <c r="AP832"/>
      <c r="AQ832" s="15"/>
      <c r="AR832"/>
      <c r="AS832"/>
      <c r="AT832"/>
      <c r="AU832"/>
      <c r="AW832" s="13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</row>
    <row r="833" spans="1:65" s="6" customFormat="1" x14ac:dyDescent="0.25">
      <c r="F833" s="21"/>
      <c r="G833" s="10"/>
      <c r="H833" s="7"/>
      <c r="I833" s="13"/>
      <c r="AF833" s="25"/>
      <c r="AG833" s="7"/>
      <c r="AH833" s="7"/>
      <c r="AI833" s="7"/>
      <c r="AO833" s="26"/>
      <c r="AP833" s="11"/>
      <c r="AQ833" s="7"/>
      <c r="AR833"/>
      <c r="AS833" s="11"/>
      <c r="AV833"/>
      <c r="AW833" s="7"/>
      <c r="BB833" s="24"/>
      <c r="BC833"/>
      <c r="BG833"/>
    </row>
    <row r="834" spans="1:65" s="6" customFormat="1" x14ac:dyDescent="0.25">
      <c r="F834" s="21"/>
      <c r="G834" s="10"/>
      <c r="H834" s="7"/>
      <c r="I834" s="13"/>
      <c r="AF834" s="25"/>
      <c r="AG834" s="7"/>
      <c r="AH834" s="7"/>
      <c r="AI834" s="7"/>
      <c r="AO834" s="26"/>
      <c r="AP834" s="11"/>
      <c r="AQ834" s="7"/>
      <c r="AR834"/>
      <c r="AS834" s="11"/>
      <c r="AW834" s="7"/>
      <c r="BB834" s="24"/>
      <c r="BC834"/>
      <c r="BG834"/>
    </row>
    <row r="835" spans="1:65" s="6" customFormat="1" x14ac:dyDescent="0.25">
      <c r="A835"/>
      <c r="B835"/>
      <c r="C835"/>
      <c r="D835"/>
      <c r="E835"/>
      <c r="F835"/>
      <c r="G835"/>
      <c r="H835" s="13"/>
      <c r="I835" s="13"/>
      <c r="J835"/>
      <c r="K835"/>
      <c r="L835"/>
      <c r="M835"/>
      <c r="N835"/>
      <c r="O835"/>
      <c r="P835"/>
      <c r="Q835"/>
      <c r="R835"/>
      <c r="S835"/>
      <c r="T835"/>
      <c r="U835"/>
      <c r="V835" s="14"/>
      <c r="W835"/>
      <c r="X835"/>
      <c r="Y835"/>
      <c r="Z835"/>
      <c r="AA835"/>
      <c r="AB835"/>
      <c r="AC835"/>
      <c r="AD835"/>
      <c r="AE835"/>
      <c r="AF835"/>
      <c r="AG835" s="15"/>
      <c r="AH835" s="15"/>
      <c r="AI835" s="15"/>
      <c r="AJ835"/>
      <c r="AK835"/>
      <c r="AL835"/>
      <c r="AM835"/>
      <c r="AN835"/>
      <c r="AO835"/>
      <c r="AP835"/>
      <c r="AQ835" s="15"/>
      <c r="AR835"/>
      <c r="AS835"/>
      <c r="AT835"/>
      <c r="AU835"/>
      <c r="AV835"/>
      <c r="AW835" s="13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</row>
    <row r="836" spans="1:65" s="6" customFormat="1" x14ac:dyDescent="0.25">
      <c r="A836"/>
      <c r="B836"/>
      <c r="C836"/>
      <c r="D836"/>
      <c r="E836"/>
      <c r="F836"/>
      <c r="G836"/>
      <c r="H836" s="13"/>
      <c r="I836" s="13"/>
      <c r="J836"/>
      <c r="K836"/>
      <c r="L836"/>
      <c r="M836"/>
      <c r="N836"/>
      <c r="O836"/>
      <c r="P836"/>
      <c r="Q836"/>
      <c r="R836"/>
      <c r="S836"/>
      <c r="T836"/>
      <c r="U836"/>
      <c r="V836" s="14"/>
      <c r="W836"/>
      <c r="X836"/>
      <c r="Y836"/>
      <c r="Z836"/>
      <c r="AA836"/>
      <c r="AB836"/>
      <c r="AC836"/>
      <c r="AD836"/>
      <c r="AE836"/>
      <c r="AF836"/>
      <c r="AG836" s="15"/>
      <c r="AH836" s="15"/>
      <c r="AI836" s="15"/>
      <c r="AJ836"/>
      <c r="AK836"/>
      <c r="AL836"/>
      <c r="AM836"/>
      <c r="AN836"/>
      <c r="AO836"/>
      <c r="AP836"/>
      <c r="AQ836" s="15"/>
      <c r="AR836"/>
      <c r="AS836"/>
      <c r="AT836"/>
      <c r="AU836"/>
      <c r="AV836"/>
      <c r="AW836" s="7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</row>
    <row r="837" spans="1:65" s="6" customFormat="1" x14ac:dyDescent="0.25">
      <c r="F837" s="21"/>
      <c r="G837" s="10"/>
      <c r="H837" s="7"/>
      <c r="I837" s="13"/>
      <c r="AF837" s="25"/>
      <c r="AG837" s="7"/>
      <c r="AH837" s="7"/>
      <c r="AI837" s="7"/>
      <c r="AO837" s="26"/>
      <c r="AP837" s="11"/>
      <c r="AQ837" s="7"/>
      <c r="AR837"/>
      <c r="AS837" s="11"/>
      <c r="AW837" s="7"/>
      <c r="BB837" s="24"/>
      <c r="BC837"/>
      <c r="BG837"/>
    </row>
    <row r="838" spans="1:65" s="6" customFormat="1" x14ac:dyDescent="0.25">
      <c r="A838"/>
      <c r="B838"/>
      <c r="C838"/>
      <c r="D838"/>
      <c r="E838"/>
      <c r="F838"/>
      <c r="G838"/>
      <c r="H838" s="13"/>
      <c r="I838" s="7"/>
      <c r="J838"/>
      <c r="K838"/>
      <c r="L838"/>
      <c r="M838"/>
      <c r="N838"/>
      <c r="O838"/>
      <c r="P838"/>
      <c r="Q838"/>
      <c r="R838"/>
      <c r="S838"/>
      <c r="T838"/>
      <c r="U838"/>
      <c r="V838" s="14"/>
      <c r="W838"/>
      <c r="X838"/>
      <c r="Y838"/>
      <c r="Z838"/>
      <c r="AA838"/>
      <c r="AB838"/>
      <c r="AC838"/>
      <c r="AD838"/>
      <c r="AE838"/>
      <c r="AF838"/>
      <c r="AG838" s="15"/>
      <c r="AH838" s="7"/>
      <c r="AI838" s="15"/>
      <c r="AJ838"/>
      <c r="AK838"/>
      <c r="AL838"/>
      <c r="AM838"/>
      <c r="AN838"/>
      <c r="AO838"/>
      <c r="AP838"/>
      <c r="AQ838" s="15"/>
      <c r="AR838"/>
      <c r="AS838"/>
      <c r="AT838"/>
      <c r="AU838"/>
      <c r="AW838" s="7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</row>
    <row r="839" spans="1:65" s="6" customFormat="1" x14ac:dyDescent="0.25">
      <c r="F839" s="21"/>
      <c r="G839" s="10"/>
      <c r="H839" s="7"/>
      <c r="I839" s="13"/>
      <c r="AF839" s="25"/>
      <c r="AG839" s="7"/>
      <c r="AH839" s="7"/>
      <c r="AI839" s="7"/>
      <c r="AO839" s="26"/>
      <c r="AP839" s="11"/>
      <c r="AQ839" s="7"/>
      <c r="AR839"/>
      <c r="AS839" s="11"/>
      <c r="AV839"/>
      <c r="AW839" s="7"/>
      <c r="BB839" s="24"/>
      <c r="BC839"/>
      <c r="BG839"/>
    </row>
    <row r="840" spans="1:65" s="6" customFormat="1" x14ac:dyDescent="0.25">
      <c r="A840"/>
      <c r="B840"/>
      <c r="C840"/>
      <c r="D840"/>
      <c r="E840"/>
      <c r="F840"/>
      <c r="G840"/>
      <c r="H840" s="13"/>
      <c r="I840" s="13"/>
      <c r="J840"/>
      <c r="K840"/>
      <c r="L840"/>
      <c r="M840"/>
      <c r="N840"/>
      <c r="O840"/>
      <c r="P840"/>
      <c r="Q840"/>
      <c r="R840"/>
      <c r="S840"/>
      <c r="T840"/>
      <c r="U840"/>
      <c r="V840" s="14"/>
      <c r="W840"/>
      <c r="X840"/>
      <c r="Y840"/>
      <c r="Z840"/>
      <c r="AA840"/>
      <c r="AB840"/>
      <c r="AC840"/>
      <c r="AD840"/>
      <c r="AE840"/>
      <c r="AF840"/>
      <c r="AG840" s="15"/>
      <c r="AH840" s="15"/>
      <c r="AI840" s="15"/>
      <c r="AJ840"/>
      <c r="AK840"/>
      <c r="AL840"/>
      <c r="AM840"/>
      <c r="AN840"/>
      <c r="AO840"/>
      <c r="AP840"/>
      <c r="AQ840" s="15"/>
      <c r="AR840"/>
      <c r="AS840"/>
      <c r="AT840"/>
      <c r="AU840"/>
      <c r="AW840" s="13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</row>
    <row r="841" spans="1:65" s="6" customFormat="1" x14ac:dyDescent="0.25">
      <c r="A841"/>
      <c r="B841"/>
      <c r="C841"/>
      <c r="D841"/>
      <c r="E841"/>
      <c r="F841"/>
      <c r="G841"/>
      <c r="H841" s="13"/>
      <c r="I841" s="7"/>
      <c r="J841"/>
      <c r="K841"/>
      <c r="L841"/>
      <c r="M841"/>
      <c r="N841"/>
      <c r="O841"/>
      <c r="P841"/>
      <c r="Q841"/>
      <c r="R841"/>
      <c r="S841"/>
      <c r="T841"/>
      <c r="U841"/>
      <c r="V841" s="14"/>
      <c r="W841"/>
      <c r="X841"/>
      <c r="Y841"/>
      <c r="Z841"/>
      <c r="AA841"/>
      <c r="AB841"/>
      <c r="AC841"/>
      <c r="AD841"/>
      <c r="AE841"/>
      <c r="AF841"/>
      <c r="AG841" s="15"/>
      <c r="AH841" s="7"/>
      <c r="AI841" s="15"/>
      <c r="AJ841"/>
      <c r="AK841"/>
      <c r="AL841"/>
      <c r="AM841"/>
      <c r="AN841"/>
      <c r="AO841"/>
      <c r="AP841"/>
      <c r="AQ841" s="15"/>
      <c r="AR841"/>
      <c r="AS841"/>
      <c r="AT841"/>
      <c r="AU841"/>
      <c r="AW841" s="13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</row>
    <row r="842" spans="1:65" s="6" customFormat="1" x14ac:dyDescent="0.25">
      <c r="F842" s="21"/>
      <c r="G842" s="10"/>
      <c r="H842" s="7"/>
      <c r="I842" s="13"/>
      <c r="AF842" s="25"/>
      <c r="AG842" s="7"/>
      <c r="AH842" s="7"/>
      <c r="AI842" s="7"/>
      <c r="AO842" s="26"/>
      <c r="AP842" s="11"/>
      <c r="AQ842" s="7"/>
      <c r="AR842"/>
      <c r="AS842" s="11"/>
      <c r="AV842"/>
      <c r="AW842" s="7"/>
      <c r="BB842" s="24"/>
      <c r="BC842"/>
      <c r="BG842"/>
    </row>
    <row r="843" spans="1:65" s="6" customFormat="1" x14ac:dyDescent="0.25">
      <c r="F843" s="21"/>
      <c r="G843" s="10"/>
      <c r="H843" s="7"/>
      <c r="I843" s="13"/>
      <c r="AF843" s="25"/>
      <c r="AG843" s="7"/>
      <c r="AH843" s="7"/>
      <c r="AI843" s="7"/>
      <c r="AO843" s="26"/>
      <c r="AP843" s="11"/>
      <c r="AQ843" s="7"/>
      <c r="AR843"/>
      <c r="AS843" s="11"/>
      <c r="AW843" s="7"/>
      <c r="BB843" s="24"/>
      <c r="BC843"/>
      <c r="BG843"/>
    </row>
    <row r="844" spans="1:65" s="6" customFormat="1" x14ac:dyDescent="0.25">
      <c r="A844"/>
      <c r="B844"/>
      <c r="C844"/>
      <c r="D844"/>
      <c r="E844"/>
      <c r="F844"/>
      <c r="G844"/>
      <c r="H844" s="13"/>
      <c r="I844" s="13"/>
      <c r="J844"/>
      <c r="K844"/>
      <c r="L844"/>
      <c r="M844"/>
      <c r="N844"/>
      <c r="O844"/>
      <c r="P844"/>
      <c r="Q844"/>
      <c r="R844"/>
      <c r="S844"/>
      <c r="T844"/>
      <c r="U844"/>
      <c r="V844" s="14"/>
      <c r="W844"/>
      <c r="X844"/>
      <c r="Y844"/>
      <c r="Z844"/>
      <c r="AA844"/>
      <c r="AB844"/>
      <c r="AC844"/>
      <c r="AD844"/>
      <c r="AE844"/>
      <c r="AF844"/>
      <c r="AG844" s="15"/>
      <c r="AH844" s="15"/>
      <c r="AI844" s="15"/>
      <c r="AJ844"/>
      <c r="AK844"/>
      <c r="AL844"/>
      <c r="AM844"/>
      <c r="AN844"/>
      <c r="AO844"/>
      <c r="AP844"/>
      <c r="AQ844" s="15"/>
      <c r="AR844"/>
      <c r="AS844"/>
      <c r="AT844"/>
      <c r="AU844"/>
      <c r="AV844"/>
      <c r="AW844" s="13"/>
      <c r="AX844"/>
      <c r="AY84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  <c r="BM844"/>
    </row>
    <row r="845" spans="1:65" s="6" customFormat="1" x14ac:dyDescent="0.25">
      <c r="A845"/>
      <c r="B845"/>
      <c r="C845"/>
      <c r="D845"/>
      <c r="E845"/>
      <c r="F845"/>
      <c r="G845"/>
      <c r="H845" s="13"/>
      <c r="I845" s="13"/>
      <c r="J845"/>
      <c r="K845"/>
      <c r="L845"/>
      <c r="M845"/>
      <c r="N845"/>
      <c r="O845"/>
      <c r="P845"/>
      <c r="Q845"/>
      <c r="R845"/>
      <c r="S845"/>
      <c r="T845"/>
      <c r="U845"/>
      <c r="V845" s="14"/>
      <c r="W845"/>
      <c r="X845"/>
      <c r="Y845"/>
      <c r="Z845"/>
      <c r="AA845"/>
      <c r="AB845"/>
      <c r="AC845"/>
      <c r="AD845"/>
      <c r="AE845"/>
      <c r="AF845"/>
      <c r="AG845" s="15"/>
      <c r="AH845" s="15"/>
      <c r="AI845" s="15"/>
      <c r="AJ845"/>
      <c r="AK845"/>
      <c r="AL845"/>
      <c r="AM845"/>
      <c r="AN845"/>
      <c r="AO845"/>
      <c r="AP845"/>
      <c r="AQ845" s="15"/>
      <c r="AR845"/>
      <c r="AS845"/>
      <c r="AT845"/>
      <c r="AU845"/>
      <c r="AV845"/>
      <c r="AW845" s="13"/>
      <c r="AX845"/>
      <c r="AY845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  <c r="BM845"/>
    </row>
    <row r="846" spans="1:65" s="6" customFormat="1" x14ac:dyDescent="0.25">
      <c r="F846" s="21"/>
      <c r="G846" s="10"/>
      <c r="H846" s="7"/>
      <c r="I846" s="13"/>
      <c r="AF846" s="25"/>
      <c r="AG846" s="7"/>
      <c r="AH846" s="7"/>
      <c r="AI846" s="7"/>
      <c r="AO846" s="26"/>
      <c r="AP846" s="11"/>
      <c r="AQ846" s="7"/>
      <c r="AR846"/>
      <c r="AS846" s="11"/>
      <c r="AW846" s="7"/>
      <c r="BB846" s="24"/>
      <c r="BC846"/>
      <c r="BG846"/>
    </row>
    <row r="847" spans="1:65" s="6" customFormat="1" x14ac:dyDescent="0.25">
      <c r="A847"/>
      <c r="B847"/>
      <c r="C847"/>
      <c r="D847"/>
      <c r="E847"/>
      <c r="F847"/>
      <c r="G847"/>
      <c r="H847" s="13"/>
      <c r="I847" s="7"/>
      <c r="J847"/>
      <c r="K847"/>
      <c r="L847"/>
      <c r="M847"/>
      <c r="N847"/>
      <c r="O847"/>
      <c r="P847"/>
      <c r="Q847"/>
      <c r="R847"/>
      <c r="S847"/>
      <c r="T847"/>
      <c r="U847"/>
      <c r="V847" s="14"/>
      <c r="W847"/>
      <c r="X847"/>
      <c r="Y847"/>
      <c r="Z847"/>
      <c r="AA847"/>
      <c r="AB847"/>
      <c r="AC847"/>
      <c r="AD847"/>
      <c r="AE847"/>
      <c r="AF847"/>
      <c r="AG847" s="15"/>
      <c r="AH847" s="7"/>
      <c r="AI847" s="15"/>
      <c r="AJ847"/>
      <c r="AK847"/>
      <c r="AL847"/>
      <c r="AM847"/>
      <c r="AN847"/>
      <c r="AO847"/>
      <c r="AP847"/>
      <c r="AQ847" s="15"/>
      <c r="AR847"/>
      <c r="AS847"/>
      <c r="AT847"/>
      <c r="AU847"/>
      <c r="AW847" s="7"/>
      <c r="AX847"/>
      <c r="AY847"/>
      <c r="AZ847"/>
      <c r="BA847"/>
      <c r="BB847"/>
      <c r="BC847"/>
      <c r="BD847"/>
      <c r="BE847"/>
      <c r="BF847"/>
      <c r="BG847"/>
      <c r="BH847"/>
      <c r="BI847"/>
      <c r="BJ847"/>
      <c r="BK847"/>
      <c r="BL847"/>
      <c r="BM847"/>
    </row>
    <row r="848" spans="1:65" s="6" customFormat="1" x14ac:dyDescent="0.25">
      <c r="F848" s="21"/>
      <c r="G848" s="10"/>
      <c r="H848" s="7"/>
      <c r="I848" s="13"/>
      <c r="AF848" s="25"/>
      <c r="AG848" s="7"/>
      <c r="AH848" s="7"/>
      <c r="AI848" s="7"/>
      <c r="AO848" s="26"/>
      <c r="AP848" s="11"/>
      <c r="AQ848" s="7"/>
      <c r="AR848"/>
      <c r="AS848" s="11"/>
      <c r="AV848"/>
      <c r="AW848" s="7"/>
      <c r="BB848" s="24"/>
      <c r="BC848"/>
      <c r="BG848"/>
    </row>
    <row r="849" spans="1:65" s="6" customFormat="1" x14ac:dyDescent="0.25">
      <c r="A849"/>
      <c r="B849"/>
      <c r="C849"/>
      <c r="D849"/>
      <c r="E849"/>
      <c r="F849"/>
      <c r="G849"/>
      <c r="H849" s="13"/>
      <c r="I849" s="13"/>
      <c r="J849"/>
      <c r="K849"/>
      <c r="L849"/>
      <c r="M849"/>
      <c r="N849"/>
      <c r="O849"/>
      <c r="P849"/>
      <c r="Q849"/>
      <c r="R849"/>
      <c r="S849"/>
      <c r="T849"/>
      <c r="U849"/>
      <c r="V849" s="14"/>
      <c r="W849"/>
      <c r="X849"/>
      <c r="Y849"/>
      <c r="Z849"/>
      <c r="AA849"/>
      <c r="AB849"/>
      <c r="AC849"/>
      <c r="AD849"/>
      <c r="AE849"/>
      <c r="AF849"/>
      <c r="AG849" s="15"/>
      <c r="AH849" s="15"/>
      <c r="AI849" s="15"/>
      <c r="AJ849"/>
      <c r="AK849"/>
      <c r="AL849"/>
      <c r="AM849"/>
      <c r="AN849"/>
      <c r="AO849"/>
      <c r="AP849"/>
      <c r="AQ849" s="15"/>
      <c r="AR849"/>
      <c r="AS849"/>
      <c r="AT849"/>
      <c r="AU849"/>
      <c r="AW849" s="13"/>
      <c r="AX849"/>
      <c r="AY849"/>
      <c r="AZ849"/>
      <c r="BA849"/>
      <c r="BB849"/>
      <c r="BC849"/>
      <c r="BD849"/>
      <c r="BE849"/>
      <c r="BF849"/>
      <c r="BG849"/>
      <c r="BH849"/>
      <c r="BI849"/>
      <c r="BJ849"/>
      <c r="BK849"/>
      <c r="BL849"/>
      <c r="BM849"/>
    </row>
    <row r="850" spans="1:65" s="6" customFormat="1" x14ac:dyDescent="0.25">
      <c r="A850"/>
      <c r="B850"/>
      <c r="C850"/>
      <c r="D850"/>
      <c r="E850"/>
      <c r="F850"/>
      <c r="G850"/>
      <c r="H850" s="13"/>
      <c r="I850" s="7"/>
      <c r="J850"/>
      <c r="K850"/>
      <c r="L850"/>
      <c r="M850"/>
      <c r="N850"/>
      <c r="O850"/>
      <c r="P850"/>
      <c r="Q850"/>
      <c r="R850"/>
      <c r="S850"/>
      <c r="T850"/>
      <c r="U850"/>
      <c r="V850" s="14"/>
      <c r="W850"/>
      <c r="X850"/>
      <c r="Y850"/>
      <c r="Z850"/>
      <c r="AA850"/>
      <c r="AB850"/>
      <c r="AC850"/>
      <c r="AD850"/>
      <c r="AE850"/>
      <c r="AF850"/>
      <c r="AG850" s="15"/>
      <c r="AH850" s="7"/>
      <c r="AI850" s="15"/>
      <c r="AJ850"/>
      <c r="AK850"/>
      <c r="AL850"/>
      <c r="AM850"/>
      <c r="AN850"/>
      <c r="AO850"/>
      <c r="AP850"/>
      <c r="AQ850" s="15"/>
      <c r="AR850"/>
      <c r="AS850"/>
      <c r="AT850"/>
      <c r="AU850"/>
      <c r="AW850" s="13"/>
      <c r="AX850"/>
      <c r="AY850"/>
      <c r="AZ850"/>
      <c r="BA850"/>
      <c r="BB850"/>
      <c r="BC850"/>
      <c r="BD850"/>
      <c r="BE850"/>
      <c r="BF850"/>
      <c r="BG850"/>
      <c r="BH850"/>
      <c r="BI850"/>
      <c r="BJ850"/>
      <c r="BK850"/>
      <c r="BL850"/>
      <c r="BM850"/>
    </row>
    <row r="851" spans="1:65" s="6" customFormat="1" x14ac:dyDescent="0.25">
      <c r="F851" s="21"/>
      <c r="G851" s="10"/>
      <c r="H851" s="7"/>
      <c r="I851" s="13"/>
      <c r="AF851" s="25"/>
      <c r="AG851" s="7"/>
      <c r="AH851" s="7"/>
      <c r="AI851" s="7"/>
      <c r="AO851" s="26"/>
      <c r="AP851" s="11"/>
      <c r="AQ851" s="7"/>
      <c r="AR851"/>
      <c r="AS851" s="11"/>
      <c r="AV851"/>
      <c r="AW851" s="7"/>
      <c r="BB851" s="24"/>
      <c r="BC851"/>
      <c r="BG851"/>
    </row>
    <row r="852" spans="1:65" s="6" customFormat="1" x14ac:dyDescent="0.25">
      <c r="F852" s="21"/>
      <c r="G852" s="10"/>
      <c r="H852" s="7"/>
      <c r="I852" s="13"/>
      <c r="AF852" s="25"/>
      <c r="AG852" s="7"/>
      <c r="AH852" s="7"/>
      <c r="AI852" s="7"/>
      <c r="AO852" s="26"/>
      <c r="AP852" s="11"/>
      <c r="AQ852" s="7"/>
      <c r="AR852"/>
      <c r="AS852" s="11"/>
      <c r="AW852" s="7"/>
      <c r="BB852" s="24"/>
      <c r="BC852"/>
      <c r="BG852"/>
    </row>
    <row r="853" spans="1:65" s="6" customFormat="1" x14ac:dyDescent="0.25">
      <c r="A853"/>
      <c r="B853"/>
      <c r="C853"/>
      <c r="D853"/>
      <c r="E853"/>
      <c r="F853"/>
      <c r="G853"/>
      <c r="H853" s="13"/>
      <c r="I853" s="13"/>
      <c r="J853"/>
      <c r="K853"/>
      <c r="L853"/>
      <c r="M853"/>
      <c r="N853"/>
      <c r="O853"/>
      <c r="P853"/>
      <c r="Q853"/>
      <c r="R853"/>
      <c r="S853"/>
      <c r="T853"/>
      <c r="U853"/>
      <c r="V853" s="14"/>
      <c r="W853"/>
      <c r="X853"/>
      <c r="Y853"/>
      <c r="Z853"/>
      <c r="AA853"/>
      <c r="AB853"/>
      <c r="AC853"/>
      <c r="AD853"/>
      <c r="AE853"/>
      <c r="AF853"/>
      <c r="AG853" s="15"/>
      <c r="AH853" s="15"/>
      <c r="AI853" s="15"/>
      <c r="AJ853"/>
      <c r="AK853"/>
      <c r="AL853"/>
      <c r="AM853"/>
      <c r="AN853"/>
      <c r="AO853"/>
      <c r="AP853"/>
      <c r="AQ853" s="15"/>
      <c r="AR853"/>
      <c r="AS853"/>
      <c r="AT853"/>
      <c r="AU853"/>
      <c r="AV853"/>
      <c r="AW853" s="13"/>
      <c r="AX853"/>
      <c r="AY853"/>
      <c r="AZ853"/>
      <c r="BA853"/>
      <c r="BB853"/>
      <c r="BC853"/>
      <c r="BD853"/>
      <c r="BE853"/>
      <c r="BF853"/>
      <c r="BG853"/>
      <c r="BH853"/>
      <c r="BI853"/>
      <c r="BJ853"/>
      <c r="BK853"/>
      <c r="BL853"/>
      <c r="BM853"/>
    </row>
    <row r="854" spans="1:65" s="6" customFormat="1" x14ac:dyDescent="0.25">
      <c r="A854"/>
      <c r="B854"/>
      <c r="C854"/>
      <c r="D854"/>
      <c r="E854"/>
      <c r="F854"/>
      <c r="G854"/>
      <c r="H854" s="13"/>
      <c r="I854" s="13"/>
      <c r="J854"/>
      <c r="K854"/>
      <c r="L854"/>
      <c r="M854"/>
      <c r="N854"/>
      <c r="O854"/>
      <c r="P854"/>
      <c r="Q854"/>
      <c r="R854"/>
      <c r="S854"/>
      <c r="T854"/>
      <c r="U854"/>
      <c r="V854" s="14"/>
      <c r="W854"/>
      <c r="X854"/>
      <c r="Y854"/>
      <c r="Z854"/>
      <c r="AA854"/>
      <c r="AB854"/>
      <c r="AC854"/>
      <c r="AD854"/>
      <c r="AE854"/>
      <c r="AF854"/>
      <c r="AG854" s="15"/>
      <c r="AH854" s="15"/>
      <c r="AI854" s="15"/>
      <c r="AJ854"/>
      <c r="AK854"/>
      <c r="AL854"/>
      <c r="AM854"/>
      <c r="AN854"/>
      <c r="AO854"/>
      <c r="AP854"/>
      <c r="AQ854" s="15"/>
      <c r="AR854"/>
      <c r="AS854"/>
      <c r="AT854"/>
      <c r="AU854"/>
      <c r="AV854"/>
      <c r="AW854" s="13"/>
      <c r="AX854"/>
      <c r="AY854"/>
      <c r="AZ854"/>
      <c r="BA854"/>
      <c r="BB854"/>
      <c r="BC854"/>
      <c r="BD854"/>
      <c r="BE854"/>
      <c r="BF854"/>
      <c r="BG854"/>
      <c r="BH854"/>
      <c r="BI854"/>
      <c r="BJ854"/>
      <c r="BK854"/>
      <c r="BL854"/>
      <c r="BM854"/>
    </row>
    <row r="855" spans="1:65" s="6" customFormat="1" x14ac:dyDescent="0.25">
      <c r="F855" s="21"/>
      <c r="G855" s="10"/>
      <c r="H855" s="7"/>
      <c r="I855" s="13"/>
      <c r="AF855" s="25"/>
      <c r="AG855" s="7"/>
      <c r="AH855" s="7"/>
      <c r="AI855" s="7"/>
      <c r="AO855" s="26"/>
      <c r="AP855" s="11"/>
      <c r="AQ855" s="7"/>
      <c r="AR855"/>
      <c r="AS855" s="11"/>
      <c r="AW855" s="7"/>
      <c r="BB855" s="24"/>
      <c r="BC855"/>
      <c r="BG855"/>
    </row>
    <row r="856" spans="1:65" s="6" customFormat="1" x14ac:dyDescent="0.25">
      <c r="A856"/>
      <c r="B856"/>
      <c r="C856"/>
      <c r="D856"/>
      <c r="E856"/>
      <c r="F856"/>
      <c r="G856"/>
      <c r="H856" s="13"/>
      <c r="I856" s="7"/>
      <c r="J856"/>
      <c r="K856"/>
      <c r="L856"/>
      <c r="M856"/>
      <c r="N856"/>
      <c r="O856"/>
      <c r="P856"/>
      <c r="Q856"/>
      <c r="R856"/>
      <c r="S856"/>
      <c r="T856"/>
      <c r="U856"/>
      <c r="V856" s="14"/>
      <c r="W856"/>
      <c r="X856"/>
      <c r="Y856"/>
      <c r="Z856"/>
      <c r="AA856"/>
      <c r="AB856"/>
      <c r="AC856"/>
      <c r="AD856"/>
      <c r="AE856"/>
      <c r="AF856"/>
      <c r="AG856" s="15"/>
      <c r="AH856" s="7"/>
      <c r="AI856" s="15"/>
      <c r="AJ856"/>
      <c r="AK856"/>
      <c r="AL856"/>
      <c r="AM856"/>
      <c r="AN856"/>
      <c r="AO856"/>
      <c r="AP856"/>
      <c r="AQ856" s="15"/>
      <c r="AR856"/>
      <c r="AS856"/>
      <c r="AT856"/>
      <c r="AU856"/>
      <c r="AW856" s="7"/>
      <c r="AX856"/>
      <c r="AY856"/>
      <c r="AZ856"/>
      <c r="BA856"/>
      <c r="BB856"/>
      <c r="BC856"/>
      <c r="BD856"/>
      <c r="BE856"/>
      <c r="BF856"/>
      <c r="BG856"/>
      <c r="BH856"/>
      <c r="BI856"/>
      <c r="BJ856"/>
      <c r="BK856"/>
      <c r="BL856"/>
      <c r="BM856"/>
    </row>
    <row r="857" spans="1:65" s="6" customFormat="1" x14ac:dyDescent="0.25">
      <c r="F857" s="21"/>
      <c r="G857" s="10"/>
      <c r="H857" s="7"/>
      <c r="I857" s="13"/>
      <c r="AF857" s="25"/>
      <c r="AG857" s="7"/>
      <c r="AH857" s="7"/>
      <c r="AI857" s="7"/>
      <c r="AO857" s="26"/>
      <c r="AP857" s="11"/>
      <c r="AQ857" s="7"/>
      <c r="AR857"/>
      <c r="AS857" s="11"/>
      <c r="AV857"/>
      <c r="AW857" s="7"/>
      <c r="BB857" s="24"/>
      <c r="BC857"/>
      <c r="BG857"/>
    </row>
    <row r="858" spans="1:65" s="6" customFormat="1" x14ac:dyDescent="0.25">
      <c r="A858"/>
      <c r="B858"/>
      <c r="C858"/>
      <c r="D858"/>
      <c r="E858"/>
      <c r="F858"/>
      <c r="G858"/>
      <c r="H858" s="13"/>
      <c r="I858" s="13"/>
      <c r="J858"/>
      <c r="K858"/>
      <c r="L858"/>
      <c r="M858"/>
      <c r="N858"/>
      <c r="O858"/>
      <c r="P858"/>
      <c r="Q858"/>
      <c r="R858"/>
      <c r="S858"/>
      <c r="T858"/>
      <c r="U858"/>
      <c r="V858" s="14"/>
      <c r="W858"/>
      <c r="X858"/>
      <c r="Y858"/>
      <c r="Z858"/>
      <c r="AA858"/>
      <c r="AB858"/>
      <c r="AC858"/>
      <c r="AD858"/>
      <c r="AE858"/>
      <c r="AF858"/>
      <c r="AG858" s="15"/>
      <c r="AH858" s="15"/>
      <c r="AI858" s="15"/>
      <c r="AJ858"/>
      <c r="AK858"/>
      <c r="AL858"/>
      <c r="AM858"/>
      <c r="AN858"/>
      <c r="AO858"/>
      <c r="AP858"/>
      <c r="AQ858" s="15"/>
      <c r="AR858"/>
      <c r="AS858"/>
      <c r="AT858"/>
      <c r="AU858"/>
      <c r="AW858" s="13"/>
      <c r="AX858"/>
      <c r="AY858"/>
      <c r="AZ858"/>
      <c r="BA858"/>
      <c r="BB858"/>
      <c r="BC858"/>
      <c r="BD858"/>
      <c r="BE858"/>
      <c r="BF858"/>
      <c r="BG858"/>
      <c r="BH858"/>
      <c r="BI858"/>
      <c r="BJ858"/>
      <c r="BK858"/>
      <c r="BL858"/>
      <c r="BM858"/>
    </row>
    <row r="859" spans="1:65" s="6" customFormat="1" x14ac:dyDescent="0.25">
      <c r="A859"/>
      <c r="B859"/>
      <c r="C859"/>
      <c r="D859"/>
      <c r="E859"/>
      <c r="F859"/>
      <c r="G859"/>
      <c r="H859" s="13"/>
      <c r="I859" s="7"/>
      <c r="J859"/>
      <c r="K859"/>
      <c r="L859"/>
      <c r="M859"/>
      <c r="N859"/>
      <c r="O859"/>
      <c r="P859"/>
      <c r="Q859"/>
      <c r="R859"/>
      <c r="S859"/>
      <c r="T859"/>
      <c r="U859"/>
      <c r="V859" s="14"/>
      <c r="W859"/>
      <c r="X859"/>
      <c r="Y859"/>
      <c r="Z859"/>
      <c r="AA859"/>
      <c r="AB859"/>
      <c r="AC859"/>
      <c r="AD859"/>
      <c r="AE859"/>
      <c r="AF859"/>
      <c r="AG859" s="15"/>
      <c r="AH859" s="7"/>
      <c r="AI859" s="15"/>
      <c r="AJ859"/>
      <c r="AK859"/>
      <c r="AL859"/>
      <c r="AM859"/>
      <c r="AN859"/>
      <c r="AO859"/>
      <c r="AP859"/>
      <c r="AQ859" s="15"/>
      <c r="AR859"/>
      <c r="AS859"/>
      <c r="AT859"/>
      <c r="AU859"/>
      <c r="AW859" s="13"/>
      <c r="AX859"/>
      <c r="AY859"/>
      <c r="AZ859"/>
      <c r="BA859"/>
      <c r="BB859"/>
      <c r="BC859"/>
      <c r="BD859"/>
      <c r="BE859"/>
      <c r="BF859"/>
      <c r="BG859"/>
      <c r="BH859"/>
      <c r="BI859"/>
      <c r="BJ859"/>
      <c r="BK859"/>
      <c r="BL859"/>
      <c r="BM859"/>
    </row>
    <row r="860" spans="1:65" s="6" customFormat="1" x14ac:dyDescent="0.25">
      <c r="F860" s="21"/>
      <c r="G860" s="10"/>
      <c r="H860" s="7"/>
      <c r="I860" s="13"/>
      <c r="AF860" s="25"/>
      <c r="AG860" s="7"/>
      <c r="AH860" s="7"/>
      <c r="AI860" s="7"/>
      <c r="AO860" s="26"/>
      <c r="AP860" s="11"/>
      <c r="AQ860" s="7"/>
      <c r="AR860"/>
      <c r="AS860" s="11"/>
      <c r="AV860"/>
      <c r="AW860" s="7"/>
      <c r="BB860" s="24"/>
      <c r="BC860"/>
      <c r="BG860"/>
    </row>
    <row r="861" spans="1:65" s="6" customFormat="1" x14ac:dyDescent="0.25">
      <c r="F861" s="21"/>
      <c r="G861" s="10"/>
      <c r="H861" s="7"/>
      <c r="I861" s="13"/>
      <c r="AF861" s="25"/>
      <c r="AG861" s="7"/>
      <c r="AH861" s="7"/>
      <c r="AI861" s="7"/>
      <c r="AO861" s="26"/>
      <c r="AP861" s="11"/>
      <c r="AQ861" s="7"/>
      <c r="AR861"/>
      <c r="AS861" s="11"/>
      <c r="AW861" s="7"/>
      <c r="BB861" s="24"/>
      <c r="BC861"/>
      <c r="BG861"/>
    </row>
    <row r="862" spans="1:65" s="6" customFormat="1" x14ac:dyDescent="0.25">
      <c r="A862"/>
      <c r="B862"/>
      <c r="C862"/>
      <c r="D862"/>
      <c r="E862"/>
      <c r="F862"/>
      <c r="G862"/>
      <c r="H862" s="13"/>
      <c r="I862" s="13"/>
      <c r="J862"/>
      <c r="K862"/>
      <c r="L862"/>
      <c r="M862"/>
      <c r="N862"/>
      <c r="O862"/>
      <c r="P862"/>
      <c r="Q862"/>
      <c r="R862"/>
      <c r="S862"/>
      <c r="T862"/>
      <c r="U862"/>
      <c r="V862" s="14"/>
      <c r="W862"/>
      <c r="X862"/>
      <c r="Y862"/>
      <c r="Z862"/>
      <c r="AA862"/>
      <c r="AB862"/>
      <c r="AC862"/>
      <c r="AD862"/>
      <c r="AE862"/>
      <c r="AF862"/>
      <c r="AG862" s="15"/>
      <c r="AH862" s="15"/>
      <c r="AI862" s="15"/>
      <c r="AJ862"/>
      <c r="AK862"/>
      <c r="AL862"/>
      <c r="AM862"/>
      <c r="AN862"/>
      <c r="AO862"/>
      <c r="AP862"/>
      <c r="AQ862" s="15"/>
      <c r="AR862"/>
      <c r="AS862"/>
      <c r="AT862"/>
      <c r="AU862"/>
      <c r="AV862"/>
      <c r="AW862" s="13"/>
      <c r="AX862"/>
      <c r="AY862"/>
      <c r="AZ862"/>
      <c r="BA862"/>
      <c r="BB862"/>
      <c r="BC862"/>
      <c r="BD862"/>
      <c r="BE862"/>
      <c r="BF862"/>
      <c r="BG862"/>
      <c r="BH862"/>
      <c r="BI862"/>
      <c r="BJ862"/>
      <c r="BK862"/>
      <c r="BL862"/>
      <c r="BM862"/>
    </row>
    <row r="863" spans="1:65" s="6" customFormat="1" x14ac:dyDescent="0.25">
      <c r="A863"/>
      <c r="B863"/>
      <c r="C863"/>
      <c r="D863"/>
      <c r="E863"/>
      <c r="F863"/>
      <c r="G863"/>
      <c r="H863" s="13"/>
      <c r="I863" s="13"/>
      <c r="J863"/>
      <c r="K863"/>
      <c r="L863"/>
      <c r="M863"/>
      <c r="N863"/>
      <c r="O863"/>
      <c r="P863"/>
      <c r="Q863"/>
      <c r="R863"/>
      <c r="S863"/>
      <c r="T863"/>
      <c r="U863"/>
      <c r="V863" s="14"/>
      <c r="W863"/>
      <c r="X863"/>
      <c r="Y863"/>
      <c r="Z863"/>
      <c r="AA863"/>
      <c r="AB863"/>
      <c r="AC863"/>
      <c r="AD863"/>
      <c r="AE863"/>
      <c r="AF863"/>
      <c r="AG863" s="15"/>
      <c r="AH863" s="15"/>
      <c r="AI863" s="15"/>
      <c r="AJ863"/>
      <c r="AK863"/>
      <c r="AL863"/>
      <c r="AM863"/>
      <c r="AN863"/>
      <c r="AO863"/>
      <c r="AP863"/>
      <c r="AQ863" s="15"/>
      <c r="AR863"/>
      <c r="AS863"/>
      <c r="AT863"/>
      <c r="AU863"/>
      <c r="AV863"/>
      <c r="AW863" s="13"/>
      <c r="AX863"/>
      <c r="AY863"/>
      <c r="AZ863"/>
      <c r="BA863"/>
      <c r="BB863"/>
      <c r="BC863"/>
      <c r="BD863"/>
      <c r="BE863"/>
      <c r="BF863"/>
      <c r="BG863"/>
      <c r="BH863"/>
      <c r="BI863"/>
      <c r="BJ863"/>
      <c r="BK863"/>
      <c r="BL863"/>
      <c r="BM863"/>
    </row>
    <row r="864" spans="1:65" s="6" customFormat="1" x14ac:dyDescent="0.25">
      <c r="F864" s="21"/>
      <c r="G864" s="10"/>
      <c r="H864" s="7"/>
      <c r="I864" s="13"/>
      <c r="AF864" s="25"/>
      <c r="AG864" s="7"/>
      <c r="AH864" s="7"/>
      <c r="AI864" s="7"/>
      <c r="AO864" s="26"/>
      <c r="AP864" s="11"/>
      <c r="AQ864" s="7"/>
      <c r="AR864"/>
      <c r="AS864" s="11"/>
      <c r="AW864" s="7"/>
      <c r="BB864" s="24"/>
      <c r="BC864"/>
      <c r="BG864"/>
    </row>
    <row r="865" spans="1:65" s="6" customFormat="1" x14ac:dyDescent="0.25">
      <c r="A865"/>
      <c r="B865"/>
      <c r="C865"/>
      <c r="D865"/>
      <c r="E865"/>
      <c r="F865"/>
      <c r="G865"/>
      <c r="H865" s="13"/>
      <c r="I865" s="7"/>
      <c r="J865"/>
      <c r="K865"/>
      <c r="L865"/>
      <c r="M865"/>
      <c r="N865"/>
      <c r="O865"/>
      <c r="P865"/>
      <c r="Q865"/>
      <c r="R865"/>
      <c r="S865"/>
      <c r="T865"/>
      <c r="U865"/>
      <c r="V865" s="14"/>
      <c r="W865"/>
      <c r="X865"/>
      <c r="Y865"/>
      <c r="Z865"/>
      <c r="AA865"/>
      <c r="AB865"/>
      <c r="AC865"/>
      <c r="AD865"/>
      <c r="AE865"/>
      <c r="AF865"/>
      <c r="AG865" s="15"/>
      <c r="AH865" s="7"/>
      <c r="AI865" s="15"/>
      <c r="AJ865"/>
      <c r="AK865"/>
      <c r="AL865"/>
      <c r="AM865"/>
      <c r="AN865"/>
      <c r="AO865"/>
      <c r="AP865"/>
      <c r="AQ865" s="15"/>
      <c r="AR865"/>
      <c r="AS865"/>
      <c r="AT865"/>
      <c r="AU865"/>
      <c r="AW865" s="13"/>
      <c r="AX865"/>
      <c r="AY865"/>
      <c r="AZ865"/>
      <c r="BA865"/>
      <c r="BB865"/>
      <c r="BC865"/>
      <c r="BD865"/>
      <c r="BE865"/>
      <c r="BF865"/>
      <c r="BG865"/>
      <c r="BH865"/>
      <c r="BI865"/>
      <c r="BJ865"/>
      <c r="BK865"/>
      <c r="BL865"/>
      <c r="BM865"/>
    </row>
    <row r="866" spans="1:65" s="6" customFormat="1" x14ac:dyDescent="0.25">
      <c r="F866" s="21"/>
      <c r="G866" s="10"/>
      <c r="H866" s="7"/>
      <c r="I866" s="13"/>
      <c r="AF866" s="25"/>
      <c r="AG866" s="7"/>
      <c r="AH866" s="7"/>
      <c r="AI866" s="7"/>
      <c r="AO866" s="26"/>
      <c r="AP866" s="11"/>
      <c r="AQ866" s="7"/>
      <c r="AR866"/>
      <c r="AS866" s="11"/>
      <c r="AV866"/>
      <c r="AW866" s="7"/>
      <c r="BB866" s="24"/>
      <c r="BC866"/>
      <c r="BG866"/>
    </row>
    <row r="867" spans="1:65" s="6" customFormat="1" x14ac:dyDescent="0.25">
      <c r="A867"/>
      <c r="B867"/>
      <c r="C867"/>
      <c r="D867"/>
      <c r="E867"/>
      <c r="F867"/>
      <c r="G867"/>
      <c r="H867" s="13"/>
      <c r="I867" s="13"/>
      <c r="J867"/>
      <c r="K867"/>
      <c r="L867"/>
      <c r="M867"/>
      <c r="N867"/>
      <c r="O867"/>
      <c r="P867"/>
      <c r="Q867"/>
      <c r="R867"/>
      <c r="S867"/>
      <c r="T867"/>
      <c r="U867"/>
      <c r="V867" s="14"/>
      <c r="W867"/>
      <c r="X867"/>
      <c r="Y867"/>
      <c r="Z867"/>
      <c r="AA867"/>
      <c r="AB867"/>
      <c r="AC867"/>
      <c r="AD867"/>
      <c r="AE867"/>
      <c r="AF867"/>
      <c r="AG867" s="15"/>
      <c r="AH867" s="15"/>
      <c r="AI867" s="15"/>
      <c r="AJ867"/>
      <c r="AK867"/>
      <c r="AL867"/>
      <c r="AM867"/>
      <c r="AN867"/>
      <c r="AO867"/>
      <c r="AP867"/>
      <c r="AQ867" s="15"/>
      <c r="AR867"/>
      <c r="AS867"/>
      <c r="AT867"/>
      <c r="AU867"/>
      <c r="AW867" s="13"/>
      <c r="AX867"/>
      <c r="AY867"/>
      <c r="AZ867"/>
      <c r="BA867"/>
      <c r="BB867"/>
      <c r="BC867"/>
      <c r="BD867"/>
      <c r="BE867"/>
      <c r="BF867"/>
      <c r="BG867"/>
      <c r="BH867"/>
      <c r="BI867"/>
      <c r="BJ867"/>
      <c r="BK867"/>
      <c r="BL867"/>
      <c r="BM867"/>
    </row>
    <row r="868" spans="1:65" s="6" customFormat="1" x14ac:dyDescent="0.25">
      <c r="A868"/>
      <c r="B868"/>
      <c r="C868"/>
      <c r="D868"/>
      <c r="E868"/>
      <c r="F868"/>
      <c r="G868"/>
      <c r="H868" s="13"/>
      <c r="I868" s="7"/>
      <c r="J868"/>
      <c r="K868"/>
      <c r="L868"/>
      <c r="M868"/>
      <c r="N868"/>
      <c r="O868"/>
      <c r="P868"/>
      <c r="Q868"/>
      <c r="R868"/>
      <c r="S868"/>
      <c r="T868"/>
      <c r="U868"/>
      <c r="V868" s="14"/>
      <c r="W868"/>
      <c r="X868"/>
      <c r="Y868"/>
      <c r="Z868"/>
      <c r="AA868"/>
      <c r="AB868"/>
      <c r="AC868"/>
      <c r="AD868"/>
      <c r="AE868"/>
      <c r="AF868"/>
      <c r="AG868" s="15"/>
      <c r="AH868" s="7"/>
      <c r="AI868" s="15"/>
      <c r="AJ868"/>
      <c r="AK868"/>
      <c r="AL868"/>
      <c r="AM868"/>
      <c r="AN868"/>
      <c r="AO868"/>
      <c r="AP868"/>
      <c r="AQ868" s="15"/>
      <c r="AR868"/>
      <c r="AS868"/>
      <c r="AT868"/>
      <c r="AU868"/>
      <c r="AW868" s="13"/>
      <c r="AX868"/>
      <c r="AY868"/>
      <c r="AZ868"/>
      <c r="BA868"/>
      <c r="BB868"/>
      <c r="BC868"/>
      <c r="BD868"/>
      <c r="BE868"/>
      <c r="BF868"/>
      <c r="BG868"/>
      <c r="BH868"/>
      <c r="BI868"/>
      <c r="BJ868"/>
      <c r="BK868"/>
      <c r="BL868"/>
      <c r="BM868"/>
    </row>
    <row r="869" spans="1:65" s="6" customFormat="1" x14ac:dyDescent="0.25">
      <c r="F869" s="21"/>
      <c r="G869" s="10"/>
      <c r="H869" s="7"/>
      <c r="I869" s="13"/>
      <c r="AF869" s="25"/>
      <c r="AG869" s="7"/>
      <c r="AH869" s="7"/>
      <c r="AI869" s="7"/>
      <c r="AO869" s="26"/>
      <c r="AP869" s="11"/>
      <c r="AQ869" s="7"/>
      <c r="AR869"/>
      <c r="AS869" s="11"/>
      <c r="AV869"/>
      <c r="AW869" s="7"/>
      <c r="BB869" s="24"/>
      <c r="BC869"/>
      <c r="BG869"/>
    </row>
    <row r="870" spans="1:65" s="6" customFormat="1" x14ac:dyDescent="0.25">
      <c r="F870" s="21"/>
      <c r="G870" s="10"/>
      <c r="H870" s="7"/>
      <c r="I870" s="13"/>
      <c r="AF870" s="25"/>
      <c r="AG870" s="7"/>
      <c r="AH870" s="7"/>
      <c r="AI870" s="7"/>
      <c r="AO870" s="26"/>
      <c r="AP870" s="11"/>
      <c r="AQ870" s="7"/>
      <c r="AR870"/>
      <c r="AS870" s="11"/>
      <c r="AW870" s="7"/>
      <c r="BB870" s="24"/>
      <c r="BC870"/>
      <c r="BG870"/>
    </row>
    <row r="871" spans="1:65" s="6" customFormat="1" x14ac:dyDescent="0.25">
      <c r="A871"/>
      <c r="B871"/>
      <c r="C871"/>
      <c r="D871"/>
      <c r="E871"/>
      <c r="F871"/>
      <c r="G871"/>
      <c r="H871" s="13"/>
      <c r="I871" s="13"/>
      <c r="J871"/>
      <c r="K871"/>
      <c r="L871"/>
      <c r="M871"/>
      <c r="N871"/>
      <c r="O871"/>
      <c r="P871"/>
      <c r="Q871"/>
      <c r="R871"/>
      <c r="S871"/>
      <c r="T871"/>
      <c r="U871"/>
      <c r="V871" s="14"/>
      <c r="W871"/>
      <c r="X871"/>
      <c r="Y871"/>
      <c r="Z871"/>
      <c r="AA871"/>
      <c r="AB871"/>
      <c r="AC871"/>
      <c r="AD871"/>
      <c r="AE871"/>
      <c r="AF871"/>
      <c r="AG871" s="15"/>
      <c r="AH871" s="15"/>
      <c r="AI871" s="15"/>
      <c r="AJ871"/>
      <c r="AK871"/>
      <c r="AL871"/>
      <c r="AM871"/>
      <c r="AN871"/>
      <c r="AO871"/>
      <c r="AP871"/>
      <c r="AQ871" s="15"/>
      <c r="AR871"/>
      <c r="AS871"/>
      <c r="AT871"/>
      <c r="AU871"/>
      <c r="AV871"/>
      <c r="AW871" s="13"/>
      <c r="AX871"/>
      <c r="AY871"/>
      <c r="AZ871"/>
      <c r="BA871"/>
      <c r="BB871"/>
      <c r="BC871"/>
      <c r="BD871"/>
      <c r="BE871"/>
      <c r="BF871"/>
      <c r="BG871"/>
      <c r="BH871"/>
      <c r="BI871"/>
      <c r="BJ871"/>
      <c r="BK871"/>
      <c r="BL871"/>
      <c r="BM871"/>
    </row>
    <row r="872" spans="1:65" s="6" customFormat="1" x14ac:dyDescent="0.25">
      <c r="A872"/>
      <c r="B872"/>
      <c r="C872"/>
      <c r="D872"/>
      <c r="E872"/>
      <c r="F872"/>
      <c r="G872"/>
      <c r="H872" s="13"/>
      <c r="I872" s="13"/>
      <c r="J872"/>
      <c r="K872"/>
      <c r="L872"/>
      <c r="M872"/>
      <c r="N872"/>
      <c r="O872"/>
      <c r="P872"/>
      <c r="Q872"/>
      <c r="R872"/>
      <c r="S872"/>
      <c r="T872"/>
      <c r="U872"/>
      <c r="V872" s="14"/>
      <c r="W872"/>
      <c r="X872"/>
      <c r="Y872"/>
      <c r="Z872"/>
      <c r="AA872"/>
      <c r="AB872"/>
      <c r="AC872"/>
      <c r="AD872"/>
      <c r="AE872"/>
      <c r="AF872"/>
      <c r="AG872" s="15"/>
      <c r="AH872" s="15"/>
      <c r="AI872" s="15"/>
      <c r="AJ872"/>
      <c r="AK872"/>
      <c r="AL872"/>
      <c r="AM872"/>
      <c r="AN872"/>
      <c r="AO872"/>
      <c r="AP872"/>
      <c r="AQ872" s="15"/>
      <c r="AR872"/>
      <c r="AS872"/>
      <c r="AT872"/>
      <c r="AU872"/>
      <c r="AV872"/>
      <c r="AW872" s="13"/>
      <c r="AX872"/>
      <c r="AY872"/>
      <c r="AZ872"/>
      <c r="BA872"/>
      <c r="BB872"/>
      <c r="BC872"/>
      <c r="BD872"/>
      <c r="BE872"/>
      <c r="BF872"/>
      <c r="BG872"/>
      <c r="BH872"/>
      <c r="BI872"/>
      <c r="BJ872"/>
      <c r="BK872"/>
      <c r="BL872"/>
      <c r="BM872"/>
    </row>
    <row r="873" spans="1:65" s="6" customFormat="1" x14ac:dyDescent="0.25">
      <c r="F873" s="21"/>
      <c r="G873" s="10"/>
      <c r="H873" s="7"/>
      <c r="I873" s="13"/>
      <c r="AF873" s="25"/>
      <c r="AG873" s="7"/>
      <c r="AH873" s="7"/>
      <c r="AI873" s="7"/>
      <c r="AO873" s="26"/>
      <c r="AP873" s="11"/>
      <c r="AQ873" s="7"/>
      <c r="AR873"/>
      <c r="AS873" s="11"/>
      <c r="AW873" s="7"/>
      <c r="BB873" s="24"/>
      <c r="BC873"/>
      <c r="BG873"/>
    </row>
    <row r="874" spans="1:65" s="6" customFormat="1" x14ac:dyDescent="0.25">
      <c r="A874"/>
      <c r="B874"/>
      <c r="C874"/>
      <c r="D874"/>
      <c r="E874"/>
      <c r="F874"/>
      <c r="G874"/>
      <c r="H874" s="13"/>
      <c r="I874" s="7"/>
      <c r="J874"/>
      <c r="K874"/>
      <c r="L874"/>
      <c r="M874"/>
      <c r="N874"/>
      <c r="O874"/>
      <c r="P874"/>
      <c r="Q874"/>
      <c r="R874"/>
      <c r="S874"/>
      <c r="T874"/>
      <c r="U874"/>
      <c r="V874" s="14"/>
      <c r="W874"/>
      <c r="X874"/>
      <c r="Y874"/>
      <c r="Z874"/>
      <c r="AA874"/>
      <c r="AB874"/>
      <c r="AC874"/>
      <c r="AD874"/>
      <c r="AE874"/>
      <c r="AF874"/>
      <c r="AG874" s="15"/>
      <c r="AH874" s="7"/>
      <c r="AI874" s="15"/>
      <c r="AJ874"/>
      <c r="AK874"/>
      <c r="AL874"/>
      <c r="AM874"/>
      <c r="AN874"/>
      <c r="AO874"/>
      <c r="AP874"/>
      <c r="AQ874" s="15"/>
      <c r="AR874"/>
      <c r="AS874"/>
      <c r="AT874"/>
      <c r="AU874"/>
      <c r="AW874" s="7"/>
      <c r="AX874"/>
      <c r="AY874"/>
      <c r="AZ874"/>
      <c r="BA874"/>
      <c r="BB874"/>
      <c r="BC874"/>
      <c r="BD874"/>
      <c r="BE874"/>
      <c r="BF874"/>
      <c r="BG874"/>
      <c r="BH874"/>
      <c r="BI874"/>
      <c r="BJ874"/>
      <c r="BK874"/>
      <c r="BL874"/>
      <c r="BM874"/>
    </row>
    <row r="875" spans="1:65" s="6" customFormat="1" x14ac:dyDescent="0.25">
      <c r="F875" s="21"/>
      <c r="G875" s="10"/>
      <c r="H875" s="7"/>
      <c r="I875" s="13"/>
      <c r="AF875" s="25"/>
      <c r="AG875" s="7"/>
      <c r="AH875" s="7"/>
      <c r="AI875" s="7"/>
      <c r="AO875" s="26"/>
      <c r="AP875" s="11"/>
      <c r="AQ875" s="7"/>
      <c r="AR875"/>
      <c r="AS875" s="11"/>
      <c r="AV875"/>
      <c r="AW875" s="7"/>
      <c r="BB875" s="24"/>
      <c r="BC875"/>
      <c r="BG875"/>
    </row>
    <row r="876" spans="1:65" s="6" customFormat="1" x14ac:dyDescent="0.25">
      <c r="A876"/>
      <c r="B876"/>
      <c r="C876"/>
      <c r="D876"/>
      <c r="E876"/>
      <c r="F876"/>
      <c r="G876"/>
      <c r="H876" s="13"/>
      <c r="I876" s="13"/>
      <c r="J876"/>
      <c r="K876"/>
      <c r="L876"/>
      <c r="M876"/>
      <c r="N876"/>
      <c r="O876"/>
      <c r="P876"/>
      <c r="Q876"/>
      <c r="R876"/>
      <c r="S876"/>
      <c r="T876"/>
      <c r="U876"/>
      <c r="V876" s="14"/>
      <c r="W876"/>
      <c r="X876"/>
      <c r="Y876"/>
      <c r="Z876"/>
      <c r="AA876"/>
      <c r="AB876"/>
      <c r="AC876"/>
      <c r="AD876"/>
      <c r="AE876"/>
      <c r="AF876"/>
      <c r="AG876" s="15"/>
      <c r="AH876" s="15"/>
      <c r="AI876" s="15"/>
      <c r="AJ876"/>
      <c r="AK876"/>
      <c r="AL876"/>
      <c r="AM876"/>
      <c r="AN876"/>
      <c r="AO876"/>
      <c r="AP876"/>
      <c r="AQ876" s="15"/>
      <c r="AR876"/>
      <c r="AS876"/>
      <c r="AT876"/>
      <c r="AU876"/>
      <c r="AW876" s="13"/>
      <c r="AX876"/>
      <c r="AY876"/>
      <c r="AZ876"/>
      <c r="BA876"/>
      <c r="BB876"/>
      <c r="BC876"/>
      <c r="BD876"/>
      <c r="BE876"/>
      <c r="BF876"/>
      <c r="BG876"/>
      <c r="BH876"/>
      <c r="BI876"/>
      <c r="BJ876"/>
      <c r="BK876"/>
      <c r="BL876"/>
      <c r="BM876"/>
    </row>
    <row r="877" spans="1:65" s="6" customFormat="1" x14ac:dyDescent="0.25">
      <c r="A877"/>
      <c r="B877"/>
      <c r="C877"/>
      <c r="D877"/>
      <c r="E877"/>
      <c r="F877"/>
      <c r="G877"/>
      <c r="H877" s="13"/>
      <c r="I877" s="7"/>
      <c r="J877"/>
      <c r="K877"/>
      <c r="L877"/>
      <c r="M877"/>
      <c r="N877"/>
      <c r="O877"/>
      <c r="P877"/>
      <c r="Q877"/>
      <c r="R877"/>
      <c r="S877"/>
      <c r="T877"/>
      <c r="U877"/>
      <c r="V877" s="14"/>
      <c r="W877"/>
      <c r="X877"/>
      <c r="Y877"/>
      <c r="Z877"/>
      <c r="AA877"/>
      <c r="AB877"/>
      <c r="AC877"/>
      <c r="AD877"/>
      <c r="AE877"/>
      <c r="AF877"/>
      <c r="AG877" s="15"/>
      <c r="AH877" s="7"/>
      <c r="AI877" s="15"/>
      <c r="AJ877"/>
      <c r="AK877"/>
      <c r="AL877"/>
      <c r="AM877"/>
      <c r="AN877"/>
      <c r="AO877"/>
      <c r="AP877"/>
      <c r="AQ877" s="15"/>
      <c r="AR877"/>
      <c r="AS877"/>
      <c r="AT877"/>
      <c r="AU877"/>
      <c r="AW877" s="13"/>
      <c r="AX877"/>
      <c r="AY877"/>
      <c r="AZ877"/>
      <c r="BA877"/>
      <c r="BB877"/>
      <c r="BC877"/>
      <c r="BD877"/>
      <c r="BE877"/>
      <c r="BF877"/>
      <c r="BG877"/>
      <c r="BH877"/>
      <c r="BI877"/>
      <c r="BJ877"/>
      <c r="BK877"/>
      <c r="BL877"/>
      <c r="BM877"/>
    </row>
    <row r="878" spans="1:65" s="6" customFormat="1" x14ac:dyDescent="0.25">
      <c r="F878" s="21"/>
      <c r="G878" s="10"/>
      <c r="H878" s="7"/>
      <c r="I878" s="13"/>
      <c r="AF878" s="25"/>
      <c r="AG878" s="7"/>
      <c r="AH878" s="7"/>
      <c r="AI878" s="7"/>
      <c r="AO878" s="26"/>
      <c r="AP878" s="11"/>
      <c r="AQ878" s="7"/>
      <c r="AR878"/>
      <c r="AS878" s="11"/>
      <c r="AV878"/>
      <c r="AW878" s="7"/>
      <c r="BB878" s="24"/>
      <c r="BC878"/>
      <c r="BG878"/>
    </row>
    <row r="879" spans="1:65" s="6" customFormat="1" x14ac:dyDescent="0.25">
      <c r="F879" s="21"/>
      <c r="G879" s="10"/>
      <c r="H879" s="7"/>
      <c r="I879" s="13"/>
      <c r="AF879" s="25"/>
      <c r="AG879" s="7"/>
      <c r="AH879" s="7"/>
      <c r="AI879" s="7"/>
      <c r="AO879" s="26"/>
      <c r="AP879" s="11"/>
      <c r="AQ879" s="7"/>
      <c r="AR879"/>
      <c r="AS879" s="11"/>
      <c r="AW879" s="7"/>
      <c r="BB879" s="24"/>
      <c r="BC879"/>
      <c r="BG879"/>
    </row>
    <row r="880" spans="1:65" s="6" customFormat="1" x14ac:dyDescent="0.25">
      <c r="A880"/>
      <c r="B880"/>
      <c r="C880"/>
      <c r="D880"/>
      <c r="E880"/>
      <c r="F880"/>
      <c r="G880"/>
      <c r="H880" s="13"/>
      <c r="I880" s="13"/>
      <c r="J880"/>
      <c r="K880"/>
      <c r="L880"/>
      <c r="M880"/>
      <c r="N880"/>
      <c r="O880"/>
      <c r="P880"/>
      <c r="Q880"/>
      <c r="R880"/>
      <c r="S880"/>
      <c r="T880"/>
      <c r="U880"/>
      <c r="V880" s="14"/>
      <c r="W880"/>
      <c r="X880"/>
      <c r="Y880"/>
      <c r="Z880"/>
      <c r="AA880"/>
      <c r="AB880"/>
      <c r="AC880"/>
      <c r="AD880"/>
      <c r="AE880"/>
      <c r="AF880"/>
      <c r="AG880" s="15"/>
      <c r="AH880" s="15"/>
      <c r="AI880" s="15"/>
      <c r="AJ880"/>
      <c r="AK880"/>
      <c r="AL880"/>
      <c r="AM880"/>
      <c r="AN880"/>
      <c r="AO880"/>
      <c r="AP880"/>
      <c r="AQ880" s="15"/>
      <c r="AR880"/>
      <c r="AS880"/>
      <c r="AT880"/>
      <c r="AU880"/>
      <c r="AV880"/>
      <c r="AW880" s="13"/>
      <c r="AX880"/>
      <c r="AY880"/>
      <c r="AZ880"/>
      <c r="BA880"/>
      <c r="BB880"/>
      <c r="BC880"/>
      <c r="BD880"/>
      <c r="BE880"/>
      <c r="BF880"/>
      <c r="BG880"/>
      <c r="BH880"/>
      <c r="BI880"/>
      <c r="BJ880"/>
      <c r="BK880"/>
      <c r="BL880"/>
      <c r="BM880"/>
    </row>
    <row r="881" spans="1:65" s="6" customFormat="1" x14ac:dyDescent="0.25">
      <c r="A881"/>
      <c r="B881"/>
      <c r="C881"/>
      <c r="D881"/>
      <c r="E881"/>
      <c r="F881"/>
      <c r="G881"/>
      <c r="H881" s="13"/>
      <c r="I881" s="13"/>
      <c r="J881"/>
      <c r="K881"/>
      <c r="L881"/>
      <c r="M881"/>
      <c r="N881"/>
      <c r="O881"/>
      <c r="P881"/>
      <c r="Q881"/>
      <c r="R881"/>
      <c r="S881"/>
      <c r="T881"/>
      <c r="U881"/>
      <c r="V881" s="14"/>
      <c r="W881"/>
      <c r="X881"/>
      <c r="Y881"/>
      <c r="Z881"/>
      <c r="AA881"/>
      <c r="AB881"/>
      <c r="AC881"/>
      <c r="AD881"/>
      <c r="AE881"/>
      <c r="AF881"/>
      <c r="AG881" s="15"/>
      <c r="AH881" s="15"/>
      <c r="AI881" s="15"/>
      <c r="AJ881"/>
      <c r="AK881"/>
      <c r="AL881"/>
      <c r="AM881"/>
      <c r="AN881"/>
      <c r="AO881"/>
      <c r="AP881"/>
      <c r="AQ881" s="15"/>
      <c r="AR881"/>
      <c r="AS881"/>
      <c r="AT881"/>
      <c r="AU881"/>
      <c r="AV881"/>
      <c r="AW881" s="13"/>
      <c r="AX881"/>
      <c r="AY881"/>
      <c r="AZ881"/>
      <c r="BA881"/>
      <c r="BB881"/>
      <c r="BC881"/>
      <c r="BD881"/>
      <c r="BE881"/>
      <c r="BF881"/>
      <c r="BG881"/>
      <c r="BH881"/>
      <c r="BI881"/>
      <c r="BJ881"/>
      <c r="BK881"/>
      <c r="BL881"/>
      <c r="BM881"/>
    </row>
    <row r="882" spans="1:65" s="6" customFormat="1" x14ac:dyDescent="0.25">
      <c r="F882" s="21"/>
      <c r="G882" s="10"/>
      <c r="H882" s="7"/>
      <c r="I882" s="13"/>
      <c r="AF882" s="25"/>
      <c r="AG882" s="7"/>
      <c r="AH882" s="7"/>
      <c r="AI882" s="7"/>
      <c r="AO882" s="26"/>
      <c r="AP882" s="11"/>
      <c r="AQ882" s="7"/>
      <c r="AR882"/>
      <c r="AS882" s="11"/>
      <c r="AW882" s="7"/>
      <c r="BB882" s="24"/>
      <c r="BC882"/>
      <c r="BG882"/>
    </row>
    <row r="883" spans="1:65" s="6" customFormat="1" x14ac:dyDescent="0.25">
      <c r="A883"/>
      <c r="B883"/>
      <c r="C883"/>
      <c r="D883"/>
      <c r="E883"/>
      <c r="F883"/>
      <c r="G883"/>
      <c r="H883" s="13"/>
      <c r="I883" s="7"/>
      <c r="J883"/>
      <c r="K883"/>
      <c r="L883"/>
      <c r="M883"/>
      <c r="N883"/>
      <c r="O883"/>
      <c r="P883"/>
      <c r="Q883"/>
      <c r="R883"/>
      <c r="S883"/>
      <c r="T883"/>
      <c r="U883"/>
      <c r="V883" s="14"/>
      <c r="W883"/>
      <c r="X883"/>
      <c r="Y883"/>
      <c r="Z883"/>
      <c r="AA883"/>
      <c r="AB883"/>
      <c r="AC883"/>
      <c r="AD883"/>
      <c r="AE883"/>
      <c r="AF883"/>
      <c r="AG883" s="15"/>
      <c r="AH883" s="7"/>
      <c r="AI883" s="15"/>
      <c r="AJ883"/>
      <c r="AK883"/>
      <c r="AL883"/>
      <c r="AM883"/>
      <c r="AN883"/>
      <c r="AO883"/>
      <c r="AP883"/>
      <c r="AQ883" s="15"/>
      <c r="AR883"/>
      <c r="AS883"/>
      <c r="AT883"/>
      <c r="AU883"/>
      <c r="AW883" s="7"/>
      <c r="AX883"/>
      <c r="AY883"/>
      <c r="AZ883"/>
      <c r="BA883"/>
      <c r="BB883"/>
      <c r="BC883"/>
      <c r="BD883"/>
      <c r="BE883"/>
      <c r="BF883"/>
      <c r="BG883"/>
      <c r="BH883"/>
      <c r="BI883"/>
      <c r="BJ883"/>
      <c r="BK883"/>
      <c r="BL883"/>
      <c r="BM883"/>
    </row>
    <row r="884" spans="1:65" s="6" customFormat="1" x14ac:dyDescent="0.25">
      <c r="F884" s="21"/>
      <c r="G884" s="10"/>
      <c r="H884" s="7"/>
      <c r="I884" s="13"/>
      <c r="AF884" s="25"/>
      <c r="AG884" s="7"/>
      <c r="AH884" s="7"/>
      <c r="AI884" s="7"/>
      <c r="AO884" s="26"/>
      <c r="AP884" s="11"/>
      <c r="AQ884" s="7"/>
      <c r="AR884"/>
      <c r="AS884" s="11"/>
      <c r="AV884"/>
      <c r="AW884" s="7"/>
      <c r="BB884" s="24"/>
      <c r="BC884"/>
      <c r="BG884"/>
    </row>
    <row r="885" spans="1:65" s="6" customFormat="1" x14ac:dyDescent="0.25">
      <c r="A885"/>
      <c r="B885"/>
      <c r="C885"/>
      <c r="D885"/>
      <c r="E885"/>
      <c r="F885"/>
      <c r="G885"/>
      <c r="H885" s="13"/>
      <c r="I885" s="13"/>
      <c r="J885"/>
      <c r="K885"/>
      <c r="L885"/>
      <c r="M885"/>
      <c r="N885"/>
      <c r="O885"/>
      <c r="P885"/>
      <c r="Q885"/>
      <c r="R885"/>
      <c r="S885"/>
      <c r="T885"/>
      <c r="U885"/>
      <c r="V885" s="14"/>
      <c r="W885"/>
      <c r="X885"/>
      <c r="Y885"/>
      <c r="Z885"/>
      <c r="AA885"/>
      <c r="AB885"/>
      <c r="AC885"/>
      <c r="AD885"/>
      <c r="AE885"/>
      <c r="AF885"/>
      <c r="AG885" s="15"/>
      <c r="AH885" s="15"/>
      <c r="AI885" s="15"/>
      <c r="AJ885"/>
      <c r="AK885"/>
      <c r="AL885"/>
      <c r="AM885"/>
      <c r="AN885"/>
      <c r="AO885"/>
      <c r="AP885"/>
      <c r="AQ885" s="15"/>
      <c r="AR885"/>
      <c r="AS885"/>
      <c r="AT885"/>
      <c r="AU885"/>
      <c r="AW885" s="13"/>
      <c r="AX885"/>
      <c r="AY885"/>
      <c r="AZ885"/>
      <c r="BA885"/>
      <c r="BB885"/>
      <c r="BC885"/>
      <c r="BD885"/>
      <c r="BE885"/>
      <c r="BF885"/>
      <c r="BG885"/>
      <c r="BH885"/>
      <c r="BI885"/>
      <c r="BJ885"/>
      <c r="BK885"/>
      <c r="BL885"/>
      <c r="BM885"/>
    </row>
    <row r="886" spans="1:65" s="6" customFormat="1" x14ac:dyDescent="0.25">
      <c r="A886"/>
      <c r="B886"/>
      <c r="C886"/>
      <c r="D886"/>
      <c r="E886"/>
      <c r="F886"/>
      <c r="G886"/>
      <c r="H886" s="13"/>
      <c r="I886" s="7"/>
      <c r="J886"/>
      <c r="K886"/>
      <c r="L886"/>
      <c r="M886"/>
      <c r="N886"/>
      <c r="O886"/>
      <c r="P886"/>
      <c r="Q886"/>
      <c r="R886"/>
      <c r="S886"/>
      <c r="T886"/>
      <c r="U886"/>
      <c r="V886" s="14"/>
      <c r="W886"/>
      <c r="X886"/>
      <c r="Y886"/>
      <c r="Z886"/>
      <c r="AA886"/>
      <c r="AB886"/>
      <c r="AC886"/>
      <c r="AD886"/>
      <c r="AE886"/>
      <c r="AF886"/>
      <c r="AG886" s="15"/>
      <c r="AH886" s="7"/>
      <c r="AI886" s="15"/>
      <c r="AJ886"/>
      <c r="AK886"/>
      <c r="AL886"/>
      <c r="AM886"/>
      <c r="AN886"/>
      <c r="AO886"/>
      <c r="AP886"/>
      <c r="AQ886" s="15"/>
      <c r="AR886"/>
      <c r="AS886"/>
      <c r="AT886"/>
      <c r="AU886"/>
      <c r="AW886" s="13"/>
      <c r="AX886"/>
      <c r="AY886"/>
      <c r="AZ886"/>
      <c r="BA886"/>
      <c r="BB886"/>
      <c r="BC886"/>
      <c r="BD886"/>
      <c r="BE886"/>
      <c r="BF886"/>
      <c r="BG886"/>
      <c r="BH886"/>
      <c r="BI886"/>
      <c r="BJ886"/>
      <c r="BK886"/>
      <c r="BL886"/>
      <c r="BM886"/>
    </row>
    <row r="887" spans="1:65" s="6" customFormat="1" x14ac:dyDescent="0.25">
      <c r="F887" s="21"/>
      <c r="G887" s="10"/>
      <c r="H887" s="7"/>
      <c r="I887" s="13"/>
      <c r="AF887" s="25"/>
      <c r="AG887" s="7"/>
      <c r="AH887" s="7"/>
      <c r="AI887" s="7"/>
      <c r="AO887" s="26"/>
      <c r="AP887" s="11"/>
      <c r="AQ887" s="7"/>
      <c r="AR887"/>
      <c r="AS887" s="11"/>
      <c r="AV887"/>
      <c r="AW887" s="7"/>
      <c r="BB887" s="24"/>
      <c r="BC887"/>
      <c r="BG887"/>
    </row>
    <row r="888" spans="1:65" s="6" customFormat="1" x14ac:dyDescent="0.25">
      <c r="F888" s="21"/>
      <c r="G888" s="10"/>
      <c r="H888" s="7"/>
      <c r="I888" s="13"/>
      <c r="AF888" s="25"/>
      <c r="AG888" s="7"/>
      <c r="AH888" s="7"/>
      <c r="AI888" s="7"/>
      <c r="AO888" s="26"/>
      <c r="AP888" s="11"/>
      <c r="AQ888" s="7"/>
      <c r="AR888"/>
      <c r="AS888" s="11"/>
      <c r="AW888" s="7"/>
      <c r="BB888" s="24"/>
      <c r="BC888"/>
      <c r="BG888"/>
    </row>
    <row r="889" spans="1:65" s="6" customFormat="1" x14ac:dyDescent="0.25">
      <c r="A889"/>
      <c r="B889"/>
      <c r="C889"/>
      <c r="D889"/>
      <c r="E889"/>
      <c r="F889"/>
      <c r="G889"/>
      <c r="H889" s="13"/>
      <c r="I889" s="13"/>
      <c r="J889"/>
      <c r="K889"/>
      <c r="L889"/>
      <c r="M889"/>
      <c r="N889"/>
      <c r="O889"/>
      <c r="P889"/>
      <c r="Q889"/>
      <c r="R889"/>
      <c r="S889"/>
      <c r="T889"/>
      <c r="U889"/>
      <c r="V889" s="14"/>
      <c r="W889"/>
      <c r="X889"/>
      <c r="Y889"/>
      <c r="Z889"/>
      <c r="AA889"/>
      <c r="AB889"/>
      <c r="AC889"/>
      <c r="AD889"/>
      <c r="AE889"/>
      <c r="AF889"/>
      <c r="AG889" s="15"/>
      <c r="AH889" s="15"/>
      <c r="AI889" s="15"/>
      <c r="AJ889"/>
      <c r="AK889"/>
      <c r="AL889"/>
      <c r="AM889"/>
      <c r="AN889"/>
      <c r="AO889"/>
      <c r="AP889"/>
      <c r="AQ889" s="15"/>
      <c r="AR889"/>
      <c r="AS889"/>
      <c r="AT889"/>
      <c r="AU889"/>
      <c r="AV889"/>
      <c r="AW889" s="13"/>
      <c r="AX889"/>
      <c r="AY889"/>
      <c r="AZ889"/>
      <c r="BA889"/>
      <c r="BB889"/>
      <c r="BC889"/>
      <c r="BD889"/>
      <c r="BE889"/>
      <c r="BF889"/>
      <c r="BG889"/>
      <c r="BH889"/>
      <c r="BI889"/>
      <c r="BJ889"/>
      <c r="BK889"/>
      <c r="BL889"/>
      <c r="BM889"/>
    </row>
    <row r="890" spans="1:65" s="6" customFormat="1" x14ac:dyDescent="0.25">
      <c r="A890"/>
      <c r="B890"/>
      <c r="C890"/>
      <c r="D890"/>
      <c r="E890"/>
      <c r="F890"/>
      <c r="G890"/>
      <c r="H890" s="13"/>
      <c r="I890" s="13"/>
      <c r="J890"/>
      <c r="K890"/>
      <c r="L890"/>
      <c r="M890"/>
      <c r="N890"/>
      <c r="O890"/>
      <c r="P890"/>
      <c r="Q890"/>
      <c r="R890"/>
      <c r="S890"/>
      <c r="T890"/>
      <c r="U890"/>
      <c r="V890" s="14"/>
      <c r="W890"/>
      <c r="X890"/>
      <c r="Y890"/>
      <c r="Z890"/>
      <c r="AA890"/>
      <c r="AB890"/>
      <c r="AC890"/>
      <c r="AD890"/>
      <c r="AE890"/>
      <c r="AF890"/>
      <c r="AG890" s="15"/>
      <c r="AH890" s="15"/>
      <c r="AI890" s="15"/>
      <c r="AJ890"/>
      <c r="AK890"/>
      <c r="AL890"/>
      <c r="AM890"/>
      <c r="AN890"/>
      <c r="AO890"/>
      <c r="AP890"/>
      <c r="AQ890" s="15"/>
      <c r="AR890"/>
      <c r="AS890"/>
      <c r="AT890"/>
      <c r="AU890"/>
      <c r="AV890"/>
      <c r="AW890" s="13"/>
      <c r="AX890"/>
      <c r="AY890"/>
      <c r="AZ890"/>
      <c r="BA890"/>
      <c r="BB890"/>
      <c r="BC890"/>
      <c r="BD890"/>
      <c r="BE890"/>
      <c r="BF890"/>
      <c r="BG890"/>
      <c r="BH890"/>
      <c r="BI890"/>
      <c r="BJ890"/>
      <c r="BK890"/>
      <c r="BL890"/>
      <c r="BM890"/>
    </row>
    <row r="891" spans="1:65" s="6" customFormat="1" x14ac:dyDescent="0.25">
      <c r="F891" s="21"/>
      <c r="G891" s="10"/>
      <c r="H891" s="7"/>
      <c r="I891" s="13"/>
      <c r="AF891" s="25"/>
      <c r="AG891" s="7"/>
      <c r="AH891" s="7"/>
      <c r="AI891" s="7"/>
      <c r="AO891" s="26"/>
      <c r="AP891" s="11"/>
      <c r="AQ891" s="7"/>
      <c r="AR891"/>
      <c r="AS891" s="11"/>
      <c r="AW891" s="7"/>
      <c r="BB891" s="24"/>
      <c r="BC891"/>
      <c r="BG891"/>
    </row>
    <row r="892" spans="1:65" s="6" customFormat="1" x14ac:dyDescent="0.25">
      <c r="A892"/>
      <c r="B892"/>
      <c r="C892"/>
      <c r="D892"/>
      <c r="E892"/>
      <c r="F892"/>
      <c r="G892"/>
      <c r="H892" s="13"/>
      <c r="I892" s="7"/>
      <c r="J892"/>
      <c r="K892"/>
      <c r="L892"/>
      <c r="M892"/>
      <c r="N892"/>
      <c r="O892"/>
      <c r="P892"/>
      <c r="Q892"/>
      <c r="R892"/>
      <c r="S892"/>
      <c r="T892"/>
      <c r="U892"/>
      <c r="V892" s="14"/>
      <c r="W892"/>
      <c r="X892"/>
      <c r="Y892"/>
      <c r="Z892"/>
      <c r="AA892"/>
      <c r="AB892"/>
      <c r="AC892"/>
      <c r="AD892"/>
      <c r="AE892"/>
      <c r="AF892"/>
      <c r="AG892" s="15"/>
      <c r="AH892" s="7"/>
      <c r="AI892" s="15"/>
      <c r="AJ892"/>
      <c r="AK892"/>
      <c r="AL892"/>
      <c r="AM892"/>
      <c r="AN892"/>
      <c r="AO892"/>
      <c r="AP892"/>
      <c r="AQ892" s="15"/>
      <c r="AR892"/>
      <c r="AS892"/>
      <c r="AT892"/>
      <c r="AU892"/>
      <c r="AW892" s="13"/>
      <c r="AX892"/>
      <c r="AY892"/>
      <c r="AZ892"/>
      <c r="BA892"/>
      <c r="BB892"/>
      <c r="BC892"/>
      <c r="BD892"/>
      <c r="BE892"/>
      <c r="BF892"/>
      <c r="BG892"/>
      <c r="BH892"/>
      <c r="BI892"/>
      <c r="BJ892"/>
      <c r="BK892"/>
      <c r="BL892"/>
      <c r="BM892"/>
    </row>
    <row r="893" spans="1:65" s="6" customFormat="1" x14ac:dyDescent="0.25">
      <c r="F893" s="21"/>
      <c r="G893" s="10"/>
      <c r="H893" s="7"/>
      <c r="I893" s="13"/>
      <c r="AF893" s="25"/>
      <c r="AG893" s="7"/>
      <c r="AH893" s="7"/>
      <c r="AI893" s="7"/>
      <c r="AO893" s="26"/>
      <c r="AP893" s="11"/>
      <c r="AQ893" s="7"/>
      <c r="AR893"/>
      <c r="AS893" s="11"/>
      <c r="AV893"/>
      <c r="AW893" s="7"/>
      <c r="BB893" s="24"/>
      <c r="BC893"/>
      <c r="BG893"/>
    </row>
    <row r="894" spans="1:65" s="6" customFormat="1" x14ac:dyDescent="0.25">
      <c r="A894"/>
      <c r="B894"/>
      <c r="C894"/>
      <c r="D894"/>
      <c r="E894"/>
      <c r="F894"/>
      <c r="G894"/>
      <c r="H894" s="13"/>
      <c r="I894" s="13"/>
      <c r="J894"/>
      <c r="K894"/>
      <c r="L894"/>
      <c r="M894"/>
      <c r="N894"/>
      <c r="O894"/>
      <c r="P894"/>
      <c r="Q894"/>
      <c r="R894"/>
      <c r="S894"/>
      <c r="T894"/>
      <c r="U894"/>
      <c r="V894" s="14"/>
      <c r="W894"/>
      <c r="X894"/>
      <c r="Y894"/>
      <c r="Z894"/>
      <c r="AA894"/>
      <c r="AB894"/>
      <c r="AC894"/>
      <c r="AD894"/>
      <c r="AE894"/>
      <c r="AF894"/>
      <c r="AG894" s="15"/>
      <c r="AH894" s="15"/>
      <c r="AI894" s="15"/>
      <c r="AJ894"/>
      <c r="AK894"/>
      <c r="AL894"/>
      <c r="AM894"/>
      <c r="AN894"/>
      <c r="AO894"/>
      <c r="AP894"/>
      <c r="AQ894" s="15"/>
      <c r="AR894"/>
      <c r="AS894"/>
      <c r="AT894"/>
      <c r="AU894"/>
      <c r="AW894" s="13"/>
      <c r="AX894"/>
      <c r="AY894"/>
      <c r="AZ894"/>
      <c r="BA894"/>
      <c r="BB894"/>
      <c r="BC894"/>
      <c r="BD894"/>
      <c r="BE894"/>
      <c r="BF894"/>
      <c r="BG894"/>
      <c r="BH894"/>
      <c r="BI894"/>
      <c r="BJ894"/>
      <c r="BK894"/>
      <c r="BL894"/>
      <c r="BM894"/>
    </row>
    <row r="895" spans="1:65" s="6" customFormat="1" x14ac:dyDescent="0.25">
      <c r="A895"/>
      <c r="B895"/>
      <c r="C895"/>
      <c r="D895"/>
      <c r="E895"/>
      <c r="F895"/>
      <c r="G895"/>
      <c r="H895" s="13"/>
      <c r="I895" s="7"/>
      <c r="J895"/>
      <c r="K895"/>
      <c r="L895"/>
      <c r="M895"/>
      <c r="N895"/>
      <c r="O895"/>
      <c r="P895"/>
      <c r="Q895"/>
      <c r="R895"/>
      <c r="S895"/>
      <c r="T895"/>
      <c r="U895"/>
      <c r="V895" s="14"/>
      <c r="W895"/>
      <c r="X895"/>
      <c r="Y895"/>
      <c r="Z895"/>
      <c r="AA895"/>
      <c r="AB895"/>
      <c r="AC895"/>
      <c r="AD895"/>
      <c r="AE895"/>
      <c r="AF895"/>
      <c r="AG895" s="15"/>
      <c r="AH895" s="7"/>
      <c r="AI895" s="15"/>
      <c r="AJ895"/>
      <c r="AK895"/>
      <c r="AL895"/>
      <c r="AM895"/>
      <c r="AN895"/>
      <c r="AO895"/>
      <c r="AP895"/>
      <c r="AQ895" s="15"/>
      <c r="AR895"/>
      <c r="AS895"/>
      <c r="AT895"/>
      <c r="AU895"/>
      <c r="AW895" s="13"/>
      <c r="AX895"/>
      <c r="AY895"/>
      <c r="AZ895"/>
      <c r="BA895"/>
      <c r="BB895"/>
      <c r="BC895"/>
      <c r="BD895"/>
      <c r="BE895"/>
      <c r="BF895"/>
      <c r="BG895"/>
      <c r="BH895"/>
      <c r="BI895"/>
      <c r="BJ895"/>
      <c r="BK895"/>
      <c r="BL895"/>
      <c r="BM895"/>
    </row>
    <row r="896" spans="1:65" s="6" customFormat="1" x14ac:dyDescent="0.25">
      <c r="F896" s="21"/>
      <c r="G896" s="10"/>
      <c r="H896" s="7"/>
      <c r="I896" s="13"/>
      <c r="AF896" s="25"/>
      <c r="AG896" s="7"/>
      <c r="AH896" s="7"/>
      <c r="AI896" s="7"/>
      <c r="AO896" s="26"/>
      <c r="AP896" s="11"/>
      <c r="AQ896" s="7"/>
      <c r="AR896"/>
      <c r="AS896" s="11"/>
      <c r="AV896"/>
      <c r="AW896" s="7"/>
      <c r="BB896" s="24"/>
      <c r="BC896"/>
      <c r="BG896"/>
    </row>
    <row r="897" spans="1:65" s="6" customFormat="1" x14ac:dyDescent="0.25">
      <c r="F897" s="21"/>
      <c r="G897" s="10"/>
      <c r="H897" s="7"/>
      <c r="I897" s="13"/>
      <c r="AF897" s="25"/>
      <c r="AG897" s="7"/>
      <c r="AH897" s="7"/>
      <c r="AI897" s="7"/>
      <c r="AO897" s="26"/>
      <c r="AP897" s="11"/>
      <c r="AQ897" s="7"/>
      <c r="AR897"/>
      <c r="AS897" s="11"/>
      <c r="AW897" s="7"/>
      <c r="BB897" s="24"/>
      <c r="BC897"/>
      <c r="BG897"/>
    </row>
    <row r="898" spans="1:65" s="6" customFormat="1" x14ac:dyDescent="0.25">
      <c r="A898"/>
      <c r="B898"/>
      <c r="C898"/>
      <c r="D898"/>
      <c r="E898"/>
      <c r="F898"/>
      <c r="G898"/>
      <c r="H898" s="13"/>
      <c r="I898" s="13"/>
      <c r="J898"/>
      <c r="K898"/>
      <c r="L898"/>
      <c r="M898"/>
      <c r="N898"/>
      <c r="O898"/>
      <c r="P898"/>
      <c r="Q898"/>
      <c r="R898"/>
      <c r="S898"/>
      <c r="T898"/>
      <c r="U898"/>
      <c r="V898" s="14"/>
      <c r="W898"/>
      <c r="X898"/>
      <c r="Y898"/>
      <c r="Z898"/>
      <c r="AA898"/>
      <c r="AB898"/>
      <c r="AC898"/>
      <c r="AD898"/>
      <c r="AE898"/>
      <c r="AF898"/>
      <c r="AG898" s="15"/>
      <c r="AH898" s="15"/>
      <c r="AI898" s="15"/>
      <c r="AJ898"/>
      <c r="AK898"/>
      <c r="AL898"/>
      <c r="AM898"/>
      <c r="AN898"/>
      <c r="AO898"/>
      <c r="AP898"/>
      <c r="AQ898" s="15"/>
      <c r="AR898"/>
      <c r="AS898"/>
      <c r="AT898"/>
      <c r="AU898"/>
      <c r="AV898"/>
      <c r="AW898" s="13"/>
      <c r="AX898"/>
      <c r="AY898"/>
      <c r="AZ898"/>
      <c r="BA898"/>
      <c r="BB898"/>
      <c r="BC898"/>
      <c r="BD898"/>
      <c r="BE898"/>
      <c r="BF898"/>
      <c r="BG898"/>
      <c r="BH898"/>
      <c r="BI898"/>
      <c r="BJ898"/>
      <c r="BK898"/>
      <c r="BL898"/>
      <c r="BM898"/>
    </row>
    <row r="899" spans="1:65" s="6" customFormat="1" x14ac:dyDescent="0.25">
      <c r="A899"/>
      <c r="B899"/>
      <c r="C899"/>
      <c r="D899"/>
      <c r="E899"/>
      <c r="F899"/>
      <c r="G899"/>
      <c r="H899" s="13"/>
      <c r="I899" s="13"/>
      <c r="J899"/>
      <c r="K899"/>
      <c r="L899"/>
      <c r="M899"/>
      <c r="N899"/>
      <c r="O899"/>
      <c r="P899"/>
      <c r="Q899"/>
      <c r="R899"/>
      <c r="S899"/>
      <c r="T899"/>
      <c r="U899"/>
      <c r="V899" s="14"/>
      <c r="W899"/>
      <c r="X899"/>
      <c r="Y899"/>
      <c r="Z899"/>
      <c r="AA899"/>
      <c r="AB899"/>
      <c r="AC899"/>
      <c r="AD899"/>
      <c r="AE899"/>
      <c r="AF899"/>
      <c r="AG899" s="15"/>
      <c r="AH899" s="15"/>
      <c r="AI899" s="15"/>
      <c r="AJ899"/>
      <c r="AK899"/>
      <c r="AL899"/>
      <c r="AM899"/>
      <c r="AN899"/>
      <c r="AO899"/>
      <c r="AP899"/>
      <c r="AQ899" s="15"/>
      <c r="AR899"/>
      <c r="AS899"/>
      <c r="AT899"/>
      <c r="AU899"/>
      <c r="AV899"/>
      <c r="AW899" s="13"/>
      <c r="AX899"/>
      <c r="AY899"/>
      <c r="AZ899"/>
      <c r="BA899"/>
      <c r="BB899"/>
      <c r="BC899"/>
      <c r="BD899"/>
      <c r="BE899"/>
      <c r="BF899"/>
      <c r="BG899"/>
      <c r="BH899"/>
      <c r="BI899"/>
      <c r="BJ899"/>
      <c r="BK899"/>
      <c r="BL899"/>
      <c r="BM899"/>
    </row>
    <row r="900" spans="1:65" s="6" customFormat="1" x14ac:dyDescent="0.25">
      <c r="F900" s="21"/>
      <c r="G900" s="10"/>
      <c r="H900" s="7"/>
      <c r="I900" s="13"/>
      <c r="AF900" s="25"/>
      <c r="AG900" s="7"/>
      <c r="AH900" s="7"/>
      <c r="AI900" s="7"/>
      <c r="AO900" s="26"/>
      <c r="AP900" s="11"/>
      <c r="AQ900" s="7"/>
      <c r="AR900"/>
      <c r="AS900" s="11"/>
      <c r="AW900" s="7"/>
      <c r="BB900" s="24"/>
      <c r="BC900"/>
      <c r="BG900"/>
    </row>
    <row r="901" spans="1:65" s="6" customFormat="1" x14ac:dyDescent="0.25">
      <c r="A901"/>
      <c r="B901"/>
      <c r="C901"/>
      <c r="D901"/>
      <c r="E901"/>
      <c r="F901"/>
      <c r="G901"/>
      <c r="H901" s="13"/>
      <c r="I901" s="7"/>
      <c r="J901"/>
      <c r="K901"/>
      <c r="L901"/>
      <c r="M901"/>
      <c r="N901"/>
      <c r="O901"/>
      <c r="P901"/>
      <c r="Q901"/>
      <c r="R901"/>
      <c r="S901"/>
      <c r="T901"/>
      <c r="U901"/>
      <c r="V901" s="14"/>
      <c r="W901"/>
      <c r="X901"/>
      <c r="Y901"/>
      <c r="Z901"/>
      <c r="AA901"/>
      <c r="AB901"/>
      <c r="AC901"/>
      <c r="AD901"/>
      <c r="AE901"/>
      <c r="AF901"/>
      <c r="AG901" s="15"/>
      <c r="AH901" s="7"/>
      <c r="AI901" s="15"/>
      <c r="AJ901"/>
      <c r="AK901"/>
      <c r="AL901"/>
      <c r="AM901"/>
      <c r="AN901"/>
      <c r="AO901"/>
      <c r="AP901"/>
      <c r="AQ901" s="15"/>
      <c r="AR901"/>
      <c r="AS901"/>
      <c r="AT901"/>
      <c r="AU901"/>
      <c r="AW901" s="13"/>
      <c r="AX901"/>
      <c r="AY901"/>
      <c r="AZ901"/>
      <c r="BA901"/>
      <c r="BB901"/>
      <c r="BC901"/>
      <c r="BD901"/>
      <c r="BE901"/>
      <c r="BF901"/>
      <c r="BG901"/>
      <c r="BH901"/>
      <c r="BI901"/>
      <c r="BJ901"/>
      <c r="BK901"/>
      <c r="BL901"/>
      <c r="BM901"/>
    </row>
    <row r="902" spans="1:65" s="6" customFormat="1" x14ac:dyDescent="0.25">
      <c r="F902" s="21"/>
      <c r="G902" s="10"/>
      <c r="H902" s="7"/>
      <c r="I902" s="13"/>
      <c r="AF902" s="25"/>
      <c r="AG902" s="7"/>
      <c r="AH902" s="7"/>
      <c r="AI902" s="7"/>
      <c r="AO902" s="26"/>
      <c r="AP902" s="11"/>
      <c r="AQ902" s="7"/>
      <c r="AR902"/>
      <c r="AS902" s="11"/>
      <c r="AV902"/>
      <c r="AW902" s="7"/>
      <c r="BB902" s="24"/>
      <c r="BC902"/>
      <c r="BG902"/>
    </row>
    <row r="903" spans="1:65" s="6" customFormat="1" x14ac:dyDescent="0.25">
      <c r="A903"/>
      <c r="B903"/>
      <c r="C903"/>
      <c r="D903"/>
      <c r="E903"/>
      <c r="F903"/>
      <c r="G903"/>
      <c r="H903" s="13"/>
      <c r="I903" s="13"/>
      <c r="J903"/>
      <c r="K903"/>
      <c r="L903"/>
      <c r="M903"/>
      <c r="N903"/>
      <c r="O903"/>
      <c r="P903"/>
      <c r="Q903"/>
      <c r="R903"/>
      <c r="S903"/>
      <c r="T903"/>
      <c r="U903"/>
      <c r="V903" s="14"/>
      <c r="W903"/>
      <c r="X903"/>
      <c r="Y903"/>
      <c r="Z903"/>
      <c r="AA903"/>
      <c r="AB903"/>
      <c r="AC903"/>
      <c r="AD903"/>
      <c r="AE903"/>
      <c r="AF903"/>
      <c r="AG903" s="15"/>
      <c r="AH903" s="15"/>
      <c r="AI903" s="15"/>
      <c r="AJ903"/>
      <c r="AK903"/>
      <c r="AL903"/>
      <c r="AM903"/>
      <c r="AN903"/>
      <c r="AO903"/>
      <c r="AP903"/>
      <c r="AQ903" s="15"/>
      <c r="AR903"/>
      <c r="AS903"/>
      <c r="AT903"/>
      <c r="AU903"/>
      <c r="AW903" s="13"/>
      <c r="AX903"/>
      <c r="AY903"/>
      <c r="AZ903"/>
      <c r="BA903"/>
      <c r="BB903"/>
      <c r="BC903"/>
      <c r="BD903"/>
      <c r="BE903"/>
      <c r="BF903"/>
      <c r="BG903"/>
      <c r="BH903"/>
      <c r="BI903"/>
      <c r="BJ903"/>
      <c r="BK903"/>
      <c r="BL903"/>
      <c r="BM903"/>
    </row>
    <row r="904" spans="1:65" s="6" customFormat="1" x14ac:dyDescent="0.25">
      <c r="A904"/>
      <c r="B904"/>
      <c r="C904"/>
      <c r="D904"/>
      <c r="E904"/>
      <c r="F904"/>
      <c r="G904"/>
      <c r="H904" s="13"/>
      <c r="I904" s="7"/>
      <c r="J904"/>
      <c r="K904"/>
      <c r="L904"/>
      <c r="M904"/>
      <c r="N904"/>
      <c r="O904"/>
      <c r="P904"/>
      <c r="Q904"/>
      <c r="R904"/>
      <c r="S904"/>
      <c r="T904"/>
      <c r="U904"/>
      <c r="V904" s="14"/>
      <c r="W904"/>
      <c r="X904"/>
      <c r="Y904"/>
      <c r="Z904"/>
      <c r="AA904"/>
      <c r="AB904"/>
      <c r="AC904"/>
      <c r="AD904"/>
      <c r="AE904"/>
      <c r="AF904"/>
      <c r="AG904" s="15"/>
      <c r="AH904" s="7"/>
      <c r="AI904" s="15"/>
      <c r="AJ904"/>
      <c r="AK904"/>
      <c r="AL904"/>
      <c r="AM904"/>
      <c r="AN904"/>
      <c r="AO904"/>
      <c r="AP904"/>
      <c r="AQ904" s="15"/>
      <c r="AR904"/>
      <c r="AS904"/>
      <c r="AT904"/>
      <c r="AU904"/>
      <c r="AW904" s="13"/>
      <c r="AX904"/>
      <c r="AY904"/>
      <c r="AZ904"/>
      <c r="BA904"/>
      <c r="BB904"/>
      <c r="BC904"/>
      <c r="BD904"/>
      <c r="BE904"/>
      <c r="BF904"/>
      <c r="BG904"/>
      <c r="BH904"/>
      <c r="BI904"/>
      <c r="BJ904"/>
      <c r="BK904"/>
      <c r="BL904"/>
      <c r="BM904"/>
    </row>
    <row r="905" spans="1:65" s="6" customFormat="1" x14ac:dyDescent="0.25">
      <c r="F905" s="21"/>
      <c r="G905" s="10"/>
      <c r="H905" s="7"/>
      <c r="I905" s="13"/>
      <c r="AF905" s="25"/>
      <c r="AG905" s="7"/>
      <c r="AH905" s="7"/>
      <c r="AI905" s="7"/>
      <c r="AO905" s="26"/>
      <c r="AP905" s="11"/>
      <c r="AQ905" s="7"/>
      <c r="AR905"/>
      <c r="AS905" s="11"/>
      <c r="AV905"/>
      <c r="AW905" s="7"/>
      <c r="BB905" s="24"/>
      <c r="BC905"/>
      <c r="BG905"/>
    </row>
    <row r="906" spans="1:65" s="6" customFormat="1" x14ac:dyDescent="0.25">
      <c r="F906" s="21"/>
      <c r="G906" s="10"/>
      <c r="H906" s="7"/>
      <c r="I906" s="13"/>
      <c r="AF906" s="25"/>
      <c r="AG906" s="7"/>
      <c r="AH906" s="7"/>
      <c r="AI906" s="7"/>
      <c r="AO906" s="26"/>
      <c r="AP906" s="11"/>
      <c r="AQ906" s="7"/>
      <c r="AR906"/>
      <c r="AS906" s="11"/>
      <c r="AW906" s="7"/>
      <c r="BB906" s="24"/>
      <c r="BC906"/>
      <c r="BG906"/>
    </row>
    <row r="907" spans="1:65" s="6" customFormat="1" x14ac:dyDescent="0.25">
      <c r="A907"/>
      <c r="B907"/>
      <c r="C907"/>
      <c r="D907"/>
      <c r="E907"/>
      <c r="F907"/>
      <c r="G907"/>
      <c r="H907" s="13"/>
      <c r="I907" s="13"/>
      <c r="J907"/>
      <c r="K907"/>
      <c r="L907"/>
      <c r="M907"/>
      <c r="N907"/>
      <c r="O907"/>
      <c r="P907"/>
      <c r="Q907"/>
      <c r="R907"/>
      <c r="S907"/>
      <c r="T907"/>
      <c r="U907"/>
      <c r="V907" s="14"/>
      <c r="W907"/>
      <c r="X907"/>
      <c r="Y907"/>
      <c r="Z907"/>
      <c r="AA907"/>
      <c r="AB907"/>
      <c r="AC907"/>
      <c r="AD907"/>
      <c r="AE907"/>
      <c r="AF907"/>
      <c r="AG907" s="15"/>
      <c r="AH907" s="15"/>
      <c r="AI907" s="15"/>
      <c r="AJ907"/>
      <c r="AK907"/>
      <c r="AL907"/>
      <c r="AM907"/>
      <c r="AN907"/>
      <c r="AO907"/>
      <c r="AP907"/>
      <c r="AQ907" s="15"/>
      <c r="AR907"/>
      <c r="AS907"/>
      <c r="AT907"/>
      <c r="AU907"/>
      <c r="AV907"/>
      <c r="AW907" s="13"/>
      <c r="AX907"/>
      <c r="AY907"/>
      <c r="AZ907"/>
      <c r="BA907"/>
      <c r="BB907"/>
      <c r="BC907"/>
      <c r="BD907"/>
      <c r="BE907"/>
      <c r="BF907"/>
      <c r="BG907"/>
      <c r="BH907"/>
      <c r="BI907"/>
      <c r="BJ907"/>
      <c r="BK907"/>
      <c r="BL907"/>
      <c r="BM907"/>
    </row>
    <row r="908" spans="1:65" s="6" customFormat="1" x14ac:dyDescent="0.25">
      <c r="A908"/>
      <c r="B908"/>
      <c r="C908"/>
      <c r="D908"/>
      <c r="E908"/>
      <c r="F908"/>
      <c r="G908"/>
      <c r="H908" s="13"/>
      <c r="I908" s="13"/>
      <c r="J908"/>
      <c r="K908"/>
      <c r="L908"/>
      <c r="M908"/>
      <c r="N908"/>
      <c r="O908"/>
      <c r="P908"/>
      <c r="Q908"/>
      <c r="R908"/>
      <c r="S908"/>
      <c r="T908"/>
      <c r="U908"/>
      <c r="V908" s="14"/>
      <c r="W908"/>
      <c r="X908"/>
      <c r="Y908"/>
      <c r="Z908"/>
      <c r="AA908"/>
      <c r="AB908"/>
      <c r="AC908"/>
      <c r="AD908"/>
      <c r="AE908"/>
      <c r="AF908"/>
      <c r="AG908" s="15"/>
      <c r="AH908" s="15"/>
      <c r="AI908" s="15"/>
      <c r="AJ908"/>
      <c r="AK908"/>
      <c r="AL908"/>
      <c r="AM908"/>
      <c r="AN908"/>
      <c r="AO908"/>
      <c r="AP908"/>
      <c r="AQ908" s="15"/>
      <c r="AR908"/>
      <c r="AS908"/>
      <c r="AT908"/>
      <c r="AU908"/>
      <c r="AV908"/>
      <c r="AW908" s="13"/>
      <c r="AX908"/>
      <c r="AY908"/>
      <c r="AZ908"/>
      <c r="BA908"/>
      <c r="BB908"/>
      <c r="BC908"/>
      <c r="BD908"/>
      <c r="BE908"/>
      <c r="BF908"/>
      <c r="BG908"/>
      <c r="BH908"/>
      <c r="BI908"/>
      <c r="BJ908"/>
      <c r="BK908"/>
      <c r="BL908"/>
      <c r="BM908"/>
    </row>
    <row r="909" spans="1:65" s="6" customFormat="1" x14ac:dyDescent="0.25">
      <c r="F909" s="21"/>
      <c r="G909" s="10"/>
      <c r="H909" s="7"/>
      <c r="I909" s="13"/>
      <c r="AF909" s="25"/>
      <c r="AG909" s="7"/>
      <c r="AH909" s="7"/>
      <c r="AI909" s="7"/>
      <c r="AO909" s="26"/>
      <c r="AP909" s="11"/>
      <c r="AQ909" s="7"/>
      <c r="AR909"/>
      <c r="AS909" s="11"/>
      <c r="AW909" s="7"/>
      <c r="BB909" s="24"/>
      <c r="BC909"/>
      <c r="BG909"/>
    </row>
    <row r="910" spans="1:65" s="6" customFormat="1" x14ac:dyDescent="0.25">
      <c r="A910"/>
      <c r="B910"/>
      <c r="C910"/>
      <c r="D910"/>
      <c r="E910"/>
      <c r="F910"/>
      <c r="G910"/>
      <c r="H910" s="13"/>
      <c r="I910" s="7"/>
      <c r="J910"/>
      <c r="K910"/>
      <c r="L910"/>
      <c r="M910"/>
      <c r="N910"/>
      <c r="O910"/>
      <c r="P910"/>
      <c r="Q910"/>
      <c r="R910"/>
      <c r="S910"/>
      <c r="T910"/>
      <c r="U910"/>
      <c r="V910" s="14"/>
      <c r="W910"/>
      <c r="X910"/>
      <c r="Y910"/>
      <c r="Z910"/>
      <c r="AA910"/>
      <c r="AB910"/>
      <c r="AC910"/>
      <c r="AD910"/>
      <c r="AE910"/>
      <c r="AF910"/>
      <c r="AG910" s="15"/>
      <c r="AH910" s="7"/>
      <c r="AI910" s="15"/>
      <c r="AJ910"/>
      <c r="AK910"/>
      <c r="AL910"/>
      <c r="AM910"/>
      <c r="AN910"/>
      <c r="AO910"/>
      <c r="AP910"/>
      <c r="AQ910" s="15"/>
      <c r="AR910"/>
      <c r="AS910"/>
      <c r="AT910"/>
      <c r="AU910"/>
      <c r="AW910" s="13"/>
      <c r="AX910"/>
      <c r="AY910"/>
      <c r="AZ910"/>
      <c r="BA910"/>
      <c r="BB910"/>
      <c r="BC910"/>
      <c r="BD910"/>
      <c r="BE910"/>
      <c r="BF910"/>
      <c r="BG910"/>
      <c r="BH910"/>
      <c r="BI910"/>
      <c r="BJ910"/>
      <c r="BK910"/>
      <c r="BL910"/>
      <c r="BM910"/>
    </row>
    <row r="911" spans="1:65" s="6" customFormat="1" x14ac:dyDescent="0.25">
      <c r="F911" s="21"/>
      <c r="G911" s="10"/>
      <c r="H911" s="7"/>
      <c r="I911" s="13"/>
      <c r="AF911" s="25"/>
      <c r="AG911" s="7"/>
      <c r="AH911" s="7"/>
      <c r="AI911" s="7"/>
      <c r="AO911" s="26"/>
      <c r="AP911" s="11"/>
      <c r="AQ911" s="7"/>
      <c r="AR911"/>
      <c r="AS911" s="11"/>
      <c r="AV911"/>
      <c r="AW911" s="7"/>
      <c r="BB911" s="24"/>
      <c r="BC911"/>
      <c r="BG911"/>
    </row>
    <row r="912" spans="1:65" s="6" customFormat="1" x14ac:dyDescent="0.25">
      <c r="A912"/>
      <c r="B912"/>
      <c r="C912"/>
      <c r="D912"/>
      <c r="E912"/>
      <c r="F912"/>
      <c r="G912"/>
      <c r="H912" s="13"/>
      <c r="I912" s="13"/>
      <c r="J912"/>
      <c r="K912"/>
      <c r="L912"/>
      <c r="M912"/>
      <c r="N912"/>
      <c r="O912"/>
      <c r="P912"/>
      <c r="Q912"/>
      <c r="R912"/>
      <c r="S912"/>
      <c r="T912"/>
      <c r="U912"/>
      <c r="V912" s="14"/>
      <c r="W912"/>
      <c r="X912"/>
      <c r="Y912"/>
      <c r="Z912"/>
      <c r="AA912"/>
      <c r="AB912"/>
      <c r="AC912"/>
      <c r="AD912"/>
      <c r="AE912"/>
      <c r="AF912"/>
      <c r="AG912" s="15"/>
      <c r="AH912" s="15"/>
      <c r="AI912" s="15"/>
      <c r="AJ912"/>
      <c r="AK912"/>
      <c r="AL912"/>
      <c r="AM912"/>
      <c r="AN912"/>
      <c r="AO912"/>
      <c r="AP912"/>
      <c r="AQ912" s="15"/>
      <c r="AR912"/>
      <c r="AS912"/>
      <c r="AT912"/>
      <c r="AU912"/>
      <c r="AW912" s="13"/>
      <c r="AX912"/>
      <c r="AY912"/>
      <c r="AZ912"/>
      <c r="BA912"/>
      <c r="BB912"/>
      <c r="BC912"/>
      <c r="BD912"/>
      <c r="BE912"/>
      <c r="BF912"/>
      <c r="BG912"/>
      <c r="BH912"/>
      <c r="BI912"/>
      <c r="BJ912"/>
      <c r="BK912"/>
      <c r="BL912"/>
      <c r="BM912"/>
    </row>
    <row r="913" spans="1:65" s="6" customFormat="1" x14ac:dyDescent="0.25">
      <c r="A913"/>
      <c r="B913"/>
      <c r="C913"/>
      <c r="D913"/>
      <c r="E913"/>
      <c r="F913"/>
      <c r="G913"/>
      <c r="H913" s="13"/>
      <c r="I913" s="7"/>
      <c r="J913"/>
      <c r="K913"/>
      <c r="L913"/>
      <c r="M913"/>
      <c r="N913"/>
      <c r="O913"/>
      <c r="P913"/>
      <c r="Q913"/>
      <c r="R913"/>
      <c r="S913"/>
      <c r="T913"/>
      <c r="U913"/>
      <c r="V913" s="14"/>
      <c r="W913"/>
      <c r="X913"/>
      <c r="Y913"/>
      <c r="Z913"/>
      <c r="AA913"/>
      <c r="AB913"/>
      <c r="AC913"/>
      <c r="AD913"/>
      <c r="AE913"/>
      <c r="AF913"/>
      <c r="AG913" s="15"/>
      <c r="AH913" s="7"/>
      <c r="AI913" s="15"/>
      <c r="AJ913"/>
      <c r="AK913"/>
      <c r="AL913"/>
      <c r="AM913"/>
      <c r="AN913"/>
      <c r="AO913"/>
      <c r="AP913"/>
      <c r="AQ913" s="15"/>
      <c r="AR913"/>
      <c r="AS913"/>
      <c r="AT913"/>
      <c r="AU913"/>
      <c r="AW913" s="13"/>
      <c r="AX913"/>
      <c r="AY913"/>
      <c r="AZ913"/>
      <c r="BA913"/>
      <c r="BB913"/>
      <c r="BC913"/>
      <c r="BD913"/>
      <c r="BE913"/>
      <c r="BF913"/>
      <c r="BG913"/>
      <c r="BH913"/>
      <c r="BI913"/>
      <c r="BJ913"/>
      <c r="BK913"/>
      <c r="BL913"/>
      <c r="BM913"/>
    </row>
    <row r="914" spans="1:65" s="6" customFormat="1" x14ac:dyDescent="0.25">
      <c r="F914" s="21"/>
      <c r="G914" s="10"/>
      <c r="H914" s="7"/>
      <c r="I914" s="13"/>
      <c r="AF914" s="25"/>
      <c r="AG914" s="7"/>
      <c r="AH914" s="7"/>
      <c r="AI914" s="7"/>
      <c r="AO914" s="26"/>
      <c r="AP914" s="11"/>
      <c r="AQ914" s="7"/>
      <c r="AR914"/>
      <c r="AS914" s="11"/>
      <c r="AV914"/>
      <c r="AW914" s="7"/>
      <c r="BB914" s="24"/>
      <c r="BC914"/>
      <c r="BG914"/>
    </row>
    <row r="915" spans="1:65" s="6" customFormat="1" x14ac:dyDescent="0.25">
      <c r="F915" s="21"/>
      <c r="G915" s="10"/>
      <c r="H915" s="7"/>
      <c r="I915" s="13"/>
      <c r="AF915" s="25"/>
      <c r="AG915" s="7"/>
      <c r="AH915" s="7"/>
      <c r="AI915" s="7"/>
      <c r="AO915" s="26"/>
      <c r="AP915" s="11"/>
      <c r="AQ915" s="7"/>
      <c r="AR915"/>
      <c r="AS915" s="11"/>
      <c r="AW915" s="7"/>
      <c r="BB915" s="24"/>
      <c r="BC915"/>
      <c r="BG915"/>
    </row>
    <row r="916" spans="1:65" s="6" customFormat="1" x14ac:dyDescent="0.25">
      <c r="A916"/>
      <c r="B916"/>
      <c r="C916"/>
      <c r="D916"/>
      <c r="E916"/>
      <c r="F916"/>
      <c r="G916"/>
      <c r="H916" s="13"/>
      <c r="I916" s="13"/>
      <c r="J916"/>
      <c r="K916"/>
      <c r="L916"/>
      <c r="M916"/>
      <c r="N916"/>
      <c r="O916"/>
      <c r="P916"/>
      <c r="Q916"/>
      <c r="R916"/>
      <c r="S916"/>
      <c r="T916"/>
      <c r="U916"/>
      <c r="V916" s="14"/>
      <c r="W916"/>
      <c r="X916"/>
      <c r="Y916"/>
      <c r="Z916"/>
      <c r="AA916"/>
      <c r="AB916"/>
      <c r="AC916"/>
      <c r="AD916"/>
      <c r="AE916"/>
      <c r="AF916"/>
      <c r="AG916" s="15"/>
      <c r="AH916" s="15"/>
      <c r="AI916" s="15"/>
      <c r="AJ916"/>
      <c r="AK916"/>
      <c r="AL916"/>
      <c r="AM916"/>
      <c r="AN916"/>
      <c r="AO916"/>
      <c r="AP916"/>
      <c r="AQ916" s="15"/>
      <c r="AR916"/>
      <c r="AS916"/>
      <c r="AT916"/>
      <c r="AU916"/>
      <c r="AV916"/>
      <c r="AW916" s="13"/>
      <c r="AX916"/>
      <c r="AY916"/>
      <c r="AZ916"/>
      <c r="BA916"/>
      <c r="BB916"/>
      <c r="BC916"/>
      <c r="BD916"/>
      <c r="BE916"/>
      <c r="BF916"/>
      <c r="BG916"/>
      <c r="BH916"/>
      <c r="BI916"/>
      <c r="BJ916"/>
      <c r="BK916"/>
      <c r="BL916"/>
      <c r="BM916"/>
    </row>
    <row r="917" spans="1:65" s="6" customFormat="1" x14ac:dyDescent="0.25">
      <c r="A917"/>
      <c r="B917"/>
      <c r="C917"/>
      <c r="D917"/>
      <c r="E917"/>
      <c r="F917"/>
      <c r="G917"/>
      <c r="H917" s="13"/>
      <c r="I917" s="13"/>
      <c r="J917"/>
      <c r="K917"/>
      <c r="L917"/>
      <c r="M917"/>
      <c r="N917"/>
      <c r="O917"/>
      <c r="P917"/>
      <c r="Q917"/>
      <c r="R917"/>
      <c r="S917"/>
      <c r="T917"/>
      <c r="U917"/>
      <c r="V917" s="14"/>
      <c r="W917"/>
      <c r="X917"/>
      <c r="Y917"/>
      <c r="Z917"/>
      <c r="AA917"/>
      <c r="AB917"/>
      <c r="AC917"/>
      <c r="AD917"/>
      <c r="AE917"/>
      <c r="AF917"/>
      <c r="AG917" s="15"/>
      <c r="AH917" s="15"/>
      <c r="AI917" s="15"/>
      <c r="AJ917"/>
      <c r="AK917"/>
      <c r="AL917"/>
      <c r="AM917"/>
      <c r="AN917"/>
      <c r="AO917"/>
      <c r="AP917"/>
      <c r="AQ917" s="15"/>
      <c r="AR917"/>
      <c r="AS917"/>
      <c r="AT917"/>
      <c r="AU917"/>
      <c r="AV917"/>
      <c r="AW917" s="13"/>
      <c r="AX917"/>
      <c r="AY917"/>
      <c r="AZ917"/>
      <c r="BA917"/>
      <c r="BB917"/>
      <c r="BC917"/>
      <c r="BD917"/>
      <c r="BE917"/>
      <c r="BF917"/>
      <c r="BG917"/>
      <c r="BH917"/>
      <c r="BI917"/>
      <c r="BJ917"/>
      <c r="BK917"/>
      <c r="BL917"/>
      <c r="BM917"/>
    </row>
    <row r="918" spans="1:65" s="6" customFormat="1" x14ac:dyDescent="0.25">
      <c r="F918" s="21"/>
      <c r="G918" s="10"/>
      <c r="H918" s="7"/>
      <c r="I918" s="13"/>
      <c r="AF918" s="25"/>
      <c r="AG918" s="7"/>
      <c r="AH918" s="7"/>
      <c r="AI918" s="7"/>
      <c r="AO918" s="26"/>
      <c r="AP918" s="11"/>
      <c r="AQ918" s="7"/>
      <c r="AR918"/>
      <c r="AS918" s="11"/>
      <c r="AW918" s="7"/>
      <c r="BB918" s="24"/>
      <c r="BC918"/>
      <c r="BG918"/>
    </row>
    <row r="919" spans="1:65" s="6" customFormat="1" x14ac:dyDescent="0.25">
      <c r="A919"/>
      <c r="B919"/>
      <c r="C919"/>
      <c r="D919"/>
      <c r="E919"/>
      <c r="F919"/>
      <c r="G919"/>
      <c r="H919" s="13"/>
      <c r="I919" s="7"/>
      <c r="J919"/>
      <c r="K919"/>
      <c r="L919"/>
      <c r="M919"/>
      <c r="N919"/>
      <c r="O919"/>
      <c r="P919"/>
      <c r="Q919"/>
      <c r="R919"/>
      <c r="S919"/>
      <c r="T919"/>
      <c r="U919"/>
      <c r="V919" s="14"/>
      <c r="W919"/>
      <c r="X919"/>
      <c r="Y919"/>
      <c r="Z919"/>
      <c r="AA919"/>
      <c r="AB919"/>
      <c r="AC919"/>
      <c r="AD919"/>
      <c r="AE919"/>
      <c r="AF919"/>
      <c r="AG919" s="15"/>
      <c r="AH919" s="7"/>
      <c r="AI919" s="15"/>
      <c r="AJ919"/>
      <c r="AK919"/>
      <c r="AL919"/>
      <c r="AM919"/>
      <c r="AN919"/>
      <c r="AO919"/>
      <c r="AP919"/>
      <c r="AQ919" s="15"/>
      <c r="AR919"/>
      <c r="AS919"/>
      <c r="AT919"/>
      <c r="AU919"/>
      <c r="AW919" s="13"/>
      <c r="AX919"/>
      <c r="AY919"/>
      <c r="AZ919"/>
      <c r="BA919"/>
      <c r="BB919"/>
      <c r="BC919"/>
      <c r="BD919"/>
      <c r="BE919"/>
      <c r="BF919"/>
      <c r="BG919"/>
      <c r="BH919"/>
      <c r="BI919"/>
      <c r="BJ919"/>
      <c r="BK919"/>
      <c r="BL919"/>
      <c r="BM919"/>
    </row>
    <row r="920" spans="1:65" s="6" customFormat="1" x14ac:dyDescent="0.25">
      <c r="F920" s="21"/>
      <c r="G920" s="10"/>
      <c r="H920" s="7"/>
      <c r="I920" s="13"/>
      <c r="AF920" s="25"/>
      <c r="AG920" s="7"/>
      <c r="AH920" s="7"/>
      <c r="AI920" s="7"/>
      <c r="AO920" s="26"/>
      <c r="AP920" s="11"/>
      <c r="AQ920" s="7"/>
      <c r="AR920"/>
      <c r="AS920" s="11"/>
      <c r="AV920"/>
      <c r="AW920" s="7"/>
      <c r="BB920" s="24"/>
      <c r="BC920"/>
      <c r="BG920"/>
    </row>
    <row r="921" spans="1:65" s="6" customFormat="1" x14ac:dyDescent="0.25">
      <c r="A921"/>
      <c r="B921"/>
      <c r="C921"/>
      <c r="D921"/>
      <c r="E921"/>
      <c r="F921"/>
      <c r="G921"/>
      <c r="H921" s="13"/>
      <c r="I921" s="13"/>
      <c r="J921"/>
      <c r="K921"/>
      <c r="L921"/>
      <c r="M921"/>
      <c r="N921"/>
      <c r="O921"/>
      <c r="P921"/>
      <c r="Q921"/>
      <c r="R921"/>
      <c r="S921"/>
      <c r="T921"/>
      <c r="U921"/>
      <c r="V921" s="14"/>
      <c r="W921"/>
      <c r="X921"/>
      <c r="Y921"/>
      <c r="Z921"/>
      <c r="AA921"/>
      <c r="AB921"/>
      <c r="AC921"/>
      <c r="AD921"/>
      <c r="AE921"/>
      <c r="AF921"/>
      <c r="AG921" s="15"/>
      <c r="AH921" s="15"/>
      <c r="AI921" s="15"/>
      <c r="AJ921"/>
      <c r="AK921"/>
      <c r="AL921"/>
      <c r="AM921"/>
      <c r="AN921"/>
      <c r="AO921"/>
      <c r="AP921"/>
      <c r="AQ921" s="15"/>
      <c r="AR921"/>
      <c r="AS921"/>
      <c r="AT921"/>
      <c r="AU921"/>
      <c r="AW921" s="13"/>
      <c r="AX921"/>
      <c r="AY921"/>
      <c r="AZ921"/>
      <c r="BA921"/>
      <c r="BB921"/>
      <c r="BC921"/>
      <c r="BD921"/>
      <c r="BE921"/>
      <c r="BF921"/>
      <c r="BG921"/>
      <c r="BH921"/>
      <c r="BI921"/>
      <c r="BJ921"/>
      <c r="BK921"/>
      <c r="BL921"/>
      <c r="BM921"/>
    </row>
    <row r="922" spans="1:65" s="6" customFormat="1" x14ac:dyDescent="0.25">
      <c r="A922"/>
      <c r="B922"/>
      <c r="C922"/>
      <c r="D922"/>
      <c r="E922"/>
      <c r="F922"/>
      <c r="G922"/>
      <c r="H922" s="13"/>
      <c r="I922" s="7"/>
      <c r="J922"/>
      <c r="K922"/>
      <c r="L922"/>
      <c r="M922"/>
      <c r="N922"/>
      <c r="O922"/>
      <c r="P922"/>
      <c r="Q922"/>
      <c r="R922"/>
      <c r="S922"/>
      <c r="T922"/>
      <c r="U922"/>
      <c r="V922" s="14"/>
      <c r="W922"/>
      <c r="X922"/>
      <c r="Y922"/>
      <c r="Z922"/>
      <c r="AA922"/>
      <c r="AB922"/>
      <c r="AC922"/>
      <c r="AD922"/>
      <c r="AE922"/>
      <c r="AF922"/>
      <c r="AG922" s="15"/>
      <c r="AH922" s="7"/>
      <c r="AI922" s="15"/>
      <c r="AJ922"/>
      <c r="AK922"/>
      <c r="AL922"/>
      <c r="AM922"/>
      <c r="AN922"/>
      <c r="AO922"/>
      <c r="AP922"/>
      <c r="AQ922" s="15"/>
      <c r="AR922"/>
      <c r="AS922"/>
      <c r="AT922"/>
      <c r="AU922"/>
      <c r="AW922" s="13"/>
      <c r="AX922"/>
      <c r="AY922"/>
      <c r="AZ922"/>
      <c r="BA922"/>
      <c r="BB922"/>
      <c r="BC922"/>
      <c r="BD922"/>
      <c r="BE922"/>
      <c r="BF922"/>
      <c r="BG922"/>
      <c r="BH922"/>
      <c r="BI922"/>
      <c r="BJ922"/>
      <c r="BK922"/>
      <c r="BL922"/>
      <c r="BM922"/>
    </row>
    <row r="923" spans="1:65" s="6" customFormat="1" x14ac:dyDescent="0.25">
      <c r="F923" s="21"/>
      <c r="G923" s="10"/>
      <c r="H923" s="7"/>
      <c r="I923" s="13"/>
      <c r="AF923" s="25"/>
      <c r="AG923" s="7"/>
      <c r="AH923" s="7"/>
      <c r="AI923" s="7"/>
      <c r="AO923" s="26"/>
      <c r="AP923" s="11"/>
      <c r="AQ923" s="7"/>
      <c r="AR923"/>
      <c r="AS923" s="11"/>
      <c r="AV923"/>
      <c r="AW923" s="7"/>
      <c r="BB923" s="24"/>
      <c r="BC923"/>
      <c r="BG923"/>
    </row>
    <row r="924" spans="1:65" s="6" customFormat="1" x14ac:dyDescent="0.25">
      <c r="F924" s="21"/>
      <c r="G924" s="10"/>
      <c r="H924" s="7"/>
      <c r="I924" s="13"/>
      <c r="AF924" s="25"/>
      <c r="AG924" s="7"/>
      <c r="AH924" s="7"/>
      <c r="AI924" s="7"/>
      <c r="AO924" s="26"/>
      <c r="AP924" s="11"/>
      <c r="AQ924" s="7"/>
      <c r="AR924"/>
      <c r="AS924" s="11"/>
      <c r="AW924" s="7"/>
      <c r="BB924" s="24"/>
      <c r="BC924"/>
      <c r="BG924"/>
    </row>
    <row r="925" spans="1:65" s="6" customFormat="1" x14ac:dyDescent="0.25">
      <c r="A925"/>
      <c r="B925"/>
      <c r="C925"/>
      <c r="D925"/>
      <c r="E925"/>
      <c r="F925"/>
      <c r="G925"/>
      <c r="H925" s="13"/>
      <c r="I925" s="13"/>
      <c r="J925"/>
      <c r="K925"/>
      <c r="L925"/>
      <c r="M925"/>
      <c r="N925"/>
      <c r="O925"/>
      <c r="P925"/>
      <c r="Q925"/>
      <c r="R925"/>
      <c r="S925"/>
      <c r="T925"/>
      <c r="U925"/>
      <c r="V925" s="14"/>
      <c r="W925"/>
      <c r="X925"/>
      <c r="Y925"/>
      <c r="Z925"/>
      <c r="AA925"/>
      <c r="AB925"/>
      <c r="AC925"/>
      <c r="AD925"/>
      <c r="AE925"/>
      <c r="AF925"/>
      <c r="AG925" s="15"/>
      <c r="AH925" s="15"/>
      <c r="AI925" s="15"/>
      <c r="AJ925"/>
      <c r="AK925"/>
      <c r="AL925"/>
      <c r="AM925"/>
      <c r="AN925"/>
      <c r="AO925"/>
      <c r="AP925"/>
      <c r="AQ925" s="15"/>
      <c r="AR925"/>
      <c r="AS925"/>
      <c r="AT925"/>
      <c r="AU925"/>
      <c r="AV925"/>
      <c r="AW925" s="13"/>
      <c r="AX925"/>
      <c r="AY925"/>
      <c r="AZ925"/>
      <c r="BA925"/>
      <c r="BB925"/>
      <c r="BC925"/>
      <c r="BD925"/>
      <c r="BE925"/>
      <c r="BF925"/>
      <c r="BG925"/>
      <c r="BH925"/>
      <c r="BI925"/>
      <c r="BJ925"/>
      <c r="BK925"/>
      <c r="BL925"/>
      <c r="BM925"/>
    </row>
    <row r="926" spans="1:65" s="6" customFormat="1" x14ac:dyDescent="0.25">
      <c r="A926"/>
      <c r="B926"/>
      <c r="C926"/>
      <c r="D926"/>
      <c r="E926"/>
      <c r="F926"/>
      <c r="G926"/>
      <c r="H926" s="13"/>
      <c r="I926" s="13"/>
      <c r="J926"/>
      <c r="K926"/>
      <c r="L926"/>
      <c r="M926"/>
      <c r="N926"/>
      <c r="O926"/>
      <c r="P926"/>
      <c r="Q926"/>
      <c r="R926"/>
      <c r="S926"/>
      <c r="T926"/>
      <c r="U926"/>
      <c r="V926" s="14"/>
      <c r="W926"/>
      <c r="X926"/>
      <c r="Y926"/>
      <c r="Z926"/>
      <c r="AA926"/>
      <c r="AB926"/>
      <c r="AC926"/>
      <c r="AD926"/>
      <c r="AE926"/>
      <c r="AF926"/>
      <c r="AG926" s="15"/>
      <c r="AH926" s="15"/>
      <c r="AI926" s="15"/>
      <c r="AJ926"/>
      <c r="AK926"/>
      <c r="AL926"/>
      <c r="AM926"/>
      <c r="AN926"/>
      <c r="AO926"/>
      <c r="AP926"/>
      <c r="AQ926" s="15"/>
      <c r="AR926"/>
      <c r="AS926"/>
      <c r="AT926"/>
      <c r="AU926"/>
      <c r="AV926"/>
      <c r="AW926" s="13"/>
      <c r="AX926"/>
      <c r="AY926"/>
      <c r="AZ926"/>
      <c r="BA926"/>
      <c r="BB926"/>
      <c r="BC926"/>
      <c r="BD926"/>
      <c r="BE926"/>
      <c r="BF926"/>
      <c r="BG926"/>
      <c r="BH926"/>
      <c r="BI926"/>
      <c r="BJ926"/>
      <c r="BK926"/>
      <c r="BL926"/>
      <c r="BM926"/>
    </row>
    <row r="927" spans="1:65" s="6" customFormat="1" x14ac:dyDescent="0.25">
      <c r="F927" s="21"/>
      <c r="G927" s="10"/>
      <c r="H927" s="7"/>
      <c r="I927" s="13"/>
      <c r="AF927" s="25"/>
      <c r="AG927" s="7"/>
      <c r="AH927" s="7"/>
      <c r="AI927" s="7"/>
      <c r="AO927" s="26"/>
      <c r="AP927" s="11"/>
      <c r="AQ927" s="7"/>
      <c r="AR927"/>
      <c r="AS927" s="11"/>
      <c r="AW927" s="7"/>
      <c r="BB927" s="24"/>
      <c r="BC927"/>
      <c r="BG927"/>
    </row>
    <row r="928" spans="1:65" s="6" customFormat="1" x14ac:dyDescent="0.25">
      <c r="A928"/>
      <c r="B928"/>
      <c r="C928"/>
      <c r="D928"/>
      <c r="E928"/>
      <c r="F928"/>
      <c r="G928"/>
      <c r="H928" s="13"/>
      <c r="I928" s="7"/>
      <c r="J928"/>
      <c r="K928"/>
      <c r="L928"/>
      <c r="M928"/>
      <c r="N928"/>
      <c r="O928"/>
      <c r="P928"/>
      <c r="Q928"/>
      <c r="R928"/>
      <c r="S928"/>
      <c r="T928"/>
      <c r="U928"/>
      <c r="V928" s="14"/>
      <c r="W928"/>
      <c r="X928"/>
      <c r="Y928"/>
      <c r="Z928"/>
      <c r="AA928"/>
      <c r="AB928"/>
      <c r="AC928"/>
      <c r="AD928"/>
      <c r="AE928"/>
      <c r="AF928"/>
      <c r="AG928" s="15"/>
      <c r="AH928" s="7"/>
      <c r="AI928" s="15"/>
      <c r="AJ928"/>
      <c r="AK928"/>
      <c r="AL928"/>
      <c r="AM928"/>
      <c r="AN928"/>
      <c r="AO928"/>
      <c r="AP928"/>
      <c r="AQ928" s="15"/>
      <c r="AR928"/>
      <c r="AS928"/>
      <c r="AT928"/>
      <c r="AU928"/>
      <c r="AW928" s="13"/>
      <c r="AX928"/>
      <c r="AY928"/>
      <c r="AZ928"/>
      <c r="BA928"/>
      <c r="BB928"/>
      <c r="BC928"/>
      <c r="BD928"/>
      <c r="BE928"/>
      <c r="BF928"/>
      <c r="BG928"/>
      <c r="BH928"/>
      <c r="BI928"/>
      <c r="BJ928"/>
      <c r="BK928"/>
      <c r="BL928"/>
      <c r="BM928"/>
    </row>
    <row r="929" spans="1:65" s="6" customFormat="1" x14ac:dyDescent="0.25">
      <c r="F929" s="21"/>
      <c r="G929" s="10"/>
      <c r="H929" s="7"/>
      <c r="I929" s="13"/>
      <c r="AF929" s="25"/>
      <c r="AG929" s="7"/>
      <c r="AH929" s="7"/>
      <c r="AI929" s="7"/>
      <c r="AO929" s="26"/>
      <c r="AP929" s="11"/>
      <c r="AQ929" s="7"/>
      <c r="AR929"/>
      <c r="AS929" s="11"/>
      <c r="AV929"/>
      <c r="AW929" s="7"/>
      <c r="BB929" s="24"/>
      <c r="BC929"/>
      <c r="BG929"/>
    </row>
    <row r="930" spans="1:65" s="6" customFormat="1" x14ac:dyDescent="0.25">
      <c r="A930"/>
      <c r="B930"/>
      <c r="C930"/>
      <c r="D930"/>
      <c r="E930"/>
      <c r="F930"/>
      <c r="G930"/>
      <c r="H930" s="13"/>
      <c r="I930" s="13"/>
      <c r="J930"/>
      <c r="K930"/>
      <c r="L930"/>
      <c r="M930"/>
      <c r="N930"/>
      <c r="O930"/>
      <c r="P930"/>
      <c r="Q930"/>
      <c r="R930"/>
      <c r="S930"/>
      <c r="T930"/>
      <c r="U930"/>
      <c r="V930" s="14"/>
      <c r="W930"/>
      <c r="X930"/>
      <c r="Y930"/>
      <c r="Z930"/>
      <c r="AA930"/>
      <c r="AB930"/>
      <c r="AC930"/>
      <c r="AD930"/>
      <c r="AE930"/>
      <c r="AF930"/>
      <c r="AG930" s="15"/>
      <c r="AH930" s="15"/>
      <c r="AI930" s="15"/>
      <c r="AJ930"/>
      <c r="AK930"/>
      <c r="AL930"/>
      <c r="AM930"/>
      <c r="AN930"/>
      <c r="AO930"/>
      <c r="AP930"/>
      <c r="AQ930" s="15"/>
      <c r="AR930"/>
      <c r="AS930"/>
      <c r="AT930"/>
      <c r="AU930"/>
      <c r="AW930" s="13"/>
      <c r="AX930"/>
      <c r="AY930"/>
      <c r="AZ930"/>
      <c r="BA930"/>
      <c r="BB930"/>
      <c r="BC930"/>
      <c r="BD930"/>
      <c r="BE930"/>
      <c r="BF930"/>
      <c r="BG930"/>
      <c r="BH930"/>
      <c r="BI930"/>
      <c r="BJ930"/>
      <c r="BK930"/>
      <c r="BL930"/>
      <c r="BM930"/>
    </row>
    <row r="931" spans="1:65" s="6" customFormat="1" x14ac:dyDescent="0.25">
      <c r="A931"/>
      <c r="B931"/>
      <c r="C931"/>
      <c r="D931"/>
      <c r="E931"/>
      <c r="F931"/>
      <c r="G931"/>
      <c r="H931" s="13"/>
      <c r="I931" s="7"/>
      <c r="J931"/>
      <c r="K931"/>
      <c r="L931"/>
      <c r="M931"/>
      <c r="N931"/>
      <c r="O931"/>
      <c r="P931"/>
      <c r="Q931"/>
      <c r="R931"/>
      <c r="S931"/>
      <c r="T931"/>
      <c r="U931"/>
      <c r="V931" s="14"/>
      <c r="W931"/>
      <c r="X931"/>
      <c r="Y931"/>
      <c r="Z931"/>
      <c r="AA931"/>
      <c r="AB931"/>
      <c r="AC931"/>
      <c r="AD931"/>
      <c r="AE931"/>
      <c r="AF931"/>
      <c r="AG931" s="15"/>
      <c r="AH931" s="7"/>
      <c r="AI931" s="15"/>
      <c r="AJ931"/>
      <c r="AK931"/>
      <c r="AL931"/>
      <c r="AM931"/>
      <c r="AN931"/>
      <c r="AO931"/>
      <c r="AP931"/>
      <c r="AQ931" s="15"/>
      <c r="AR931"/>
      <c r="AS931"/>
      <c r="AT931"/>
      <c r="AU931"/>
      <c r="AW931" s="13"/>
      <c r="AX931"/>
      <c r="AY931"/>
      <c r="AZ931"/>
      <c r="BA931"/>
      <c r="BB931"/>
      <c r="BC931"/>
      <c r="BD931"/>
      <c r="BE931"/>
      <c r="BF931"/>
      <c r="BG931"/>
      <c r="BH931"/>
      <c r="BI931"/>
      <c r="BJ931"/>
      <c r="BK931"/>
      <c r="BL931"/>
      <c r="BM931"/>
    </row>
    <row r="932" spans="1:65" s="6" customFormat="1" x14ac:dyDescent="0.25">
      <c r="F932" s="21"/>
      <c r="G932" s="10"/>
      <c r="H932" s="7"/>
      <c r="I932" s="13"/>
      <c r="AF932" s="25"/>
      <c r="AG932" s="7"/>
      <c r="AH932" s="7"/>
      <c r="AI932" s="7"/>
      <c r="AO932" s="26"/>
      <c r="AP932" s="11"/>
      <c r="AQ932" s="7"/>
      <c r="AR932"/>
      <c r="AS932" s="11"/>
      <c r="AV932"/>
      <c r="AW932" s="7"/>
      <c r="BB932" s="24"/>
      <c r="BC932"/>
      <c r="BG932"/>
    </row>
    <row r="933" spans="1:65" s="6" customFormat="1" x14ac:dyDescent="0.25">
      <c r="H933" s="7"/>
      <c r="I933" s="13"/>
      <c r="AG933" s="7"/>
      <c r="AH933" s="7"/>
      <c r="AI933" s="7"/>
      <c r="AQ933" s="7"/>
      <c r="AR933"/>
      <c r="AW933" s="7"/>
      <c r="BC933"/>
      <c r="BG933"/>
    </row>
    <row r="934" spans="1:65" s="6" customFormat="1" x14ac:dyDescent="0.25">
      <c r="A934"/>
      <c r="B934"/>
      <c r="C934"/>
      <c r="D934"/>
      <c r="E934"/>
      <c r="F934"/>
      <c r="G934"/>
      <c r="H934" s="13"/>
      <c r="I934" s="13"/>
      <c r="J934"/>
      <c r="K934"/>
      <c r="L934"/>
      <c r="M934"/>
      <c r="N934"/>
      <c r="O934"/>
      <c r="P934"/>
      <c r="Q934"/>
      <c r="R934"/>
      <c r="S934"/>
      <c r="T934"/>
      <c r="U934"/>
      <c r="V934" s="14"/>
      <c r="W934"/>
      <c r="X934"/>
      <c r="Y934"/>
      <c r="Z934"/>
      <c r="AA934"/>
      <c r="AB934"/>
      <c r="AC934"/>
      <c r="AD934"/>
      <c r="AE934"/>
      <c r="AF934"/>
      <c r="AG934" s="15"/>
      <c r="AH934" s="15"/>
      <c r="AI934" s="15"/>
      <c r="AJ934"/>
      <c r="AK934"/>
      <c r="AL934"/>
      <c r="AM934"/>
      <c r="AN934"/>
      <c r="AO934"/>
      <c r="AP934"/>
      <c r="AQ934" s="15"/>
      <c r="AR934"/>
      <c r="AS934"/>
      <c r="AT934"/>
      <c r="AU934"/>
      <c r="AV934"/>
      <c r="AW934" s="13"/>
      <c r="AX934"/>
      <c r="AY934"/>
      <c r="AZ934"/>
      <c r="BA934"/>
      <c r="BB934"/>
      <c r="BC934"/>
      <c r="BD934"/>
      <c r="BE934"/>
      <c r="BF934"/>
      <c r="BG934"/>
      <c r="BH934"/>
      <c r="BI934"/>
      <c r="BJ934"/>
      <c r="BK934"/>
      <c r="BL934"/>
      <c r="BM934"/>
    </row>
    <row r="935" spans="1:65" s="6" customFormat="1" x14ac:dyDescent="0.25">
      <c r="A935"/>
      <c r="B935"/>
      <c r="C935"/>
      <c r="D935"/>
      <c r="E935"/>
      <c r="F935"/>
      <c r="G935"/>
      <c r="H935" s="13"/>
      <c r="I935" s="13"/>
      <c r="J935"/>
      <c r="K935"/>
      <c r="L935"/>
      <c r="M935"/>
      <c r="N935"/>
      <c r="O935"/>
      <c r="P935"/>
      <c r="Q935"/>
      <c r="R935"/>
      <c r="S935"/>
      <c r="T935"/>
      <c r="U935"/>
      <c r="V935" s="14"/>
      <c r="W935"/>
      <c r="X935"/>
      <c r="Y935"/>
      <c r="Z935"/>
      <c r="AA935"/>
      <c r="AB935"/>
      <c r="AC935"/>
      <c r="AD935"/>
      <c r="AE935"/>
      <c r="AF935"/>
      <c r="AG935" s="15"/>
      <c r="AH935" s="15"/>
      <c r="AI935" s="15"/>
      <c r="AJ935"/>
      <c r="AK935"/>
      <c r="AL935"/>
      <c r="AM935"/>
      <c r="AN935"/>
      <c r="AO935"/>
      <c r="AP935"/>
      <c r="AQ935" s="15"/>
      <c r="AR935"/>
      <c r="AS935"/>
      <c r="AT935"/>
      <c r="AU935"/>
      <c r="AV935"/>
      <c r="AW935" s="13"/>
      <c r="AX935"/>
      <c r="AY935"/>
      <c r="AZ935"/>
      <c r="BA935"/>
      <c r="BB935"/>
      <c r="BC935"/>
      <c r="BD935"/>
      <c r="BE935"/>
      <c r="BF935"/>
      <c r="BG935"/>
      <c r="BH935"/>
      <c r="BI935"/>
      <c r="BJ935"/>
      <c r="BK935"/>
      <c r="BL935"/>
      <c r="BM935"/>
    </row>
    <row r="936" spans="1:65" s="6" customFormat="1" x14ac:dyDescent="0.25">
      <c r="F936" s="21"/>
      <c r="G936" s="10"/>
      <c r="H936" s="7"/>
      <c r="I936" s="13"/>
      <c r="AF936" s="25"/>
      <c r="AG936" s="7"/>
      <c r="AH936" s="7"/>
      <c r="AI936" s="7"/>
      <c r="AO936" s="26"/>
      <c r="AP936" s="11"/>
      <c r="AQ936" s="7"/>
      <c r="AR936"/>
      <c r="AS936" s="11"/>
      <c r="AW936" s="7"/>
      <c r="BB936" s="24"/>
      <c r="BC936"/>
      <c r="BG936"/>
    </row>
    <row r="937" spans="1:65" s="6" customFormat="1" x14ac:dyDescent="0.25">
      <c r="A937"/>
      <c r="B937"/>
      <c r="C937"/>
      <c r="D937"/>
      <c r="E937"/>
      <c r="F937"/>
      <c r="G937"/>
      <c r="H937" s="13"/>
      <c r="I937" s="7"/>
      <c r="J937"/>
      <c r="K937"/>
      <c r="L937"/>
      <c r="M937"/>
      <c r="N937"/>
      <c r="O937"/>
      <c r="P937"/>
      <c r="Q937"/>
      <c r="R937"/>
      <c r="S937"/>
      <c r="T937"/>
      <c r="U937"/>
      <c r="V937" s="14"/>
      <c r="W937"/>
      <c r="X937"/>
      <c r="Y937"/>
      <c r="Z937"/>
      <c r="AA937"/>
      <c r="AB937"/>
      <c r="AC937"/>
      <c r="AD937"/>
      <c r="AE937"/>
      <c r="AF937"/>
      <c r="AG937" s="15"/>
      <c r="AH937" s="7"/>
      <c r="AI937" s="15"/>
      <c r="AJ937"/>
      <c r="AK937"/>
      <c r="AL937"/>
      <c r="AM937"/>
      <c r="AN937"/>
      <c r="AO937"/>
      <c r="AP937"/>
      <c r="AQ937" s="15"/>
      <c r="AR937"/>
      <c r="AS937"/>
      <c r="AT937"/>
      <c r="AU937"/>
      <c r="AW937" s="13"/>
      <c r="AX937"/>
      <c r="AY937"/>
      <c r="AZ937"/>
      <c r="BA937"/>
      <c r="BB937"/>
      <c r="BC937"/>
      <c r="BD937"/>
      <c r="BE937"/>
      <c r="BF937"/>
      <c r="BG937"/>
      <c r="BH937"/>
      <c r="BI937"/>
      <c r="BJ937"/>
      <c r="BK937"/>
      <c r="BL937"/>
      <c r="BM937"/>
    </row>
    <row r="938" spans="1:65" s="6" customFormat="1" x14ac:dyDescent="0.25">
      <c r="F938" s="21"/>
      <c r="G938" s="10"/>
      <c r="H938" s="7"/>
      <c r="I938" s="13"/>
      <c r="AF938" s="25"/>
      <c r="AG938" s="7"/>
      <c r="AH938" s="7"/>
      <c r="AI938" s="7"/>
      <c r="AO938" s="26"/>
      <c r="AP938" s="11"/>
      <c r="AQ938" s="7"/>
      <c r="AR938"/>
      <c r="AS938" s="11"/>
      <c r="AV938"/>
      <c r="AW938" s="7"/>
      <c r="BB938" s="24"/>
      <c r="BC938"/>
      <c r="BG938"/>
    </row>
    <row r="939" spans="1:65" s="6" customFormat="1" x14ac:dyDescent="0.25">
      <c r="A939"/>
      <c r="B939"/>
      <c r="C939"/>
      <c r="D939"/>
      <c r="E939"/>
      <c r="F939"/>
      <c r="G939"/>
      <c r="H939" s="13"/>
      <c r="I939" s="13"/>
      <c r="J939"/>
      <c r="K939"/>
      <c r="L939"/>
      <c r="M939"/>
      <c r="N939"/>
      <c r="O939"/>
      <c r="P939"/>
      <c r="Q939"/>
      <c r="R939"/>
      <c r="S939"/>
      <c r="T939"/>
      <c r="U939"/>
      <c r="V939" s="14"/>
      <c r="W939"/>
      <c r="X939"/>
      <c r="Y939"/>
      <c r="Z939"/>
      <c r="AA939"/>
      <c r="AB939"/>
      <c r="AC939"/>
      <c r="AD939"/>
      <c r="AE939"/>
      <c r="AF939"/>
      <c r="AG939" s="15"/>
      <c r="AH939" s="15"/>
      <c r="AI939" s="15"/>
      <c r="AJ939"/>
      <c r="AK939"/>
      <c r="AL939"/>
      <c r="AM939"/>
      <c r="AN939"/>
      <c r="AO939"/>
      <c r="AP939"/>
      <c r="AQ939" s="15"/>
      <c r="AR939"/>
      <c r="AS939"/>
      <c r="AT939"/>
      <c r="AU939"/>
      <c r="AW939" s="13"/>
      <c r="AX939"/>
      <c r="AY939"/>
      <c r="AZ939"/>
      <c r="BA939"/>
      <c r="BB939"/>
      <c r="BC939"/>
      <c r="BD939"/>
      <c r="BE939"/>
      <c r="BF939"/>
      <c r="BG939"/>
      <c r="BH939"/>
      <c r="BI939"/>
      <c r="BJ939"/>
      <c r="BK939"/>
      <c r="BL939"/>
      <c r="BM939"/>
    </row>
    <row r="940" spans="1:65" s="6" customFormat="1" x14ac:dyDescent="0.25">
      <c r="A940"/>
      <c r="B940"/>
      <c r="C940"/>
      <c r="D940"/>
      <c r="E940"/>
      <c r="F940"/>
      <c r="G940"/>
      <c r="H940" s="13"/>
      <c r="I940" s="7"/>
      <c r="J940"/>
      <c r="K940"/>
      <c r="L940"/>
      <c r="M940"/>
      <c r="N940"/>
      <c r="O940"/>
      <c r="P940"/>
      <c r="Q940"/>
      <c r="R940"/>
      <c r="S940"/>
      <c r="T940"/>
      <c r="U940"/>
      <c r="V940" s="14"/>
      <c r="W940"/>
      <c r="X940"/>
      <c r="Y940"/>
      <c r="Z940"/>
      <c r="AA940"/>
      <c r="AB940"/>
      <c r="AC940"/>
      <c r="AD940"/>
      <c r="AE940"/>
      <c r="AF940"/>
      <c r="AG940" s="15"/>
      <c r="AH940" s="7"/>
      <c r="AI940" s="15"/>
      <c r="AJ940"/>
      <c r="AK940"/>
      <c r="AL940"/>
      <c r="AM940"/>
      <c r="AN940"/>
      <c r="AO940"/>
      <c r="AP940"/>
      <c r="AQ940" s="15"/>
      <c r="AR940"/>
      <c r="AS940"/>
      <c r="AT940"/>
      <c r="AU940"/>
      <c r="AW940" s="13"/>
      <c r="AX940"/>
      <c r="AY940"/>
      <c r="AZ940"/>
      <c r="BA940"/>
      <c r="BB940"/>
      <c r="BC940"/>
      <c r="BD940"/>
      <c r="BE940"/>
      <c r="BF940"/>
      <c r="BG940"/>
      <c r="BH940"/>
      <c r="BI940"/>
      <c r="BJ940"/>
      <c r="BK940"/>
      <c r="BL940"/>
      <c r="BM940"/>
    </row>
    <row r="941" spans="1:65" s="6" customFormat="1" x14ac:dyDescent="0.25">
      <c r="F941" s="21"/>
      <c r="G941" s="10"/>
      <c r="H941" s="7"/>
      <c r="I941" s="13"/>
      <c r="AF941" s="25"/>
      <c r="AG941" s="7"/>
      <c r="AH941" s="7"/>
      <c r="AI941" s="7"/>
      <c r="AO941" s="26"/>
      <c r="AP941" s="11"/>
      <c r="AQ941" s="7"/>
      <c r="AR941"/>
      <c r="AS941" s="11"/>
      <c r="AV941"/>
      <c r="AW941" s="7"/>
      <c r="BB941" s="24"/>
      <c r="BC941"/>
      <c r="BG941"/>
    </row>
    <row r="942" spans="1:65" s="6" customFormat="1" x14ac:dyDescent="0.25">
      <c r="F942" s="21"/>
      <c r="G942" s="10"/>
      <c r="H942" s="7"/>
      <c r="I942" s="13"/>
      <c r="AF942" s="25"/>
      <c r="AG942" s="7"/>
      <c r="AH942" s="7"/>
      <c r="AI942" s="7"/>
      <c r="AO942" s="26"/>
      <c r="AP942" s="11"/>
      <c r="AQ942" s="7"/>
      <c r="AR942"/>
      <c r="AS942" s="11"/>
      <c r="AW942" s="7"/>
      <c r="BB942" s="24"/>
      <c r="BC942"/>
      <c r="BG942"/>
    </row>
    <row r="943" spans="1:65" s="6" customFormat="1" x14ac:dyDescent="0.25">
      <c r="A943"/>
      <c r="B943"/>
      <c r="C943"/>
      <c r="D943"/>
      <c r="E943"/>
      <c r="F943"/>
      <c r="G943"/>
      <c r="H943" s="13"/>
      <c r="I943" s="13"/>
      <c r="J943"/>
      <c r="K943"/>
      <c r="L943"/>
      <c r="M943"/>
      <c r="N943"/>
      <c r="O943"/>
      <c r="P943"/>
      <c r="Q943"/>
      <c r="R943"/>
      <c r="S943"/>
      <c r="T943"/>
      <c r="U943"/>
      <c r="V943" s="14"/>
      <c r="W943"/>
      <c r="X943"/>
      <c r="Y943"/>
      <c r="Z943"/>
      <c r="AA943"/>
      <c r="AB943"/>
      <c r="AC943"/>
      <c r="AD943"/>
      <c r="AE943"/>
      <c r="AF943"/>
      <c r="AG943" s="15"/>
      <c r="AH943" s="15"/>
      <c r="AI943" s="15"/>
      <c r="AJ943"/>
      <c r="AK943"/>
      <c r="AL943"/>
      <c r="AM943"/>
      <c r="AN943"/>
      <c r="AO943"/>
      <c r="AP943"/>
      <c r="AQ943" s="15"/>
      <c r="AR943"/>
      <c r="AS943"/>
      <c r="AT943"/>
      <c r="AU943"/>
      <c r="AV943"/>
      <c r="AW943" s="13"/>
      <c r="AX943"/>
      <c r="AY943"/>
      <c r="AZ943"/>
      <c r="BA943"/>
      <c r="BB943"/>
      <c r="BC943"/>
      <c r="BD943"/>
      <c r="BE943"/>
      <c r="BF943"/>
      <c r="BG943"/>
      <c r="BH943"/>
      <c r="BI943"/>
      <c r="BJ943"/>
      <c r="BK943"/>
      <c r="BL943"/>
      <c r="BM943"/>
    </row>
    <row r="944" spans="1:65" s="6" customFormat="1" x14ac:dyDescent="0.25">
      <c r="A944"/>
      <c r="B944"/>
      <c r="C944"/>
      <c r="D944"/>
      <c r="E944"/>
      <c r="F944"/>
      <c r="G944"/>
      <c r="H944" s="13"/>
      <c r="I944" s="13"/>
      <c r="J944"/>
      <c r="K944"/>
      <c r="L944"/>
      <c r="M944"/>
      <c r="N944"/>
      <c r="O944"/>
      <c r="P944"/>
      <c r="Q944"/>
      <c r="R944"/>
      <c r="S944"/>
      <c r="T944"/>
      <c r="U944"/>
      <c r="V944" s="14"/>
      <c r="W944"/>
      <c r="X944"/>
      <c r="Y944"/>
      <c r="Z944"/>
      <c r="AA944"/>
      <c r="AB944"/>
      <c r="AC944"/>
      <c r="AD944"/>
      <c r="AE944"/>
      <c r="AF944"/>
      <c r="AG944" s="15"/>
      <c r="AH944" s="15"/>
      <c r="AI944" s="15"/>
      <c r="AJ944"/>
      <c r="AK944"/>
      <c r="AL944"/>
      <c r="AM944"/>
      <c r="AN944"/>
      <c r="AO944"/>
      <c r="AP944"/>
      <c r="AQ944" s="15"/>
      <c r="AR944"/>
      <c r="AS944"/>
      <c r="AT944"/>
      <c r="AU944"/>
      <c r="AV944"/>
      <c r="AW944" s="13"/>
      <c r="AX944"/>
      <c r="AY944"/>
      <c r="AZ944"/>
      <c r="BA944"/>
      <c r="BB944"/>
      <c r="BC944"/>
      <c r="BD944"/>
      <c r="BE944"/>
      <c r="BF944"/>
      <c r="BG944"/>
      <c r="BH944"/>
      <c r="BI944"/>
      <c r="BJ944"/>
      <c r="BK944"/>
      <c r="BL944"/>
      <c r="BM944"/>
    </row>
    <row r="945" spans="1:65" s="6" customFormat="1" x14ac:dyDescent="0.25">
      <c r="F945" s="21"/>
      <c r="G945" s="10"/>
      <c r="H945" s="7"/>
      <c r="I945" s="13"/>
      <c r="AF945" s="25"/>
      <c r="AG945" s="7"/>
      <c r="AH945" s="7"/>
      <c r="AI945" s="7"/>
      <c r="AO945" s="26"/>
      <c r="AP945" s="11"/>
      <c r="AQ945" s="7"/>
      <c r="AR945"/>
      <c r="AS945" s="11"/>
      <c r="AW945" s="7"/>
      <c r="BB945" s="24"/>
      <c r="BC945"/>
      <c r="BG945"/>
    </row>
    <row r="946" spans="1:65" s="6" customFormat="1" x14ac:dyDescent="0.25">
      <c r="A946"/>
      <c r="B946"/>
      <c r="C946"/>
      <c r="D946"/>
      <c r="E946"/>
      <c r="F946"/>
      <c r="G946"/>
      <c r="H946" s="13"/>
      <c r="I946" s="7"/>
      <c r="J946"/>
      <c r="K946"/>
      <c r="L946"/>
      <c r="M946"/>
      <c r="N946"/>
      <c r="O946"/>
      <c r="P946"/>
      <c r="Q946"/>
      <c r="R946"/>
      <c r="S946"/>
      <c r="T946"/>
      <c r="U946"/>
      <c r="V946" s="14"/>
      <c r="W946"/>
      <c r="X946"/>
      <c r="Y946"/>
      <c r="Z946"/>
      <c r="AA946"/>
      <c r="AB946"/>
      <c r="AC946"/>
      <c r="AD946"/>
      <c r="AE946"/>
      <c r="AF946"/>
      <c r="AG946" s="15"/>
      <c r="AH946" s="7"/>
      <c r="AI946" s="15"/>
      <c r="AJ946"/>
      <c r="AK946"/>
      <c r="AL946"/>
      <c r="AM946"/>
      <c r="AN946"/>
      <c r="AO946"/>
      <c r="AP946"/>
      <c r="AQ946" s="15"/>
      <c r="AR946"/>
      <c r="AS946"/>
      <c r="AT946"/>
      <c r="AU946"/>
      <c r="AW946" s="13"/>
      <c r="AX946"/>
      <c r="AY946"/>
      <c r="AZ946"/>
      <c r="BA946"/>
      <c r="BB946"/>
      <c r="BC946"/>
      <c r="BD946"/>
      <c r="BE946"/>
      <c r="BF946"/>
      <c r="BG946"/>
      <c r="BH946"/>
      <c r="BI946"/>
      <c r="BJ946"/>
      <c r="BK946"/>
      <c r="BL946"/>
      <c r="BM946"/>
    </row>
    <row r="947" spans="1:65" s="6" customFormat="1" x14ac:dyDescent="0.25">
      <c r="F947" s="21"/>
      <c r="G947" s="10"/>
      <c r="H947" s="7"/>
      <c r="I947" s="13"/>
      <c r="AF947" s="25"/>
      <c r="AG947" s="7"/>
      <c r="AH947" s="7"/>
      <c r="AI947" s="7"/>
      <c r="AO947" s="26"/>
      <c r="AP947" s="11"/>
      <c r="AQ947" s="7"/>
      <c r="AR947"/>
      <c r="AS947" s="11"/>
      <c r="AV947"/>
      <c r="AW947" s="7"/>
      <c r="BB947" s="24"/>
      <c r="BC947"/>
      <c r="BG947"/>
    </row>
    <row r="948" spans="1:65" s="6" customFormat="1" x14ac:dyDescent="0.25">
      <c r="A948"/>
      <c r="B948"/>
      <c r="C948"/>
      <c r="D948"/>
      <c r="E948"/>
      <c r="F948"/>
      <c r="G948"/>
      <c r="H948" s="13"/>
      <c r="I948" s="13"/>
      <c r="J948"/>
      <c r="K948"/>
      <c r="L948"/>
      <c r="M948"/>
      <c r="N948"/>
      <c r="O948"/>
      <c r="P948"/>
      <c r="Q948"/>
      <c r="R948"/>
      <c r="S948"/>
      <c r="T948"/>
      <c r="U948"/>
      <c r="V948" s="14"/>
      <c r="W948"/>
      <c r="X948"/>
      <c r="Y948"/>
      <c r="Z948"/>
      <c r="AA948"/>
      <c r="AB948"/>
      <c r="AC948"/>
      <c r="AD948"/>
      <c r="AE948"/>
      <c r="AF948"/>
      <c r="AG948" s="15"/>
      <c r="AH948" s="15"/>
      <c r="AI948" s="15"/>
      <c r="AJ948"/>
      <c r="AK948"/>
      <c r="AL948"/>
      <c r="AM948"/>
      <c r="AN948"/>
      <c r="AO948"/>
      <c r="AP948"/>
      <c r="AQ948" s="15"/>
      <c r="AR948"/>
      <c r="AS948"/>
      <c r="AT948"/>
      <c r="AU948"/>
      <c r="AW948" s="13"/>
      <c r="AX948"/>
      <c r="AY948"/>
      <c r="AZ948"/>
      <c r="BA948"/>
      <c r="BB948"/>
      <c r="BC948"/>
      <c r="BD948"/>
      <c r="BE948"/>
      <c r="BF948"/>
      <c r="BG948"/>
      <c r="BH948"/>
      <c r="BI948"/>
      <c r="BJ948"/>
      <c r="BK948"/>
      <c r="BL948"/>
      <c r="BM948"/>
    </row>
    <row r="949" spans="1:65" s="6" customFormat="1" x14ac:dyDescent="0.25">
      <c r="A949"/>
      <c r="B949"/>
      <c r="C949"/>
      <c r="D949"/>
      <c r="E949"/>
      <c r="F949"/>
      <c r="G949"/>
      <c r="H949" s="13"/>
      <c r="I949" s="7"/>
      <c r="J949"/>
      <c r="K949"/>
      <c r="L949"/>
      <c r="M949"/>
      <c r="N949"/>
      <c r="O949"/>
      <c r="P949"/>
      <c r="Q949"/>
      <c r="R949"/>
      <c r="S949"/>
      <c r="T949"/>
      <c r="U949"/>
      <c r="V949" s="14"/>
      <c r="W949"/>
      <c r="X949"/>
      <c r="Y949"/>
      <c r="Z949"/>
      <c r="AA949"/>
      <c r="AB949"/>
      <c r="AC949"/>
      <c r="AD949"/>
      <c r="AE949"/>
      <c r="AF949"/>
      <c r="AG949" s="15"/>
      <c r="AH949" s="7"/>
      <c r="AI949" s="15"/>
      <c r="AJ949"/>
      <c r="AK949"/>
      <c r="AL949"/>
      <c r="AM949"/>
      <c r="AN949"/>
      <c r="AO949"/>
      <c r="AP949"/>
      <c r="AQ949" s="15"/>
      <c r="AR949"/>
      <c r="AS949"/>
      <c r="AT949"/>
      <c r="AU949"/>
      <c r="AW949" s="13"/>
      <c r="AX949"/>
      <c r="AY949"/>
      <c r="AZ949"/>
      <c r="BA949"/>
      <c r="BB949"/>
      <c r="BC949"/>
      <c r="BD949"/>
      <c r="BE949"/>
      <c r="BF949"/>
      <c r="BG949"/>
      <c r="BH949"/>
      <c r="BI949"/>
      <c r="BJ949"/>
      <c r="BK949"/>
      <c r="BL949"/>
      <c r="BM949"/>
    </row>
    <row r="950" spans="1:65" s="6" customFormat="1" x14ac:dyDescent="0.25">
      <c r="F950" s="21"/>
      <c r="G950" s="10"/>
      <c r="H950" s="7"/>
      <c r="I950" s="13"/>
      <c r="AF950" s="25"/>
      <c r="AG950" s="7"/>
      <c r="AH950" s="7"/>
      <c r="AI950" s="7"/>
      <c r="AO950" s="26"/>
      <c r="AP950" s="11"/>
      <c r="AQ950" s="7"/>
      <c r="AR950"/>
      <c r="AS950" s="11"/>
      <c r="AV950"/>
      <c r="AW950" s="7"/>
      <c r="BB950" s="24"/>
      <c r="BC950"/>
      <c r="BG950"/>
    </row>
    <row r="951" spans="1:65" s="6" customFormat="1" x14ac:dyDescent="0.25">
      <c r="F951" s="21"/>
      <c r="G951" s="10"/>
      <c r="H951" s="7"/>
      <c r="I951" s="13"/>
      <c r="AF951" s="25"/>
      <c r="AG951" s="7"/>
      <c r="AH951" s="7"/>
      <c r="AI951" s="7"/>
      <c r="AO951" s="26"/>
      <c r="AP951" s="11"/>
      <c r="AQ951" s="7"/>
      <c r="AR951"/>
      <c r="AS951" s="11"/>
      <c r="AW951" s="7"/>
      <c r="BB951" s="24"/>
      <c r="BC951"/>
      <c r="BG951"/>
    </row>
    <row r="952" spans="1:65" s="6" customFormat="1" x14ac:dyDescent="0.25">
      <c r="A952"/>
      <c r="B952"/>
      <c r="C952"/>
      <c r="D952"/>
      <c r="E952"/>
      <c r="F952"/>
      <c r="G952"/>
      <c r="H952" s="13"/>
      <c r="I952" s="13"/>
      <c r="J952"/>
      <c r="K952"/>
      <c r="L952"/>
      <c r="M952"/>
      <c r="N952"/>
      <c r="O952"/>
      <c r="P952"/>
      <c r="Q952"/>
      <c r="R952"/>
      <c r="S952"/>
      <c r="T952"/>
      <c r="U952"/>
      <c r="V952" s="14"/>
      <c r="W952"/>
      <c r="X952"/>
      <c r="Y952"/>
      <c r="Z952"/>
      <c r="AA952"/>
      <c r="AB952"/>
      <c r="AC952"/>
      <c r="AD952"/>
      <c r="AE952"/>
      <c r="AF952"/>
      <c r="AG952" s="15"/>
      <c r="AH952" s="15"/>
      <c r="AI952" s="15"/>
      <c r="AJ952"/>
      <c r="AK952"/>
      <c r="AL952"/>
      <c r="AM952"/>
      <c r="AN952"/>
      <c r="AO952"/>
      <c r="AP952"/>
      <c r="AQ952" s="15"/>
      <c r="AR952"/>
      <c r="AS952"/>
      <c r="AT952"/>
      <c r="AU952"/>
      <c r="AV952"/>
      <c r="AW952" s="13"/>
      <c r="AX952"/>
      <c r="AY952"/>
      <c r="AZ952"/>
      <c r="BA952"/>
      <c r="BB952"/>
      <c r="BC952"/>
      <c r="BD952"/>
      <c r="BE952"/>
      <c r="BF952"/>
      <c r="BG952"/>
      <c r="BH952"/>
      <c r="BI952"/>
      <c r="BJ952"/>
      <c r="BK952"/>
      <c r="BL952"/>
      <c r="BM952"/>
    </row>
    <row r="953" spans="1:65" s="6" customFormat="1" x14ac:dyDescent="0.25">
      <c r="A953"/>
      <c r="B953"/>
      <c r="C953"/>
      <c r="D953"/>
      <c r="E953"/>
      <c r="F953"/>
      <c r="G953"/>
      <c r="H953" s="13"/>
      <c r="I953" s="13"/>
      <c r="J953"/>
      <c r="K953"/>
      <c r="L953"/>
      <c r="M953"/>
      <c r="N953"/>
      <c r="O953"/>
      <c r="P953"/>
      <c r="Q953"/>
      <c r="R953"/>
      <c r="S953"/>
      <c r="T953"/>
      <c r="U953"/>
      <c r="V953" s="14"/>
      <c r="W953"/>
      <c r="X953"/>
      <c r="Y953"/>
      <c r="Z953"/>
      <c r="AA953"/>
      <c r="AB953"/>
      <c r="AC953"/>
      <c r="AD953"/>
      <c r="AE953"/>
      <c r="AF953"/>
      <c r="AG953" s="15"/>
      <c r="AH953" s="15"/>
      <c r="AI953" s="15"/>
      <c r="AJ953"/>
      <c r="AK953"/>
      <c r="AL953"/>
      <c r="AM953"/>
      <c r="AN953"/>
      <c r="AO953"/>
      <c r="AP953"/>
      <c r="AQ953" s="15"/>
      <c r="AR953"/>
      <c r="AS953"/>
      <c r="AT953"/>
      <c r="AU953"/>
      <c r="AV953"/>
      <c r="AW953" s="13"/>
      <c r="AX953"/>
      <c r="AY953"/>
      <c r="AZ953"/>
      <c r="BA953"/>
      <c r="BB953"/>
      <c r="BC953"/>
      <c r="BD953"/>
      <c r="BE953"/>
      <c r="BF953"/>
      <c r="BG953"/>
      <c r="BH953"/>
      <c r="BI953"/>
      <c r="BJ953"/>
      <c r="BK953"/>
      <c r="BL953"/>
      <c r="BM953"/>
    </row>
    <row r="954" spans="1:65" s="6" customFormat="1" x14ac:dyDescent="0.25">
      <c r="F954" s="21"/>
      <c r="G954" s="10"/>
      <c r="H954" s="7"/>
      <c r="I954" s="13"/>
      <c r="AF954" s="25"/>
      <c r="AG954" s="7"/>
      <c r="AH954" s="7"/>
      <c r="AI954" s="7"/>
      <c r="AO954" s="26"/>
      <c r="AP954" s="11"/>
      <c r="AQ954" s="7"/>
      <c r="AR954"/>
      <c r="AS954" s="11"/>
      <c r="AW954" s="7"/>
      <c r="BB954" s="24"/>
      <c r="BC954"/>
      <c r="BG954"/>
    </row>
    <row r="955" spans="1:65" s="6" customFormat="1" x14ac:dyDescent="0.25">
      <c r="A955"/>
      <c r="B955"/>
      <c r="C955"/>
      <c r="D955"/>
      <c r="E955"/>
      <c r="F955"/>
      <c r="G955"/>
      <c r="H955" s="13"/>
      <c r="I955" s="7"/>
      <c r="J955"/>
      <c r="K955"/>
      <c r="L955"/>
      <c r="M955"/>
      <c r="N955"/>
      <c r="O955"/>
      <c r="P955"/>
      <c r="Q955"/>
      <c r="R955"/>
      <c r="S955"/>
      <c r="T955"/>
      <c r="U955"/>
      <c r="V955" s="14"/>
      <c r="W955"/>
      <c r="X955"/>
      <c r="Y955"/>
      <c r="Z955"/>
      <c r="AA955"/>
      <c r="AB955"/>
      <c r="AC955"/>
      <c r="AD955"/>
      <c r="AE955"/>
      <c r="AF955"/>
      <c r="AG955" s="15"/>
      <c r="AH955" s="7"/>
      <c r="AI955" s="15"/>
      <c r="AJ955"/>
      <c r="AK955"/>
      <c r="AL955"/>
      <c r="AM955"/>
      <c r="AN955"/>
      <c r="AO955"/>
      <c r="AP955"/>
      <c r="AQ955" s="15"/>
      <c r="AR955"/>
      <c r="AS955"/>
      <c r="AT955"/>
      <c r="AU955"/>
      <c r="AW955" s="13"/>
      <c r="AX955"/>
      <c r="AY955"/>
      <c r="AZ955"/>
      <c r="BA955"/>
      <c r="BB955"/>
      <c r="BC955"/>
      <c r="BD955"/>
      <c r="BE955"/>
      <c r="BF955"/>
      <c r="BG955"/>
      <c r="BH955"/>
      <c r="BI955"/>
      <c r="BJ955"/>
      <c r="BK955"/>
      <c r="BL955"/>
      <c r="BM955"/>
    </row>
    <row r="956" spans="1:65" s="6" customFormat="1" x14ac:dyDescent="0.25">
      <c r="F956" s="21"/>
      <c r="G956" s="10"/>
      <c r="H956" s="7"/>
      <c r="I956" s="13"/>
      <c r="AF956" s="25"/>
      <c r="AG956" s="7"/>
      <c r="AH956" s="7"/>
      <c r="AI956" s="7"/>
      <c r="AO956" s="26"/>
      <c r="AP956" s="11"/>
      <c r="AQ956" s="7"/>
      <c r="AR956"/>
      <c r="AS956" s="11"/>
      <c r="AV956"/>
      <c r="AW956" s="7"/>
      <c r="BB956" s="24"/>
      <c r="BC956"/>
      <c r="BG956"/>
    </row>
    <row r="957" spans="1:65" s="6" customFormat="1" x14ac:dyDescent="0.25">
      <c r="A957"/>
      <c r="B957"/>
      <c r="C957"/>
      <c r="D957"/>
      <c r="E957"/>
      <c r="F957"/>
      <c r="G957"/>
      <c r="H957" s="13"/>
      <c r="I957" s="13"/>
      <c r="J957"/>
      <c r="K957"/>
      <c r="L957"/>
      <c r="M957"/>
      <c r="N957"/>
      <c r="O957"/>
      <c r="P957"/>
      <c r="Q957"/>
      <c r="R957"/>
      <c r="S957"/>
      <c r="T957"/>
      <c r="U957"/>
      <c r="V957" s="14"/>
      <c r="W957"/>
      <c r="X957"/>
      <c r="Y957"/>
      <c r="Z957"/>
      <c r="AA957"/>
      <c r="AB957"/>
      <c r="AC957"/>
      <c r="AD957"/>
      <c r="AE957"/>
      <c r="AF957"/>
      <c r="AG957" s="15"/>
      <c r="AH957" s="15"/>
      <c r="AI957" s="15"/>
      <c r="AJ957"/>
      <c r="AK957"/>
      <c r="AL957"/>
      <c r="AM957"/>
      <c r="AN957"/>
      <c r="AO957"/>
      <c r="AP957"/>
      <c r="AQ957" s="15"/>
      <c r="AR957"/>
      <c r="AS957"/>
      <c r="AT957"/>
      <c r="AU957"/>
      <c r="AW957" s="13"/>
      <c r="AX957"/>
      <c r="AY957"/>
      <c r="AZ957"/>
      <c r="BA957"/>
      <c r="BB957"/>
      <c r="BC957"/>
      <c r="BD957"/>
      <c r="BE957"/>
      <c r="BF957"/>
      <c r="BG957"/>
      <c r="BH957"/>
      <c r="BI957"/>
      <c r="BJ957"/>
      <c r="BK957"/>
      <c r="BL957"/>
      <c r="BM957"/>
    </row>
    <row r="958" spans="1:65" s="6" customFormat="1" x14ac:dyDescent="0.25">
      <c r="A958"/>
      <c r="B958"/>
      <c r="C958"/>
      <c r="D958"/>
      <c r="E958"/>
      <c r="F958"/>
      <c r="G958"/>
      <c r="H958" s="13"/>
      <c r="I958" s="7"/>
      <c r="J958"/>
      <c r="K958"/>
      <c r="L958"/>
      <c r="M958"/>
      <c r="N958"/>
      <c r="O958"/>
      <c r="P958"/>
      <c r="Q958"/>
      <c r="R958"/>
      <c r="S958"/>
      <c r="T958"/>
      <c r="U958"/>
      <c r="V958" s="14"/>
      <c r="W958"/>
      <c r="X958"/>
      <c r="Y958"/>
      <c r="Z958"/>
      <c r="AA958"/>
      <c r="AB958"/>
      <c r="AC958"/>
      <c r="AD958"/>
      <c r="AE958"/>
      <c r="AF958"/>
      <c r="AG958" s="15"/>
      <c r="AH958" s="7"/>
      <c r="AI958" s="15"/>
      <c r="AJ958"/>
      <c r="AK958"/>
      <c r="AL958"/>
      <c r="AM958"/>
      <c r="AN958"/>
      <c r="AO958"/>
      <c r="AP958"/>
      <c r="AQ958" s="15"/>
      <c r="AR958"/>
      <c r="AS958"/>
      <c r="AT958"/>
      <c r="AU958"/>
      <c r="AW958" s="13"/>
      <c r="AX958"/>
      <c r="AY958"/>
      <c r="AZ958"/>
      <c r="BA958"/>
      <c r="BB958"/>
      <c r="BC958"/>
      <c r="BD958"/>
      <c r="BE958"/>
      <c r="BF958"/>
      <c r="BG958"/>
      <c r="BH958"/>
      <c r="BI958"/>
      <c r="BJ958"/>
      <c r="BK958"/>
      <c r="BL958"/>
      <c r="BM958"/>
    </row>
    <row r="959" spans="1:65" s="6" customFormat="1" x14ac:dyDescent="0.25">
      <c r="F959" s="21"/>
      <c r="G959" s="10"/>
      <c r="H959" s="7"/>
      <c r="I959" s="13"/>
      <c r="AF959" s="25"/>
      <c r="AG959" s="7"/>
      <c r="AH959" s="7"/>
      <c r="AI959" s="7"/>
      <c r="AO959" s="26"/>
      <c r="AP959" s="11"/>
      <c r="AQ959" s="7"/>
      <c r="AR959"/>
      <c r="AS959" s="11"/>
      <c r="AV959"/>
      <c r="AW959" s="7"/>
      <c r="BB959" s="24"/>
      <c r="BC959"/>
      <c r="BG959"/>
    </row>
    <row r="960" spans="1:65" s="6" customFormat="1" x14ac:dyDescent="0.25">
      <c r="F960" s="21"/>
      <c r="G960" s="10"/>
      <c r="H960" s="7"/>
      <c r="I960" s="13"/>
      <c r="AF960" s="25"/>
      <c r="AG960" s="7"/>
      <c r="AH960" s="7"/>
      <c r="AI960" s="7"/>
      <c r="AO960" s="26"/>
      <c r="AP960" s="11"/>
      <c r="AQ960" s="7"/>
      <c r="AR960"/>
      <c r="AS960" s="11"/>
      <c r="AW960" s="7"/>
      <c r="BB960" s="24"/>
      <c r="BC960"/>
      <c r="BG960"/>
    </row>
    <row r="961" spans="1:65" s="6" customFormat="1" x14ac:dyDescent="0.25">
      <c r="A961"/>
      <c r="B961"/>
      <c r="C961"/>
      <c r="D961"/>
      <c r="E961"/>
      <c r="F961"/>
      <c r="G961"/>
      <c r="H961" s="13"/>
      <c r="I961" s="13"/>
      <c r="J961"/>
      <c r="K961"/>
      <c r="L961"/>
      <c r="M961"/>
      <c r="N961"/>
      <c r="O961"/>
      <c r="P961"/>
      <c r="Q961"/>
      <c r="R961"/>
      <c r="S961"/>
      <c r="T961"/>
      <c r="U961"/>
      <c r="V961" s="14"/>
      <c r="W961"/>
      <c r="X961"/>
      <c r="Y961"/>
      <c r="Z961"/>
      <c r="AA961"/>
      <c r="AB961"/>
      <c r="AC961"/>
      <c r="AD961"/>
      <c r="AE961"/>
      <c r="AF961"/>
      <c r="AG961" s="15"/>
      <c r="AH961" s="15"/>
      <c r="AI961" s="15"/>
      <c r="AJ961"/>
      <c r="AK961"/>
      <c r="AL961"/>
      <c r="AM961"/>
      <c r="AN961"/>
      <c r="AO961"/>
      <c r="AP961"/>
      <c r="AQ961" s="15"/>
      <c r="AR961"/>
      <c r="AS961"/>
      <c r="AT961"/>
      <c r="AU961"/>
      <c r="AV961"/>
      <c r="AW961" s="13"/>
      <c r="AX961"/>
      <c r="AY961"/>
      <c r="AZ961"/>
      <c r="BA961"/>
      <c r="BB961"/>
      <c r="BC961"/>
      <c r="BD961"/>
      <c r="BE961"/>
      <c r="BF961"/>
      <c r="BG961"/>
      <c r="BH961"/>
      <c r="BI961"/>
      <c r="BJ961"/>
      <c r="BK961"/>
      <c r="BL961"/>
      <c r="BM961"/>
    </row>
    <row r="962" spans="1:65" s="6" customFormat="1" x14ac:dyDescent="0.25">
      <c r="A962"/>
      <c r="B962"/>
      <c r="C962"/>
      <c r="D962"/>
      <c r="E962"/>
      <c r="F962"/>
      <c r="G962"/>
      <c r="H962" s="13"/>
      <c r="I962" s="13"/>
      <c r="J962"/>
      <c r="K962"/>
      <c r="L962"/>
      <c r="M962"/>
      <c r="N962"/>
      <c r="O962"/>
      <c r="P962"/>
      <c r="Q962"/>
      <c r="R962"/>
      <c r="S962"/>
      <c r="T962"/>
      <c r="U962"/>
      <c r="V962" s="14"/>
      <c r="W962"/>
      <c r="X962"/>
      <c r="Y962"/>
      <c r="Z962"/>
      <c r="AA962"/>
      <c r="AB962"/>
      <c r="AC962"/>
      <c r="AD962"/>
      <c r="AE962"/>
      <c r="AF962"/>
      <c r="AG962" s="15"/>
      <c r="AH962" s="15"/>
      <c r="AI962" s="15"/>
      <c r="AJ962"/>
      <c r="AK962"/>
      <c r="AL962"/>
      <c r="AM962"/>
      <c r="AN962"/>
      <c r="AO962"/>
      <c r="AP962"/>
      <c r="AQ962" s="15"/>
      <c r="AR962"/>
      <c r="AS962"/>
      <c r="AT962"/>
      <c r="AU962"/>
      <c r="AV962"/>
      <c r="AW962" s="13"/>
      <c r="AX962"/>
      <c r="AY962"/>
      <c r="AZ962"/>
      <c r="BA962"/>
      <c r="BB962"/>
      <c r="BC962"/>
      <c r="BD962"/>
      <c r="BE962"/>
      <c r="BF962"/>
      <c r="BG962"/>
      <c r="BH962"/>
      <c r="BI962"/>
      <c r="BJ962"/>
      <c r="BK962"/>
      <c r="BL962"/>
      <c r="BM962"/>
    </row>
    <row r="963" spans="1:65" s="6" customFormat="1" x14ac:dyDescent="0.25">
      <c r="F963" s="21"/>
      <c r="G963" s="10"/>
      <c r="H963" s="7"/>
      <c r="I963" s="13"/>
      <c r="AF963" s="25"/>
      <c r="AG963" s="7"/>
      <c r="AH963" s="7"/>
      <c r="AI963" s="7"/>
      <c r="AO963" s="26"/>
      <c r="AP963" s="11"/>
      <c r="AQ963" s="7"/>
      <c r="AR963"/>
      <c r="AS963" s="11"/>
      <c r="AW963" s="7"/>
      <c r="BB963" s="24"/>
      <c r="BC963"/>
      <c r="BG963"/>
    </row>
    <row r="964" spans="1:65" s="6" customFormat="1" x14ac:dyDescent="0.25">
      <c r="A964"/>
      <c r="B964"/>
      <c r="C964"/>
      <c r="D964"/>
      <c r="E964"/>
      <c r="F964"/>
      <c r="G964"/>
      <c r="H964" s="13"/>
      <c r="I964" s="7"/>
      <c r="J964"/>
      <c r="K964"/>
      <c r="L964"/>
      <c r="M964"/>
      <c r="N964"/>
      <c r="O964"/>
      <c r="P964"/>
      <c r="Q964"/>
      <c r="R964"/>
      <c r="S964"/>
      <c r="T964"/>
      <c r="U964"/>
      <c r="V964" s="14"/>
      <c r="W964"/>
      <c r="X964"/>
      <c r="Y964"/>
      <c r="Z964"/>
      <c r="AA964"/>
      <c r="AB964"/>
      <c r="AC964"/>
      <c r="AD964"/>
      <c r="AE964"/>
      <c r="AF964"/>
      <c r="AG964" s="15"/>
      <c r="AH964" s="7"/>
      <c r="AI964" s="15"/>
      <c r="AJ964"/>
      <c r="AK964"/>
      <c r="AL964"/>
      <c r="AM964"/>
      <c r="AN964"/>
      <c r="AO964"/>
      <c r="AP964"/>
      <c r="AQ964" s="15"/>
      <c r="AR964"/>
      <c r="AS964"/>
      <c r="AT964"/>
      <c r="AU964"/>
      <c r="AW964" s="13"/>
      <c r="AX964"/>
      <c r="AY964"/>
      <c r="AZ964"/>
      <c r="BA964"/>
      <c r="BB964"/>
      <c r="BC964"/>
      <c r="BD964"/>
      <c r="BE964"/>
      <c r="BF964"/>
      <c r="BG964"/>
      <c r="BH964"/>
      <c r="BI964"/>
      <c r="BJ964"/>
      <c r="BK964"/>
      <c r="BL964"/>
      <c r="BM964"/>
    </row>
    <row r="965" spans="1:65" s="6" customFormat="1" x14ac:dyDescent="0.25">
      <c r="F965" s="21"/>
      <c r="G965" s="10"/>
      <c r="H965" s="7"/>
      <c r="I965" s="13"/>
      <c r="AF965" s="25"/>
      <c r="AG965" s="7"/>
      <c r="AH965" s="7"/>
      <c r="AI965" s="7"/>
      <c r="AO965" s="26"/>
      <c r="AP965" s="11"/>
      <c r="AQ965" s="7"/>
      <c r="AR965"/>
      <c r="AS965" s="11"/>
      <c r="AV965"/>
      <c r="AW965" s="7"/>
      <c r="BB965" s="24"/>
      <c r="BC965"/>
      <c r="BG965"/>
    </row>
    <row r="966" spans="1:65" s="6" customFormat="1" x14ac:dyDescent="0.25">
      <c r="A966"/>
      <c r="B966"/>
      <c r="C966"/>
      <c r="D966"/>
      <c r="E966"/>
      <c r="F966"/>
      <c r="G966"/>
      <c r="H966" s="13"/>
      <c r="I966" s="13"/>
      <c r="J966"/>
      <c r="K966"/>
      <c r="L966"/>
      <c r="M966"/>
      <c r="N966"/>
      <c r="O966"/>
      <c r="P966"/>
      <c r="Q966"/>
      <c r="R966"/>
      <c r="S966"/>
      <c r="T966"/>
      <c r="U966"/>
      <c r="V966" s="14"/>
      <c r="W966"/>
      <c r="X966"/>
      <c r="Y966"/>
      <c r="Z966"/>
      <c r="AA966"/>
      <c r="AB966"/>
      <c r="AC966"/>
      <c r="AD966"/>
      <c r="AE966"/>
      <c r="AF966"/>
      <c r="AG966" s="15"/>
      <c r="AH966" s="15"/>
      <c r="AI966" s="15"/>
      <c r="AJ966"/>
      <c r="AK966"/>
      <c r="AL966"/>
      <c r="AM966"/>
      <c r="AN966"/>
      <c r="AO966"/>
      <c r="AP966"/>
      <c r="AQ966" s="15"/>
      <c r="AR966"/>
      <c r="AS966"/>
      <c r="AT966"/>
      <c r="AU966"/>
      <c r="AW966" s="13"/>
      <c r="AX966"/>
      <c r="AY966"/>
      <c r="AZ966"/>
      <c r="BA966"/>
      <c r="BB966"/>
      <c r="BC966"/>
      <c r="BD966"/>
      <c r="BE966"/>
      <c r="BF966"/>
      <c r="BG966"/>
      <c r="BH966"/>
      <c r="BI966"/>
      <c r="BJ966"/>
      <c r="BK966"/>
      <c r="BL966"/>
      <c r="BM966"/>
    </row>
    <row r="967" spans="1:65" s="6" customFormat="1" x14ac:dyDescent="0.25">
      <c r="A967"/>
      <c r="B967"/>
      <c r="C967"/>
      <c r="D967"/>
      <c r="E967"/>
      <c r="F967"/>
      <c r="G967"/>
      <c r="H967" s="13"/>
      <c r="I967" s="7"/>
      <c r="J967"/>
      <c r="K967"/>
      <c r="L967"/>
      <c r="M967"/>
      <c r="N967"/>
      <c r="O967"/>
      <c r="P967"/>
      <c r="Q967"/>
      <c r="R967"/>
      <c r="S967"/>
      <c r="T967"/>
      <c r="U967"/>
      <c r="V967" s="14"/>
      <c r="W967"/>
      <c r="X967"/>
      <c r="Y967"/>
      <c r="Z967"/>
      <c r="AA967"/>
      <c r="AB967"/>
      <c r="AC967"/>
      <c r="AD967"/>
      <c r="AE967"/>
      <c r="AF967"/>
      <c r="AG967" s="15"/>
      <c r="AH967" s="7"/>
      <c r="AI967" s="15"/>
      <c r="AJ967"/>
      <c r="AK967"/>
      <c r="AL967"/>
      <c r="AM967"/>
      <c r="AN967"/>
      <c r="AO967"/>
      <c r="AP967"/>
      <c r="AQ967" s="15"/>
      <c r="AR967"/>
      <c r="AS967"/>
      <c r="AT967"/>
      <c r="AU967"/>
      <c r="AW967" s="13"/>
      <c r="AX967"/>
      <c r="AY967"/>
      <c r="AZ967"/>
      <c r="BA967"/>
      <c r="BB967"/>
      <c r="BC967"/>
      <c r="BD967"/>
      <c r="BE967"/>
      <c r="BF967"/>
      <c r="BG967"/>
      <c r="BH967"/>
      <c r="BI967"/>
      <c r="BJ967"/>
      <c r="BK967"/>
      <c r="BL967"/>
      <c r="BM967"/>
    </row>
    <row r="968" spans="1:65" s="6" customFormat="1" x14ac:dyDescent="0.25">
      <c r="F968" s="21"/>
      <c r="G968" s="10"/>
      <c r="H968" s="7"/>
      <c r="I968" s="13"/>
      <c r="AF968" s="25"/>
      <c r="AG968" s="7"/>
      <c r="AH968" s="7"/>
      <c r="AI968" s="7"/>
      <c r="AO968" s="26"/>
      <c r="AP968" s="11"/>
      <c r="AQ968" s="7"/>
      <c r="AR968"/>
      <c r="AS968" s="11"/>
      <c r="AV968"/>
      <c r="AW968" s="7"/>
      <c r="BB968" s="24"/>
      <c r="BC968"/>
      <c r="BG968"/>
    </row>
    <row r="969" spans="1:65" s="6" customFormat="1" x14ac:dyDescent="0.25">
      <c r="F969" s="21"/>
      <c r="G969" s="10"/>
      <c r="H969" s="7"/>
      <c r="I969" s="13"/>
      <c r="AF969" s="25"/>
      <c r="AG969" s="7"/>
      <c r="AH969" s="7"/>
      <c r="AI969" s="7"/>
      <c r="AO969" s="26"/>
      <c r="AP969" s="11"/>
      <c r="AQ969" s="7"/>
      <c r="AR969"/>
      <c r="AS969" s="11"/>
      <c r="AW969" s="7"/>
      <c r="BB969" s="24"/>
      <c r="BC969"/>
      <c r="BG969"/>
    </row>
    <row r="970" spans="1:65" s="6" customFormat="1" x14ac:dyDescent="0.25">
      <c r="A970"/>
      <c r="B970"/>
      <c r="C970"/>
      <c r="D970"/>
      <c r="E970"/>
      <c r="F970"/>
      <c r="G970"/>
      <c r="H970" s="13"/>
      <c r="I970" s="13"/>
      <c r="J970"/>
      <c r="K970"/>
      <c r="L970"/>
      <c r="M970"/>
      <c r="N970"/>
      <c r="O970"/>
      <c r="P970"/>
      <c r="Q970"/>
      <c r="R970"/>
      <c r="S970"/>
      <c r="T970"/>
      <c r="U970"/>
      <c r="V970" s="14"/>
      <c r="W970"/>
      <c r="X970"/>
      <c r="Y970"/>
      <c r="Z970"/>
      <c r="AA970"/>
      <c r="AB970"/>
      <c r="AC970"/>
      <c r="AD970"/>
      <c r="AE970"/>
      <c r="AF970"/>
      <c r="AG970" s="15"/>
      <c r="AH970" s="15"/>
      <c r="AI970" s="15"/>
      <c r="AJ970"/>
      <c r="AK970"/>
      <c r="AL970"/>
      <c r="AM970"/>
      <c r="AN970"/>
      <c r="AO970"/>
      <c r="AP970"/>
      <c r="AQ970" s="15"/>
      <c r="AR970"/>
      <c r="AS970"/>
      <c r="AT970"/>
      <c r="AU970"/>
      <c r="AV970"/>
      <c r="AW970" s="13"/>
      <c r="AX970"/>
      <c r="AY970"/>
      <c r="AZ970"/>
      <c r="BA970"/>
      <c r="BB970"/>
      <c r="BC970"/>
      <c r="BD970"/>
      <c r="BE970"/>
      <c r="BF970"/>
      <c r="BG970"/>
      <c r="BH970"/>
      <c r="BI970"/>
      <c r="BJ970"/>
      <c r="BK970"/>
      <c r="BL970"/>
      <c r="BM970"/>
    </row>
    <row r="971" spans="1:65" s="6" customFormat="1" x14ac:dyDescent="0.25">
      <c r="A971"/>
      <c r="B971"/>
      <c r="C971"/>
      <c r="D971"/>
      <c r="E971"/>
      <c r="F971"/>
      <c r="G971"/>
      <c r="H971" s="13"/>
      <c r="I971" s="13"/>
      <c r="J971"/>
      <c r="K971"/>
      <c r="L971"/>
      <c r="M971"/>
      <c r="N971"/>
      <c r="O971"/>
      <c r="P971"/>
      <c r="Q971"/>
      <c r="R971"/>
      <c r="S971"/>
      <c r="T971"/>
      <c r="U971"/>
      <c r="V971" s="14"/>
      <c r="W971"/>
      <c r="X971"/>
      <c r="Y971"/>
      <c r="Z971"/>
      <c r="AA971"/>
      <c r="AB971"/>
      <c r="AC971"/>
      <c r="AD971"/>
      <c r="AE971"/>
      <c r="AF971"/>
      <c r="AG971" s="15"/>
      <c r="AH971" s="15"/>
      <c r="AI971" s="15"/>
      <c r="AJ971"/>
      <c r="AK971"/>
      <c r="AL971"/>
      <c r="AM971"/>
      <c r="AN971"/>
      <c r="AO971"/>
      <c r="AP971"/>
      <c r="AQ971" s="15"/>
      <c r="AR971"/>
      <c r="AS971"/>
      <c r="AT971"/>
      <c r="AU971"/>
      <c r="AV971"/>
      <c r="AW971" s="13"/>
      <c r="AX971"/>
      <c r="AY971"/>
      <c r="AZ971"/>
      <c r="BA971"/>
      <c r="BB971"/>
      <c r="BC971"/>
      <c r="BD971"/>
      <c r="BE971"/>
      <c r="BF971"/>
      <c r="BG971"/>
      <c r="BH971"/>
      <c r="BI971"/>
      <c r="BJ971"/>
      <c r="BK971"/>
      <c r="BL971"/>
      <c r="BM971"/>
    </row>
    <row r="972" spans="1:65" s="6" customFormat="1" x14ac:dyDescent="0.25">
      <c r="F972" s="21"/>
      <c r="G972" s="10"/>
      <c r="H972" s="7"/>
      <c r="I972" s="13"/>
      <c r="AF972" s="25"/>
      <c r="AG972" s="7"/>
      <c r="AH972" s="7"/>
      <c r="AI972" s="7"/>
      <c r="AO972" s="26"/>
      <c r="AP972" s="11"/>
      <c r="AQ972" s="7"/>
      <c r="AR972"/>
      <c r="AS972" s="11"/>
      <c r="AW972" s="7"/>
      <c r="BB972" s="24"/>
      <c r="BC972"/>
      <c r="BG972"/>
    </row>
    <row r="973" spans="1:65" s="6" customFormat="1" x14ac:dyDescent="0.25">
      <c r="A973"/>
      <c r="B973"/>
      <c r="C973"/>
      <c r="D973"/>
      <c r="E973"/>
      <c r="F973"/>
      <c r="G973"/>
      <c r="H973" s="13"/>
      <c r="I973" s="7"/>
      <c r="J973"/>
      <c r="K973"/>
      <c r="L973"/>
      <c r="M973"/>
      <c r="N973"/>
      <c r="O973"/>
      <c r="P973"/>
      <c r="Q973"/>
      <c r="R973"/>
      <c r="S973"/>
      <c r="T973"/>
      <c r="U973"/>
      <c r="V973" s="14"/>
      <c r="W973"/>
      <c r="X973"/>
      <c r="Y973"/>
      <c r="Z973"/>
      <c r="AA973"/>
      <c r="AB973"/>
      <c r="AC973"/>
      <c r="AD973"/>
      <c r="AE973"/>
      <c r="AF973"/>
      <c r="AG973" s="15"/>
      <c r="AH973" s="7"/>
      <c r="AI973" s="15"/>
      <c r="AJ973"/>
      <c r="AK973"/>
      <c r="AL973"/>
      <c r="AM973"/>
      <c r="AN973"/>
      <c r="AO973"/>
      <c r="AP973"/>
      <c r="AQ973" s="15"/>
      <c r="AR973"/>
      <c r="AS973"/>
      <c r="AT973"/>
      <c r="AU973"/>
      <c r="AW973" s="13"/>
      <c r="AX973"/>
      <c r="AY973"/>
      <c r="AZ973"/>
      <c r="BA973"/>
      <c r="BB973"/>
      <c r="BC973"/>
      <c r="BD973"/>
      <c r="BE973"/>
      <c r="BF973"/>
      <c r="BG973"/>
      <c r="BH973"/>
      <c r="BI973"/>
      <c r="BJ973"/>
      <c r="BK973"/>
      <c r="BL973"/>
      <c r="BM973"/>
    </row>
    <row r="974" spans="1:65" s="6" customFormat="1" x14ac:dyDescent="0.25">
      <c r="F974" s="21"/>
      <c r="G974" s="10"/>
      <c r="H974" s="7"/>
      <c r="I974" s="13"/>
      <c r="AF974" s="25"/>
      <c r="AG974" s="7"/>
      <c r="AH974" s="7"/>
      <c r="AI974" s="7"/>
      <c r="AO974" s="26"/>
      <c r="AP974" s="11"/>
      <c r="AQ974" s="7"/>
      <c r="AR974"/>
      <c r="AS974" s="11"/>
      <c r="AV974"/>
      <c r="AW974" s="7"/>
      <c r="BB974" s="24"/>
      <c r="BC974"/>
      <c r="BG974"/>
    </row>
    <row r="975" spans="1:65" s="6" customFormat="1" x14ac:dyDescent="0.25">
      <c r="A975"/>
      <c r="B975"/>
      <c r="C975"/>
      <c r="D975"/>
      <c r="E975"/>
      <c r="F975"/>
      <c r="G975"/>
      <c r="H975" s="13"/>
      <c r="I975" s="13"/>
      <c r="J975"/>
      <c r="K975"/>
      <c r="L975"/>
      <c r="M975"/>
      <c r="N975"/>
      <c r="O975"/>
      <c r="P975"/>
      <c r="Q975"/>
      <c r="R975"/>
      <c r="S975"/>
      <c r="T975"/>
      <c r="U975"/>
      <c r="V975" s="14"/>
      <c r="W975"/>
      <c r="X975"/>
      <c r="Y975"/>
      <c r="Z975"/>
      <c r="AA975"/>
      <c r="AB975"/>
      <c r="AC975"/>
      <c r="AD975"/>
      <c r="AE975"/>
      <c r="AF975"/>
      <c r="AG975" s="15"/>
      <c r="AH975" s="15"/>
      <c r="AI975" s="15"/>
      <c r="AJ975"/>
      <c r="AK975"/>
      <c r="AL975"/>
      <c r="AM975"/>
      <c r="AN975"/>
      <c r="AO975"/>
      <c r="AP975"/>
      <c r="AQ975" s="15"/>
      <c r="AR975"/>
      <c r="AS975"/>
      <c r="AT975"/>
      <c r="AU975"/>
      <c r="AW975" s="13"/>
      <c r="AX975"/>
      <c r="AY975"/>
      <c r="AZ975"/>
      <c r="BA975"/>
      <c r="BB975"/>
      <c r="BC975"/>
      <c r="BD975"/>
      <c r="BE975"/>
      <c r="BF975"/>
      <c r="BG975"/>
      <c r="BH975"/>
      <c r="BI975"/>
      <c r="BJ975"/>
      <c r="BK975"/>
      <c r="BL975"/>
      <c r="BM975"/>
    </row>
    <row r="976" spans="1:65" s="6" customFormat="1" x14ac:dyDescent="0.25">
      <c r="A976"/>
      <c r="B976"/>
      <c r="C976"/>
      <c r="D976"/>
      <c r="E976"/>
      <c r="F976"/>
      <c r="G976"/>
      <c r="H976" s="13"/>
      <c r="I976" s="7"/>
      <c r="J976"/>
      <c r="K976"/>
      <c r="L976"/>
      <c r="M976"/>
      <c r="N976"/>
      <c r="O976"/>
      <c r="P976"/>
      <c r="Q976"/>
      <c r="R976"/>
      <c r="S976"/>
      <c r="T976"/>
      <c r="U976"/>
      <c r="V976" s="14"/>
      <c r="W976"/>
      <c r="X976"/>
      <c r="Y976"/>
      <c r="Z976"/>
      <c r="AA976"/>
      <c r="AB976"/>
      <c r="AC976"/>
      <c r="AD976"/>
      <c r="AE976"/>
      <c r="AF976"/>
      <c r="AG976" s="15"/>
      <c r="AH976" s="7"/>
      <c r="AI976" s="15"/>
      <c r="AJ976"/>
      <c r="AK976"/>
      <c r="AL976"/>
      <c r="AM976"/>
      <c r="AN976"/>
      <c r="AO976"/>
      <c r="AP976"/>
      <c r="AQ976" s="15"/>
      <c r="AR976"/>
      <c r="AS976"/>
      <c r="AT976"/>
      <c r="AU976"/>
      <c r="AW976" s="13"/>
      <c r="AX976"/>
      <c r="AY976"/>
      <c r="AZ976"/>
      <c r="BA976"/>
      <c r="BB976"/>
      <c r="BC976"/>
      <c r="BD976"/>
      <c r="BE976"/>
      <c r="BF976"/>
      <c r="BG976"/>
      <c r="BH976"/>
      <c r="BI976"/>
      <c r="BJ976"/>
      <c r="BK976"/>
      <c r="BL976"/>
      <c r="BM976"/>
    </row>
    <row r="977" spans="1:65" s="6" customFormat="1" x14ac:dyDescent="0.25">
      <c r="F977" s="21"/>
      <c r="G977" s="10"/>
      <c r="H977" s="7"/>
      <c r="I977" s="13"/>
      <c r="AF977" s="25"/>
      <c r="AG977" s="7"/>
      <c r="AH977" s="7"/>
      <c r="AI977" s="7"/>
      <c r="AO977" s="26"/>
      <c r="AP977" s="11"/>
      <c r="AQ977" s="7"/>
      <c r="AR977"/>
      <c r="AS977" s="11"/>
      <c r="AV977"/>
      <c r="AW977" s="7"/>
      <c r="BB977" s="24"/>
      <c r="BC977"/>
      <c r="BG977"/>
    </row>
    <row r="978" spans="1:65" s="6" customFormat="1" x14ac:dyDescent="0.25">
      <c r="F978" s="21"/>
      <c r="G978" s="10"/>
      <c r="H978" s="7"/>
      <c r="I978" s="13"/>
      <c r="AF978" s="25"/>
      <c r="AG978" s="7"/>
      <c r="AH978" s="7"/>
      <c r="AI978" s="7"/>
      <c r="AO978" s="26"/>
      <c r="AP978" s="11"/>
      <c r="AQ978" s="7"/>
      <c r="AR978"/>
      <c r="AS978" s="11"/>
      <c r="AW978" s="7"/>
      <c r="BB978" s="24"/>
      <c r="BC978"/>
      <c r="BG978"/>
    </row>
    <row r="979" spans="1:65" s="6" customFormat="1" x14ac:dyDescent="0.25">
      <c r="A979"/>
      <c r="B979"/>
      <c r="C979"/>
      <c r="D979"/>
      <c r="E979"/>
      <c r="F979"/>
      <c r="G979"/>
      <c r="H979" s="13"/>
      <c r="I979" s="13"/>
      <c r="J979"/>
      <c r="K979"/>
      <c r="L979"/>
      <c r="M979"/>
      <c r="N979"/>
      <c r="O979"/>
      <c r="P979"/>
      <c r="Q979"/>
      <c r="R979"/>
      <c r="S979"/>
      <c r="T979"/>
      <c r="U979"/>
      <c r="V979" s="14"/>
      <c r="W979"/>
      <c r="X979"/>
      <c r="Y979"/>
      <c r="Z979"/>
      <c r="AA979"/>
      <c r="AB979"/>
      <c r="AC979"/>
      <c r="AD979"/>
      <c r="AE979"/>
      <c r="AF979"/>
      <c r="AG979" s="15"/>
      <c r="AH979" s="15"/>
      <c r="AI979" s="15"/>
      <c r="AJ979"/>
      <c r="AK979"/>
      <c r="AL979"/>
      <c r="AM979"/>
      <c r="AN979"/>
      <c r="AO979"/>
      <c r="AP979"/>
      <c r="AQ979" s="15"/>
      <c r="AR979"/>
      <c r="AS979"/>
      <c r="AT979"/>
      <c r="AU979"/>
      <c r="AV979"/>
      <c r="AW979" s="13"/>
      <c r="AX979"/>
      <c r="AY979"/>
      <c r="AZ979"/>
      <c r="BA979"/>
      <c r="BB979"/>
      <c r="BC979"/>
      <c r="BD979"/>
      <c r="BE979"/>
      <c r="BF979"/>
      <c r="BG979"/>
      <c r="BH979"/>
      <c r="BI979"/>
      <c r="BJ979"/>
      <c r="BK979"/>
      <c r="BL979"/>
      <c r="BM979"/>
    </row>
    <row r="981" spans="1:65" x14ac:dyDescent="0.25">
      <c r="A981" s="6"/>
      <c r="B981" s="6"/>
      <c r="C981" s="6"/>
      <c r="D981" s="6"/>
      <c r="E981" s="6"/>
      <c r="F981" s="21"/>
      <c r="G981" s="10"/>
      <c r="H981" s="7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25"/>
      <c r="AG981" s="7"/>
      <c r="AH981" s="7"/>
      <c r="AI981" s="7"/>
      <c r="AJ981" s="6"/>
      <c r="AK981" s="6"/>
      <c r="AL981" s="6"/>
      <c r="AM981" s="6"/>
      <c r="AN981" s="6"/>
      <c r="AO981" s="26"/>
      <c r="AP981" s="11"/>
      <c r="AQ981" s="7"/>
      <c r="AS981" s="11"/>
      <c r="AT981" s="6"/>
      <c r="AU981" s="6"/>
      <c r="AV981" s="6"/>
      <c r="AW981" s="7"/>
      <c r="AX981" s="6"/>
      <c r="AY981" s="6"/>
      <c r="AZ981" s="6"/>
      <c r="BA981" s="6"/>
      <c r="BB981" s="24"/>
      <c r="BD981" s="6"/>
      <c r="BE981" s="6"/>
      <c r="BF981" s="6"/>
      <c r="BH981" s="6"/>
      <c r="BI981" s="6"/>
      <c r="BJ981" s="6"/>
      <c r="BK981" s="6"/>
      <c r="BL981" s="6"/>
      <c r="BM981" s="6"/>
    </row>
    <row r="982" spans="1:65" x14ac:dyDescent="0.25">
      <c r="I982" s="7"/>
      <c r="AH982" s="7"/>
      <c r="AV982" s="6"/>
    </row>
    <row r="983" spans="1:65" x14ac:dyDescent="0.25">
      <c r="A983" s="6"/>
      <c r="B983" s="6"/>
      <c r="C983" s="6"/>
      <c r="D983" s="6"/>
      <c r="E983" s="6"/>
      <c r="F983" s="21"/>
      <c r="G983" s="10"/>
      <c r="H983" s="7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25"/>
      <c r="AG983" s="7"/>
      <c r="AH983" s="7"/>
      <c r="AI983" s="7"/>
      <c r="AJ983" s="6"/>
      <c r="AK983" s="6"/>
      <c r="AL983" s="6"/>
      <c r="AM983" s="6"/>
      <c r="AN983" s="6"/>
      <c r="AO983" s="26"/>
      <c r="AP983" s="11"/>
      <c r="AQ983" s="7"/>
      <c r="AS983" s="11"/>
      <c r="AT983" s="6"/>
      <c r="AU983" s="6"/>
      <c r="AW983" s="7"/>
      <c r="AX983" s="6"/>
      <c r="AY983" s="6"/>
      <c r="AZ983" s="6"/>
      <c r="BA983" s="6"/>
      <c r="BB983" s="24"/>
      <c r="BD983" s="6"/>
      <c r="BE983" s="6"/>
      <c r="BF983" s="6"/>
      <c r="BH983" s="6"/>
      <c r="BI983" s="6"/>
      <c r="BJ983" s="6"/>
      <c r="BK983" s="6"/>
      <c r="BL983" s="6"/>
      <c r="BM983" s="6"/>
    </row>
    <row r="984" spans="1:65" x14ac:dyDescent="0.25">
      <c r="AV984" s="6"/>
    </row>
    <row r="985" spans="1:65" x14ac:dyDescent="0.25">
      <c r="I985" s="7"/>
      <c r="AH985" s="7"/>
      <c r="AV985" s="6"/>
    </row>
    <row r="986" spans="1:65" x14ac:dyDescent="0.25">
      <c r="A986" s="6"/>
      <c r="B986" s="6"/>
      <c r="C986" s="6"/>
      <c r="D986" s="6"/>
      <c r="E986" s="6"/>
      <c r="F986" s="21"/>
      <c r="G986" s="10"/>
      <c r="H986" s="7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25"/>
      <c r="AG986" s="7"/>
      <c r="AH986" s="7"/>
      <c r="AI986" s="7"/>
      <c r="AJ986" s="6"/>
      <c r="AK986" s="6"/>
      <c r="AL986" s="6"/>
      <c r="AM986" s="6"/>
      <c r="AN986" s="6"/>
      <c r="AO986" s="26"/>
      <c r="AP986" s="11"/>
      <c r="AQ986" s="7"/>
      <c r="AS986" s="11"/>
      <c r="AT986" s="6"/>
      <c r="AU986" s="6"/>
      <c r="AW986" s="7"/>
      <c r="AX986" s="6"/>
      <c r="AY986" s="6"/>
      <c r="AZ986" s="6"/>
      <c r="BA986" s="6"/>
      <c r="BB986" s="24"/>
      <c r="BD986" s="6"/>
      <c r="BE986" s="6"/>
      <c r="BF986" s="6"/>
      <c r="BH986" s="6"/>
      <c r="BI986" s="6"/>
      <c r="BJ986" s="6"/>
      <c r="BK986" s="6"/>
      <c r="BL986" s="6"/>
      <c r="BM986" s="6"/>
    </row>
    <row r="987" spans="1:65" x14ac:dyDescent="0.25">
      <c r="A987" s="6"/>
      <c r="B987" s="6"/>
      <c r="C987" s="6"/>
      <c r="D987" s="6"/>
      <c r="E987" s="6"/>
      <c r="F987" s="21"/>
      <c r="G987" s="10"/>
      <c r="H987" s="7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25"/>
      <c r="AG987" s="7"/>
      <c r="AH987" s="7"/>
      <c r="AI987" s="7"/>
      <c r="AJ987" s="6"/>
      <c r="AK987" s="6"/>
      <c r="AL987" s="6"/>
      <c r="AM987" s="6"/>
      <c r="AN987" s="6"/>
      <c r="AO987" s="26"/>
      <c r="AP987" s="11"/>
      <c r="AQ987" s="7"/>
      <c r="AS987" s="11"/>
      <c r="AT987" s="6"/>
      <c r="AU987" s="6"/>
      <c r="AV987" s="6"/>
      <c r="AW987" s="7"/>
      <c r="AX987" s="6"/>
      <c r="AY987" s="6"/>
      <c r="AZ987" s="6"/>
      <c r="BA987" s="6"/>
      <c r="BB987" s="24"/>
      <c r="BD987" s="6"/>
      <c r="BE987" s="6"/>
      <c r="BF987" s="6"/>
      <c r="BH987" s="6"/>
      <c r="BI987" s="6"/>
      <c r="BJ987" s="6"/>
      <c r="BK987" s="6"/>
      <c r="BL987" s="6"/>
      <c r="BM987" s="6"/>
    </row>
    <row r="990" spans="1:65" x14ac:dyDescent="0.25">
      <c r="A990" s="6"/>
      <c r="B990" s="6"/>
      <c r="C990" s="6"/>
      <c r="D990" s="6"/>
      <c r="E990" s="6"/>
      <c r="F990" s="21"/>
      <c r="G990" s="10"/>
      <c r="H990" s="7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25"/>
      <c r="AG990" s="7"/>
      <c r="AH990" s="7"/>
      <c r="AI990" s="7"/>
      <c r="AJ990" s="6"/>
      <c r="AK990" s="6"/>
      <c r="AL990" s="6"/>
      <c r="AM990" s="6"/>
      <c r="AN990" s="6"/>
      <c r="AO990" s="26"/>
      <c r="AP990" s="11"/>
      <c r="AQ990" s="7"/>
      <c r="AS990" s="11"/>
      <c r="AT990" s="6"/>
      <c r="AU990" s="6"/>
      <c r="AV990" s="6"/>
      <c r="AW990" s="7"/>
      <c r="AX990" s="6"/>
      <c r="AY990" s="6"/>
      <c r="AZ990" s="6"/>
      <c r="BA990" s="6"/>
      <c r="BB990" s="24"/>
      <c r="BD990" s="6"/>
      <c r="BE990" s="6"/>
      <c r="BF990" s="6"/>
      <c r="BH990" s="6"/>
      <c r="BI990" s="6"/>
      <c r="BJ990" s="6"/>
      <c r="BK990" s="6"/>
      <c r="BL990" s="6"/>
      <c r="BM990" s="6"/>
    </row>
    <row r="991" spans="1:65" x14ac:dyDescent="0.25">
      <c r="I991" s="7"/>
      <c r="AH991" s="7"/>
      <c r="AV991" s="6"/>
    </row>
    <row r="992" spans="1:65" x14ac:dyDescent="0.25">
      <c r="A992" s="6"/>
      <c r="B992" s="6"/>
      <c r="C992" s="6"/>
      <c r="D992" s="6"/>
      <c r="E992" s="6"/>
      <c r="F992" s="21"/>
      <c r="G992" s="10"/>
      <c r="H992" s="7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25"/>
      <c r="AG992" s="7"/>
      <c r="AH992" s="7"/>
      <c r="AI992" s="7"/>
      <c r="AJ992" s="6"/>
      <c r="AK992" s="6"/>
      <c r="AL992" s="6"/>
      <c r="AM992" s="6"/>
      <c r="AN992" s="6"/>
      <c r="AO992" s="26"/>
      <c r="AP992" s="11"/>
      <c r="AQ992" s="7"/>
      <c r="AS992" s="11"/>
      <c r="AT992" s="6"/>
      <c r="AU992" s="6"/>
      <c r="AW992" s="7"/>
      <c r="AX992" s="6"/>
      <c r="AY992" s="6"/>
      <c r="AZ992" s="6"/>
      <c r="BA992" s="6"/>
      <c r="BB992" s="24"/>
      <c r="BD992" s="6"/>
      <c r="BE992" s="6"/>
      <c r="BF992" s="6"/>
      <c r="BH992" s="6"/>
      <c r="BI992" s="6"/>
      <c r="BJ992" s="6"/>
      <c r="BK992" s="6"/>
      <c r="BL992" s="6"/>
      <c r="BM992" s="6"/>
    </row>
    <row r="993" spans="1:65" x14ac:dyDescent="0.25">
      <c r="AV993" s="6"/>
    </row>
    <row r="994" spans="1:65" x14ac:dyDescent="0.25">
      <c r="I994" s="7"/>
      <c r="AH994" s="7"/>
      <c r="AV994" s="6"/>
    </row>
    <row r="995" spans="1:65" x14ac:dyDescent="0.25">
      <c r="A995" s="6"/>
      <c r="B995" s="6"/>
      <c r="C995" s="6"/>
      <c r="D995" s="6"/>
      <c r="E995" s="6"/>
      <c r="F995" s="21"/>
      <c r="G995" s="10"/>
      <c r="H995" s="7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25"/>
      <c r="AG995" s="7"/>
      <c r="AH995" s="7"/>
      <c r="AI995" s="7"/>
      <c r="AJ995" s="6"/>
      <c r="AK995" s="6"/>
      <c r="AL995" s="6"/>
      <c r="AM995" s="6"/>
      <c r="AN995" s="6"/>
      <c r="AO995" s="26"/>
      <c r="AP995" s="11"/>
      <c r="AQ995" s="7"/>
      <c r="AS995" s="11"/>
      <c r="AT995" s="6"/>
      <c r="AU995" s="6"/>
      <c r="AW995" s="7"/>
      <c r="AX995" s="6"/>
      <c r="AY995" s="6"/>
      <c r="AZ995" s="6"/>
      <c r="BA995" s="6"/>
      <c r="BB995" s="24"/>
      <c r="BD995" s="6"/>
      <c r="BE995" s="6"/>
      <c r="BF995" s="6"/>
      <c r="BH995" s="6"/>
      <c r="BI995" s="6"/>
      <c r="BJ995" s="6"/>
      <c r="BK995" s="6"/>
      <c r="BL995" s="6"/>
      <c r="BM995" s="6"/>
    </row>
    <row r="996" spans="1:65" x14ac:dyDescent="0.25">
      <c r="A996" s="6"/>
      <c r="B996" s="6"/>
      <c r="C996" s="6"/>
      <c r="D996" s="6"/>
      <c r="E996" s="6"/>
      <c r="F996" s="21"/>
      <c r="G996" s="10"/>
      <c r="H996" s="7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25"/>
      <c r="AG996" s="7"/>
      <c r="AH996" s="7"/>
      <c r="AI996" s="7"/>
      <c r="AJ996" s="6"/>
      <c r="AK996" s="6"/>
      <c r="AL996" s="6"/>
      <c r="AM996" s="6"/>
      <c r="AN996" s="6"/>
      <c r="AO996" s="26"/>
      <c r="AP996" s="11"/>
      <c r="AQ996" s="7"/>
      <c r="AS996" s="11"/>
      <c r="AT996" s="6"/>
      <c r="AU996" s="6"/>
      <c r="AV996" s="6"/>
      <c r="AW996" s="7"/>
      <c r="AX996" s="6"/>
      <c r="AY996" s="6"/>
      <c r="AZ996" s="6"/>
      <c r="BA996" s="6"/>
      <c r="BB996" s="24"/>
      <c r="BD996" s="6"/>
      <c r="BE996" s="6"/>
      <c r="BF996" s="6"/>
      <c r="BH996" s="6"/>
      <c r="BI996" s="6"/>
      <c r="BJ996" s="6"/>
      <c r="BK996" s="6"/>
      <c r="BL996" s="6"/>
      <c r="BM996" s="6"/>
    </row>
    <row r="999" spans="1:65" x14ac:dyDescent="0.25">
      <c r="A999" s="6"/>
      <c r="B999" s="6"/>
      <c r="C999" s="6"/>
      <c r="D999" s="6"/>
      <c r="E999" s="6"/>
      <c r="F999" s="21"/>
      <c r="G999" s="10"/>
      <c r="H999" s="7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25"/>
      <c r="AG999" s="7"/>
      <c r="AH999" s="7"/>
      <c r="AI999" s="7"/>
      <c r="AJ999" s="6"/>
      <c r="AK999" s="6"/>
      <c r="AL999" s="6"/>
      <c r="AM999" s="6"/>
      <c r="AN999" s="6"/>
      <c r="AO999" s="26"/>
      <c r="AP999" s="11"/>
      <c r="AQ999" s="7"/>
      <c r="AS999" s="11"/>
      <c r="AT999" s="6"/>
      <c r="AU999" s="6"/>
      <c r="AV999" s="6"/>
      <c r="AW999" s="7"/>
      <c r="AX999" s="6"/>
      <c r="AY999" s="6"/>
      <c r="AZ999" s="6"/>
      <c r="BA999" s="6"/>
      <c r="BB999" s="24"/>
      <c r="BD999" s="6"/>
      <c r="BE999" s="6"/>
      <c r="BF999" s="6"/>
      <c r="BH999" s="6"/>
      <c r="BI999" s="6"/>
      <c r="BJ999" s="6"/>
      <c r="BK999" s="6"/>
      <c r="BL999" s="6"/>
      <c r="BM999" s="6"/>
    </row>
    <row r="1000" spans="1:65" x14ac:dyDescent="0.25">
      <c r="I1000" s="7"/>
      <c r="AH1000" s="7"/>
      <c r="AV1000" s="6"/>
    </row>
    <row r="1001" spans="1:65" x14ac:dyDescent="0.25">
      <c r="A1001" s="6"/>
      <c r="B1001" s="6"/>
      <c r="C1001" s="6"/>
      <c r="D1001" s="6"/>
      <c r="E1001" s="6"/>
      <c r="F1001" s="21"/>
      <c r="G1001" s="10"/>
      <c r="H1001" s="7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25"/>
      <c r="AG1001" s="7"/>
      <c r="AH1001" s="7"/>
      <c r="AI1001" s="7"/>
      <c r="AJ1001" s="6"/>
      <c r="AK1001" s="6"/>
      <c r="AL1001" s="6"/>
      <c r="AM1001" s="6"/>
      <c r="AN1001" s="6"/>
      <c r="AO1001" s="26"/>
      <c r="AP1001" s="11"/>
      <c r="AQ1001" s="7"/>
      <c r="AS1001" s="11"/>
      <c r="AT1001" s="6"/>
      <c r="AU1001" s="6"/>
      <c r="AW1001" s="7"/>
      <c r="AX1001" s="6"/>
      <c r="AY1001" s="6"/>
      <c r="AZ1001" s="6"/>
      <c r="BA1001" s="6"/>
      <c r="BB1001" s="24"/>
      <c r="BD1001" s="6"/>
      <c r="BE1001" s="6"/>
      <c r="BF1001" s="6"/>
      <c r="BH1001" s="6"/>
      <c r="BI1001" s="6"/>
      <c r="BJ1001" s="6"/>
      <c r="BK1001" s="6"/>
      <c r="BL1001" s="6"/>
      <c r="BM1001" s="6"/>
    </row>
    <row r="1002" spans="1:65" x14ac:dyDescent="0.25">
      <c r="AV1002" s="6"/>
    </row>
    <row r="1003" spans="1:65" x14ac:dyDescent="0.25">
      <c r="I1003" s="7"/>
      <c r="AH1003" s="7"/>
      <c r="AV1003" s="6"/>
    </row>
    <row r="1004" spans="1:65" x14ac:dyDescent="0.25">
      <c r="A1004" s="6"/>
      <c r="B1004" s="6"/>
      <c r="C1004" s="6"/>
      <c r="D1004" s="6"/>
      <c r="E1004" s="6"/>
      <c r="F1004" s="21"/>
      <c r="G1004" s="10"/>
      <c r="H1004" s="7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25"/>
      <c r="AG1004" s="7"/>
      <c r="AH1004" s="7"/>
      <c r="AI1004" s="7"/>
      <c r="AJ1004" s="6"/>
      <c r="AK1004" s="6"/>
      <c r="AL1004" s="6"/>
      <c r="AM1004" s="6"/>
      <c r="AN1004" s="6"/>
      <c r="AO1004" s="26"/>
      <c r="AP1004" s="11"/>
      <c r="AQ1004" s="7"/>
      <c r="AS1004" s="11"/>
      <c r="AT1004" s="6"/>
      <c r="AU1004" s="6"/>
      <c r="AW1004" s="7"/>
      <c r="AX1004" s="6"/>
      <c r="AY1004" s="6"/>
      <c r="AZ1004" s="6"/>
      <c r="BA1004" s="6"/>
      <c r="BB1004" s="24"/>
      <c r="BD1004" s="6"/>
      <c r="BE1004" s="6"/>
      <c r="BF1004" s="6"/>
      <c r="BH1004" s="6"/>
      <c r="BI1004" s="6"/>
      <c r="BJ1004" s="6"/>
      <c r="BK1004" s="6"/>
      <c r="BL1004" s="6"/>
      <c r="BM1004" s="6"/>
    </row>
    <row r="1005" spans="1:65" x14ac:dyDescent="0.25">
      <c r="A1005" s="6"/>
      <c r="B1005" s="6"/>
      <c r="C1005" s="6"/>
      <c r="D1005" s="6"/>
      <c r="E1005" s="6"/>
      <c r="F1005" s="21"/>
      <c r="G1005" s="10"/>
      <c r="H1005" s="7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25"/>
      <c r="AG1005" s="7"/>
      <c r="AH1005" s="7"/>
      <c r="AI1005" s="7"/>
      <c r="AJ1005" s="6"/>
      <c r="AK1005" s="6"/>
      <c r="AL1005" s="6"/>
      <c r="AM1005" s="6"/>
      <c r="AN1005" s="6"/>
      <c r="AO1005" s="26"/>
      <c r="AP1005" s="11"/>
      <c r="AQ1005" s="7"/>
      <c r="AS1005" s="11"/>
      <c r="AT1005" s="6"/>
      <c r="AU1005" s="6"/>
      <c r="AV1005" s="6"/>
      <c r="AW1005" s="7"/>
      <c r="AX1005" s="6"/>
      <c r="AY1005" s="6"/>
      <c r="AZ1005" s="6"/>
      <c r="BA1005" s="6"/>
      <c r="BB1005" s="24"/>
      <c r="BD1005" s="6"/>
      <c r="BE1005" s="6"/>
      <c r="BF1005" s="6"/>
      <c r="BH1005" s="6"/>
      <c r="BI1005" s="6"/>
      <c r="BJ1005" s="6"/>
      <c r="BK1005" s="6"/>
      <c r="BL1005" s="6"/>
      <c r="BM1005" s="6"/>
    </row>
    <row r="1008" spans="1:65" x14ac:dyDescent="0.25">
      <c r="A1008" s="6"/>
      <c r="B1008" s="6"/>
      <c r="C1008" s="6"/>
      <c r="D1008" s="6"/>
      <c r="E1008" s="6"/>
      <c r="F1008" s="21"/>
      <c r="G1008" s="10"/>
      <c r="H1008" s="7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25"/>
      <c r="AG1008" s="7"/>
      <c r="AH1008" s="7"/>
      <c r="AI1008" s="7"/>
      <c r="AJ1008" s="6"/>
      <c r="AK1008" s="6"/>
      <c r="AL1008" s="6"/>
      <c r="AM1008" s="6"/>
      <c r="AN1008" s="6"/>
      <c r="AO1008" s="26"/>
      <c r="AP1008" s="11"/>
      <c r="AQ1008" s="7"/>
      <c r="AS1008" s="11"/>
      <c r="AT1008" s="6"/>
      <c r="AU1008" s="6"/>
      <c r="AV1008" s="6"/>
      <c r="AW1008" s="7"/>
      <c r="AX1008" s="6"/>
      <c r="AY1008" s="6"/>
      <c r="AZ1008" s="6"/>
      <c r="BA1008" s="6"/>
      <c r="BB1008" s="24"/>
      <c r="BD1008" s="6"/>
      <c r="BE1008" s="6"/>
      <c r="BF1008" s="6"/>
      <c r="BH1008" s="6"/>
      <c r="BI1008" s="6"/>
      <c r="BJ1008" s="6"/>
      <c r="BK1008" s="6"/>
      <c r="BL1008" s="6"/>
      <c r="BM1008" s="6"/>
    </row>
    <row r="1009" spans="1:65" x14ac:dyDescent="0.25">
      <c r="I1009" s="7"/>
      <c r="AH1009" s="7"/>
      <c r="AV1009" s="6"/>
    </row>
    <row r="1010" spans="1:65" x14ac:dyDescent="0.25">
      <c r="A1010" s="6"/>
      <c r="B1010" s="6"/>
      <c r="C1010" s="6"/>
      <c r="D1010" s="6"/>
      <c r="E1010" s="6"/>
      <c r="F1010" s="21"/>
      <c r="G1010" s="10"/>
      <c r="H1010" s="7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25"/>
      <c r="AG1010" s="7"/>
      <c r="AH1010" s="7"/>
      <c r="AI1010" s="7"/>
      <c r="AJ1010" s="6"/>
      <c r="AK1010" s="6"/>
      <c r="AL1010" s="6"/>
      <c r="AM1010" s="6"/>
      <c r="AN1010" s="6"/>
      <c r="AO1010" s="26"/>
      <c r="AP1010" s="11"/>
      <c r="AQ1010" s="7"/>
      <c r="AS1010" s="11"/>
      <c r="AT1010" s="6"/>
      <c r="AU1010" s="6"/>
      <c r="AW1010" s="7"/>
      <c r="AX1010" s="6"/>
      <c r="AY1010" s="6"/>
      <c r="AZ1010" s="6"/>
      <c r="BA1010" s="6"/>
      <c r="BB1010" s="24"/>
      <c r="BD1010" s="6"/>
      <c r="BE1010" s="6"/>
      <c r="BF1010" s="6"/>
      <c r="BH1010" s="6"/>
      <c r="BI1010" s="6"/>
      <c r="BJ1010" s="6"/>
      <c r="BK1010" s="6"/>
      <c r="BL1010" s="6"/>
      <c r="BM1010" s="6"/>
    </row>
    <row r="1011" spans="1:65" x14ac:dyDescent="0.25">
      <c r="AV1011" s="6"/>
    </row>
    <row r="1012" spans="1:65" x14ac:dyDescent="0.25">
      <c r="I1012" s="7"/>
      <c r="AH1012" s="7"/>
      <c r="AV1012" s="6"/>
    </row>
    <row r="1013" spans="1:65" x14ac:dyDescent="0.25">
      <c r="A1013" s="6"/>
      <c r="B1013" s="6"/>
      <c r="C1013" s="6"/>
      <c r="D1013" s="6"/>
      <c r="E1013" s="6"/>
      <c r="F1013" s="21"/>
      <c r="G1013" s="10"/>
      <c r="H1013" s="7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25"/>
      <c r="AG1013" s="7"/>
      <c r="AH1013" s="7"/>
      <c r="AI1013" s="7"/>
      <c r="AJ1013" s="6"/>
      <c r="AK1013" s="6"/>
      <c r="AL1013" s="6"/>
      <c r="AM1013" s="6"/>
      <c r="AN1013" s="6"/>
      <c r="AO1013" s="26"/>
      <c r="AP1013" s="11"/>
      <c r="AQ1013" s="7"/>
      <c r="AS1013" s="11"/>
      <c r="AT1013" s="6"/>
      <c r="AU1013" s="6"/>
      <c r="AW1013" s="7"/>
      <c r="AX1013" s="6"/>
      <c r="AY1013" s="6"/>
      <c r="AZ1013" s="6"/>
      <c r="BA1013" s="6"/>
      <c r="BB1013" s="24"/>
      <c r="BD1013" s="6"/>
      <c r="BE1013" s="6"/>
      <c r="BF1013" s="6"/>
      <c r="BH1013" s="6"/>
      <c r="BI1013" s="6"/>
      <c r="BJ1013" s="6"/>
      <c r="BK1013" s="6"/>
      <c r="BL1013" s="6"/>
      <c r="BM1013" s="6"/>
    </row>
    <row r="1014" spans="1:65" x14ac:dyDescent="0.25">
      <c r="A1014" s="6"/>
      <c r="B1014" s="6"/>
      <c r="C1014" s="6"/>
      <c r="D1014" s="6"/>
      <c r="E1014" s="6"/>
      <c r="F1014" s="21"/>
      <c r="G1014" s="10"/>
      <c r="H1014" s="7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25"/>
      <c r="AG1014" s="7"/>
      <c r="AH1014" s="7"/>
      <c r="AI1014" s="7"/>
      <c r="AJ1014" s="6"/>
      <c r="AK1014" s="6"/>
      <c r="AL1014" s="6"/>
      <c r="AM1014" s="6"/>
      <c r="AN1014" s="6"/>
      <c r="AO1014" s="26"/>
      <c r="AP1014" s="11"/>
      <c r="AQ1014" s="7"/>
      <c r="AS1014" s="11"/>
      <c r="AT1014" s="6"/>
      <c r="AU1014" s="6"/>
      <c r="AV1014" s="6"/>
      <c r="AW1014" s="7"/>
      <c r="AX1014" s="6"/>
      <c r="AY1014" s="6"/>
      <c r="AZ1014" s="6"/>
      <c r="BA1014" s="6"/>
      <c r="BB1014" s="24"/>
      <c r="BD1014" s="6"/>
      <c r="BE1014" s="6"/>
      <c r="BF1014" s="6"/>
      <c r="BH1014" s="6"/>
      <c r="BI1014" s="6"/>
      <c r="BJ1014" s="6"/>
      <c r="BK1014" s="6"/>
      <c r="BL1014" s="6"/>
      <c r="BM1014" s="6"/>
    </row>
    <row r="1017" spans="1:65" x14ac:dyDescent="0.25">
      <c r="A1017" s="6"/>
      <c r="B1017" s="6"/>
      <c r="C1017" s="6"/>
      <c r="D1017" s="6"/>
      <c r="E1017" s="6"/>
      <c r="F1017" s="21"/>
      <c r="G1017" s="10"/>
      <c r="H1017" s="7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25"/>
      <c r="AG1017" s="7"/>
      <c r="AH1017" s="7"/>
      <c r="AI1017" s="7"/>
      <c r="AJ1017" s="6"/>
      <c r="AK1017" s="6"/>
      <c r="AL1017" s="6"/>
      <c r="AM1017" s="6"/>
      <c r="AN1017" s="6"/>
      <c r="AO1017" s="26"/>
      <c r="AP1017" s="11"/>
      <c r="AQ1017" s="7"/>
      <c r="AS1017" s="11"/>
      <c r="AT1017" s="6"/>
      <c r="AU1017" s="6"/>
      <c r="AV1017" s="6"/>
      <c r="AW1017" s="7"/>
      <c r="AX1017" s="6"/>
      <c r="AY1017" s="6"/>
      <c r="AZ1017" s="6"/>
      <c r="BA1017" s="6"/>
      <c r="BB1017" s="24"/>
      <c r="BD1017" s="6"/>
      <c r="BE1017" s="6"/>
      <c r="BF1017" s="6"/>
      <c r="BH1017" s="6"/>
      <c r="BI1017" s="6"/>
      <c r="BJ1017" s="6"/>
      <c r="BK1017" s="6"/>
      <c r="BL1017" s="6"/>
      <c r="BM1017" s="6"/>
    </row>
    <row r="1018" spans="1:65" x14ac:dyDescent="0.25">
      <c r="I1018" s="7"/>
      <c r="AH1018" s="7"/>
      <c r="AV1018" s="6"/>
    </row>
    <row r="1019" spans="1:65" x14ac:dyDescent="0.25">
      <c r="A1019" s="6"/>
      <c r="B1019" s="6"/>
      <c r="C1019" s="6"/>
      <c r="D1019" s="6"/>
      <c r="E1019" s="6"/>
      <c r="F1019" s="21"/>
      <c r="G1019" s="10"/>
      <c r="H1019" s="7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25"/>
      <c r="AG1019" s="7"/>
      <c r="AH1019" s="7"/>
      <c r="AI1019" s="7"/>
      <c r="AJ1019" s="6"/>
      <c r="AK1019" s="6"/>
      <c r="AL1019" s="6"/>
      <c r="AM1019" s="6"/>
      <c r="AN1019" s="6"/>
      <c r="AO1019" s="26"/>
      <c r="AP1019" s="11"/>
      <c r="AQ1019" s="7"/>
      <c r="AS1019" s="11"/>
      <c r="AT1019" s="6"/>
      <c r="AU1019" s="6"/>
      <c r="AW1019" s="7"/>
      <c r="AX1019" s="6"/>
      <c r="AY1019" s="6"/>
      <c r="AZ1019" s="6"/>
      <c r="BA1019" s="6"/>
      <c r="BB1019" s="24"/>
      <c r="BD1019" s="6"/>
      <c r="BE1019" s="6"/>
      <c r="BF1019" s="6"/>
      <c r="BH1019" s="6"/>
      <c r="BI1019" s="6"/>
      <c r="BJ1019" s="6"/>
      <c r="BK1019" s="6"/>
      <c r="BL1019" s="6"/>
      <c r="BM1019" s="6"/>
    </row>
    <row r="1020" spans="1:65" x14ac:dyDescent="0.25">
      <c r="AV1020" s="6"/>
    </row>
    <row r="1021" spans="1:65" x14ac:dyDescent="0.25">
      <c r="I1021" s="7"/>
      <c r="AH1021" s="7"/>
      <c r="AV1021" s="6"/>
    </row>
    <row r="1022" spans="1:65" x14ac:dyDescent="0.25">
      <c r="A1022" s="6"/>
      <c r="B1022" s="6"/>
      <c r="C1022" s="6"/>
      <c r="D1022" s="6"/>
      <c r="E1022" s="6"/>
      <c r="F1022" s="21"/>
      <c r="G1022" s="10"/>
      <c r="H1022" s="7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25"/>
      <c r="AG1022" s="7"/>
      <c r="AH1022" s="7"/>
      <c r="AI1022" s="7"/>
      <c r="AJ1022" s="6"/>
      <c r="AK1022" s="6"/>
      <c r="AL1022" s="6"/>
      <c r="AM1022" s="6"/>
      <c r="AN1022" s="6"/>
      <c r="AO1022" s="26"/>
      <c r="AP1022" s="11"/>
      <c r="AQ1022" s="7"/>
      <c r="AS1022" s="11"/>
      <c r="AT1022" s="6"/>
      <c r="AU1022" s="6"/>
      <c r="AW1022" s="7"/>
      <c r="AX1022" s="6"/>
      <c r="AY1022" s="6"/>
      <c r="AZ1022" s="6"/>
      <c r="BA1022" s="6"/>
      <c r="BB1022" s="24"/>
      <c r="BD1022" s="6"/>
      <c r="BE1022" s="6"/>
      <c r="BF1022" s="6"/>
      <c r="BH1022" s="6"/>
      <c r="BI1022" s="6"/>
      <c r="BJ1022" s="6"/>
      <c r="BK1022" s="6"/>
      <c r="BL1022" s="6"/>
      <c r="BM1022" s="6"/>
    </row>
    <row r="1023" spans="1:65" x14ac:dyDescent="0.25">
      <c r="A1023" s="6"/>
      <c r="B1023" s="6"/>
      <c r="C1023" s="6"/>
      <c r="D1023" s="6"/>
      <c r="E1023" s="6"/>
      <c r="F1023" s="21"/>
      <c r="G1023" s="10"/>
      <c r="H1023" s="7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25"/>
      <c r="AG1023" s="7"/>
      <c r="AH1023" s="7"/>
      <c r="AI1023" s="7"/>
      <c r="AJ1023" s="6"/>
      <c r="AK1023" s="6"/>
      <c r="AL1023" s="6"/>
      <c r="AM1023" s="6"/>
      <c r="AN1023" s="6"/>
      <c r="AO1023" s="26"/>
      <c r="AP1023" s="11"/>
      <c r="AQ1023" s="7"/>
      <c r="AS1023" s="11"/>
      <c r="AT1023" s="6"/>
      <c r="AU1023" s="6"/>
      <c r="AV1023" s="6"/>
      <c r="AW1023" s="7"/>
      <c r="AX1023" s="6"/>
      <c r="AY1023" s="6"/>
      <c r="AZ1023" s="6"/>
      <c r="BA1023" s="6"/>
      <c r="BB1023" s="24"/>
      <c r="BD1023" s="6"/>
      <c r="BE1023" s="6"/>
      <c r="BF1023" s="6"/>
      <c r="BH1023" s="6"/>
      <c r="BI1023" s="6"/>
      <c r="BJ1023" s="6"/>
      <c r="BK1023" s="6"/>
      <c r="BL1023" s="6"/>
      <c r="BM1023" s="6"/>
    </row>
    <row r="1026" spans="1:65" x14ac:dyDescent="0.25">
      <c r="A1026" s="6"/>
      <c r="B1026" s="6"/>
      <c r="C1026" s="6"/>
      <c r="D1026" s="6"/>
      <c r="E1026" s="6"/>
      <c r="F1026" s="21"/>
      <c r="G1026" s="10"/>
      <c r="H1026" s="7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25"/>
      <c r="AG1026" s="7"/>
      <c r="AH1026" s="7"/>
      <c r="AI1026" s="7"/>
      <c r="AJ1026" s="6"/>
      <c r="AK1026" s="6"/>
      <c r="AL1026" s="6"/>
      <c r="AM1026" s="6"/>
      <c r="AN1026" s="6"/>
      <c r="AO1026" s="26"/>
      <c r="AP1026" s="11"/>
      <c r="AQ1026" s="7"/>
      <c r="AS1026" s="11"/>
      <c r="AT1026" s="6"/>
      <c r="AU1026" s="6"/>
      <c r="AV1026" s="6"/>
      <c r="AW1026" s="7"/>
      <c r="AX1026" s="6"/>
      <c r="AY1026" s="6"/>
      <c r="AZ1026" s="6"/>
      <c r="BA1026" s="6"/>
      <c r="BB1026" s="24"/>
      <c r="BD1026" s="6"/>
      <c r="BE1026" s="6"/>
      <c r="BF1026" s="6"/>
      <c r="BH1026" s="6"/>
      <c r="BI1026" s="6"/>
      <c r="BJ1026" s="6"/>
      <c r="BK1026" s="6"/>
      <c r="BL1026" s="6"/>
      <c r="BM1026" s="6"/>
    </row>
    <row r="1027" spans="1:65" x14ac:dyDescent="0.25">
      <c r="I1027" s="7"/>
      <c r="AH1027" s="7"/>
      <c r="AV1027" s="6"/>
    </row>
    <row r="1028" spans="1:65" x14ac:dyDescent="0.25">
      <c r="A1028" s="6"/>
      <c r="B1028" s="6"/>
      <c r="C1028" s="6"/>
      <c r="D1028" s="6"/>
      <c r="E1028" s="6"/>
      <c r="F1028" s="21"/>
      <c r="G1028" s="10"/>
      <c r="H1028" s="7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25"/>
      <c r="AG1028" s="7"/>
      <c r="AH1028" s="7"/>
      <c r="AI1028" s="7"/>
      <c r="AJ1028" s="6"/>
      <c r="AK1028" s="6"/>
      <c r="AL1028" s="6"/>
      <c r="AM1028" s="6"/>
      <c r="AN1028" s="6"/>
      <c r="AO1028" s="26"/>
      <c r="AP1028" s="11"/>
      <c r="AQ1028" s="7"/>
      <c r="AS1028" s="11"/>
      <c r="AT1028" s="6"/>
      <c r="AU1028" s="6"/>
      <c r="AW1028" s="7"/>
      <c r="AX1028" s="6"/>
      <c r="AY1028" s="6"/>
      <c r="AZ1028" s="6"/>
      <c r="BA1028" s="6"/>
      <c r="BB1028" s="24"/>
      <c r="BD1028" s="6"/>
      <c r="BE1028" s="6"/>
      <c r="BF1028" s="6"/>
      <c r="BH1028" s="6"/>
      <c r="BI1028" s="6"/>
      <c r="BJ1028" s="6"/>
      <c r="BK1028" s="6"/>
      <c r="BL1028" s="6"/>
      <c r="BM1028" s="6"/>
    </row>
    <row r="1029" spans="1:65" x14ac:dyDescent="0.25">
      <c r="AV1029" s="6"/>
    </row>
    <row r="1030" spans="1:65" x14ac:dyDescent="0.25">
      <c r="I1030" s="7"/>
      <c r="AH1030" s="7"/>
      <c r="AV1030" s="6"/>
    </row>
    <row r="1031" spans="1:65" x14ac:dyDescent="0.25">
      <c r="A1031" s="6"/>
      <c r="B1031" s="6"/>
      <c r="C1031" s="6"/>
      <c r="D1031" s="6"/>
      <c r="E1031" s="6"/>
      <c r="F1031" s="21"/>
      <c r="G1031" s="10"/>
      <c r="H1031" s="7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25"/>
      <c r="AG1031" s="7"/>
      <c r="AH1031" s="7"/>
      <c r="AI1031" s="7"/>
      <c r="AJ1031" s="6"/>
      <c r="AK1031" s="6"/>
      <c r="AL1031" s="6"/>
      <c r="AM1031" s="6"/>
      <c r="AN1031" s="6"/>
      <c r="AO1031" s="26"/>
      <c r="AP1031" s="11"/>
      <c r="AQ1031" s="7"/>
      <c r="AS1031" s="11"/>
      <c r="AT1031" s="6"/>
      <c r="AU1031" s="6"/>
      <c r="AW1031" s="7"/>
      <c r="AX1031" s="6"/>
      <c r="AY1031" s="6"/>
      <c r="AZ1031" s="6"/>
      <c r="BA1031" s="6"/>
      <c r="BB1031" s="24"/>
      <c r="BD1031" s="6"/>
      <c r="BE1031" s="6"/>
      <c r="BF1031" s="6"/>
      <c r="BH1031" s="6"/>
      <c r="BI1031" s="6"/>
      <c r="BJ1031" s="6"/>
      <c r="BK1031" s="6"/>
      <c r="BL1031" s="6"/>
      <c r="BM1031" s="6"/>
    </row>
    <row r="1032" spans="1:65" x14ac:dyDescent="0.25">
      <c r="A1032" s="6"/>
      <c r="B1032" s="6"/>
      <c r="C1032" s="6"/>
      <c r="D1032" s="6"/>
      <c r="E1032" s="6"/>
      <c r="F1032" s="21"/>
      <c r="G1032" s="10"/>
      <c r="H1032" s="7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25"/>
      <c r="AG1032" s="7"/>
      <c r="AH1032" s="7"/>
      <c r="AI1032" s="7"/>
      <c r="AJ1032" s="6"/>
      <c r="AK1032" s="6"/>
      <c r="AL1032" s="6"/>
      <c r="AM1032" s="6"/>
      <c r="AN1032" s="6"/>
      <c r="AO1032" s="26"/>
      <c r="AP1032" s="11"/>
      <c r="AQ1032" s="7"/>
      <c r="AS1032" s="11"/>
      <c r="AT1032" s="6"/>
      <c r="AU1032" s="6"/>
      <c r="AV1032" s="6"/>
      <c r="AW1032" s="7"/>
      <c r="AX1032" s="6"/>
      <c r="AY1032" s="6"/>
      <c r="AZ1032" s="6"/>
      <c r="BA1032" s="6"/>
      <c r="BB1032" s="24"/>
      <c r="BD1032" s="6"/>
      <c r="BE1032" s="6"/>
      <c r="BF1032" s="6"/>
      <c r="BH1032" s="6"/>
      <c r="BI1032" s="6"/>
      <c r="BJ1032" s="6"/>
      <c r="BK1032" s="6"/>
      <c r="BL1032" s="6"/>
      <c r="BM1032" s="6"/>
    </row>
    <row r="1035" spans="1:65" x14ac:dyDescent="0.25">
      <c r="A1035" s="6"/>
      <c r="B1035" s="6"/>
      <c r="C1035" s="6"/>
      <c r="D1035" s="6"/>
      <c r="E1035" s="6"/>
      <c r="F1035" s="21"/>
      <c r="G1035" s="10"/>
      <c r="H1035" s="7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25"/>
      <c r="AG1035" s="7"/>
      <c r="AH1035" s="7"/>
      <c r="AI1035" s="7"/>
      <c r="AJ1035" s="6"/>
      <c r="AK1035" s="6"/>
      <c r="AL1035" s="6"/>
      <c r="AM1035" s="6"/>
      <c r="AN1035" s="6"/>
      <c r="AO1035" s="26"/>
      <c r="AP1035" s="11"/>
      <c r="AQ1035" s="7"/>
      <c r="AS1035" s="11"/>
      <c r="AT1035" s="6"/>
      <c r="AU1035" s="6"/>
      <c r="AV1035" s="6"/>
      <c r="AW1035" s="7"/>
      <c r="AX1035" s="6"/>
      <c r="AY1035" s="6"/>
      <c r="AZ1035" s="6"/>
      <c r="BA1035" s="6"/>
      <c r="BB1035" s="24"/>
      <c r="BD1035" s="6"/>
      <c r="BE1035" s="6"/>
      <c r="BF1035" s="6"/>
      <c r="BH1035" s="6"/>
      <c r="BI1035" s="6"/>
      <c r="BJ1035" s="6"/>
      <c r="BK1035" s="6"/>
      <c r="BL1035" s="6"/>
      <c r="BM1035" s="6"/>
    </row>
    <row r="1036" spans="1:65" x14ac:dyDescent="0.25">
      <c r="I1036" s="7"/>
      <c r="AH1036" s="7"/>
      <c r="AV1036" s="6"/>
    </row>
    <row r="1037" spans="1:65" x14ac:dyDescent="0.25">
      <c r="A1037" s="6"/>
      <c r="B1037" s="6"/>
      <c r="C1037" s="6"/>
      <c r="D1037" s="6"/>
      <c r="E1037" s="6"/>
      <c r="F1037" s="21"/>
      <c r="G1037" s="10"/>
      <c r="H1037" s="7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25"/>
      <c r="AG1037" s="7"/>
      <c r="AH1037" s="7"/>
      <c r="AI1037" s="7"/>
      <c r="AJ1037" s="6"/>
      <c r="AK1037" s="6"/>
      <c r="AL1037" s="6"/>
      <c r="AM1037" s="6"/>
      <c r="AN1037" s="6"/>
      <c r="AO1037" s="26"/>
      <c r="AP1037" s="11"/>
      <c r="AQ1037" s="7"/>
      <c r="AS1037" s="11"/>
      <c r="AT1037" s="6"/>
      <c r="AU1037" s="6"/>
      <c r="AW1037" s="7"/>
      <c r="AX1037" s="6"/>
      <c r="AY1037" s="6"/>
      <c r="AZ1037" s="6"/>
      <c r="BA1037" s="6"/>
      <c r="BB1037" s="24"/>
      <c r="BD1037" s="6"/>
      <c r="BE1037" s="6"/>
      <c r="BF1037" s="6"/>
      <c r="BH1037" s="6"/>
      <c r="BI1037" s="6"/>
      <c r="BJ1037" s="6"/>
      <c r="BK1037" s="6"/>
      <c r="BL1037" s="6"/>
      <c r="BM1037" s="6"/>
    </row>
    <row r="1038" spans="1:65" x14ac:dyDescent="0.25">
      <c r="AV1038" s="6"/>
    </row>
    <row r="1039" spans="1:65" x14ac:dyDescent="0.25">
      <c r="I1039" s="7"/>
      <c r="AH1039" s="7"/>
      <c r="AV1039" s="6"/>
    </row>
    <row r="1040" spans="1:65" x14ac:dyDescent="0.25">
      <c r="A1040" s="6"/>
      <c r="B1040" s="6"/>
      <c r="C1040" s="6"/>
      <c r="D1040" s="6"/>
      <c r="E1040" s="6"/>
      <c r="F1040" s="21"/>
      <c r="G1040" s="10"/>
      <c r="H1040" s="7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25"/>
      <c r="AG1040" s="7"/>
      <c r="AH1040" s="7"/>
      <c r="AI1040" s="7"/>
      <c r="AJ1040" s="6"/>
      <c r="AK1040" s="6"/>
      <c r="AL1040" s="6"/>
      <c r="AM1040" s="6"/>
      <c r="AN1040" s="6"/>
      <c r="AO1040" s="26"/>
      <c r="AP1040" s="11"/>
      <c r="AQ1040" s="7"/>
      <c r="AS1040" s="11"/>
      <c r="AT1040" s="6"/>
      <c r="AU1040" s="6"/>
      <c r="AW1040" s="7"/>
      <c r="AX1040" s="6"/>
      <c r="AY1040" s="6"/>
      <c r="AZ1040" s="6"/>
      <c r="BA1040" s="6"/>
      <c r="BB1040" s="24"/>
      <c r="BD1040" s="6"/>
      <c r="BE1040" s="6"/>
      <c r="BF1040" s="6"/>
      <c r="BH1040" s="6"/>
      <c r="BI1040" s="6"/>
      <c r="BJ1040" s="6"/>
      <c r="BK1040" s="6"/>
      <c r="BL1040" s="6"/>
      <c r="BM1040" s="6"/>
    </row>
    <row r="1041" spans="1:65" x14ac:dyDescent="0.25">
      <c r="A1041" s="6"/>
      <c r="B1041" s="6"/>
      <c r="C1041" s="6"/>
      <c r="D1041" s="6"/>
      <c r="E1041" s="6"/>
      <c r="F1041" s="21"/>
      <c r="G1041" s="10"/>
      <c r="H1041" s="7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25"/>
      <c r="AG1041" s="7"/>
      <c r="AH1041" s="7"/>
      <c r="AI1041" s="7"/>
      <c r="AJ1041" s="6"/>
      <c r="AK1041" s="6"/>
      <c r="AL1041" s="6"/>
      <c r="AM1041" s="6"/>
      <c r="AN1041" s="6"/>
      <c r="AO1041" s="26"/>
      <c r="AP1041" s="11"/>
      <c r="AQ1041" s="7"/>
      <c r="AS1041" s="11"/>
      <c r="AT1041" s="6"/>
      <c r="AU1041" s="6"/>
      <c r="AV1041" s="6"/>
      <c r="AW1041" s="7"/>
      <c r="AX1041" s="6"/>
      <c r="AY1041" s="6"/>
      <c r="AZ1041" s="6"/>
      <c r="BA1041" s="6"/>
      <c r="BB1041" s="24"/>
      <c r="BD1041" s="6"/>
      <c r="BE1041" s="6"/>
      <c r="BF1041" s="6"/>
      <c r="BH1041" s="6"/>
      <c r="BI1041" s="6"/>
      <c r="BJ1041" s="6"/>
      <c r="BK1041" s="6"/>
      <c r="BL1041" s="6"/>
      <c r="BM1041" s="6"/>
    </row>
    <row r="1044" spans="1:65" x14ac:dyDescent="0.25">
      <c r="A1044" s="6"/>
      <c r="B1044" s="6"/>
      <c r="C1044" s="6"/>
      <c r="D1044" s="6"/>
      <c r="E1044" s="6"/>
      <c r="F1044" s="21"/>
      <c r="G1044" s="10"/>
      <c r="H1044" s="7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25"/>
      <c r="AG1044" s="7"/>
      <c r="AH1044" s="7"/>
      <c r="AI1044" s="7"/>
      <c r="AJ1044" s="6"/>
      <c r="AK1044" s="6"/>
      <c r="AL1044" s="6"/>
      <c r="AM1044" s="6"/>
      <c r="AN1044" s="6"/>
      <c r="AO1044" s="26"/>
      <c r="AP1044" s="11"/>
      <c r="AQ1044" s="7"/>
      <c r="AS1044" s="11"/>
      <c r="AT1044" s="6"/>
      <c r="AU1044" s="6"/>
      <c r="AV1044" s="6"/>
      <c r="AW1044" s="7"/>
      <c r="AX1044" s="6"/>
      <c r="AY1044" s="6"/>
      <c r="AZ1044" s="6"/>
      <c r="BA1044" s="6"/>
      <c r="BB1044" s="24"/>
      <c r="BD1044" s="6"/>
      <c r="BE1044" s="6"/>
      <c r="BF1044" s="6"/>
      <c r="BH1044" s="6"/>
      <c r="BI1044" s="6"/>
      <c r="BJ1044" s="6"/>
      <c r="BK1044" s="6"/>
      <c r="BL1044" s="6"/>
      <c r="BM1044" s="6"/>
    </row>
    <row r="1045" spans="1:65" x14ac:dyDescent="0.25">
      <c r="I1045" s="7"/>
      <c r="AH1045" s="7"/>
      <c r="AV1045" s="6"/>
    </row>
    <row r="1046" spans="1:65" x14ac:dyDescent="0.25">
      <c r="A1046" s="6"/>
      <c r="B1046" s="6"/>
      <c r="C1046" s="6"/>
      <c r="D1046" s="6"/>
      <c r="E1046" s="6"/>
      <c r="F1046" s="21"/>
      <c r="G1046" s="10"/>
      <c r="H1046" s="7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25"/>
      <c r="AG1046" s="7"/>
      <c r="AH1046" s="7"/>
      <c r="AI1046" s="7"/>
      <c r="AJ1046" s="6"/>
      <c r="AK1046" s="6"/>
      <c r="AL1046" s="6"/>
      <c r="AM1046" s="6"/>
      <c r="AN1046" s="6"/>
      <c r="AO1046" s="26"/>
      <c r="AP1046" s="11"/>
      <c r="AQ1046" s="7"/>
      <c r="AS1046" s="11"/>
      <c r="AT1046" s="6"/>
      <c r="AU1046" s="6"/>
      <c r="AW1046" s="7"/>
      <c r="AX1046" s="6"/>
      <c r="AY1046" s="6"/>
      <c r="AZ1046" s="6"/>
      <c r="BA1046" s="6"/>
      <c r="BB1046" s="24"/>
      <c r="BD1046" s="6"/>
      <c r="BE1046" s="6"/>
      <c r="BF1046" s="6"/>
      <c r="BH1046" s="6"/>
      <c r="BI1046" s="6"/>
      <c r="BJ1046" s="6"/>
      <c r="BK1046" s="6"/>
      <c r="BL1046" s="6"/>
      <c r="BM1046" s="6"/>
    </row>
    <row r="1047" spans="1:65" x14ac:dyDescent="0.25">
      <c r="AV1047" s="6"/>
    </row>
    <row r="1048" spans="1:65" x14ac:dyDescent="0.25">
      <c r="I1048" s="7"/>
      <c r="AH1048" s="7"/>
      <c r="AV1048" s="6"/>
    </row>
    <row r="1049" spans="1:65" x14ac:dyDescent="0.25">
      <c r="A1049" s="6"/>
      <c r="B1049" s="6"/>
      <c r="C1049" s="6"/>
      <c r="D1049" s="6"/>
      <c r="E1049" s="6"/>
      <c r="F1049" s="21"/>
      <c r="G1049" s="10"/>
      <c r="H1049" s="7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25"/>
      <c r="AG1049" s="7"/>
      <c r="AH1049" s="7"/>
      <c r="AI1049" s="7"/>
      <c r="AJ1049" s="6"/>
      <c r="AK1049" s="6"/>
      <c r="AL1049" s="6"/>
      <c r="AM1049" s="6"/>
      <c r="AN1049" s="6"/>
      <c r="AO1049" s="26"/>
      <c r="AP1049" s="11"/>
      <c r="AQ1049" s="7"/>
      <c r="AS1049" s="11"/>
      <c r="AT1049" s="6"/>
      <c r="AU1049" s="6"/>
      <c r="AW1049" s="7"/>
      <c r="AX1049" s="6"/>
      <c r="AY1049" s="6"/>
      <c r="AZ1049" s="6"/>
      <c r="BA1049" s="6"/>
      <c r="BB1049" s="24"/>
      <c r="BD1049" s="6"/>
      <c r="BE1049" s="6"/>
      <c r="BF1049" s="6"/>
      <c r="BH1049" s="6"/>
      <c r="BI1049" s="6"/>
      <c r="BJ1049" s="6"/>
      <c r="BK1049" s="6"/>
      <c r="BL1049" s="6"/>
      <c r="BM1049" s="6"/>
    </row>
    <row r="1050" spans="1:65" x14ac:dyDescent="0.25">
      <c r="A1050" s="6"/>
      <c r="B1050" s="6"/>
      <c r="C1050" s="6"/>
      <c r="D1050" s="6"/>
      <c r="E1050" s="6"/>
      <c r="F1050" s="21"/>
      <c r="G1050" s="10"/>
      <c r="H1050" s="7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25"/>
      <c r="AG1050" s="7"/>
      <c r="AH1050" s="7"/>
      <c r="AI1050" s="7"/>
      <c r="AJ1050" s="6"/>
      <c r="AK1050" s="6"/>
      <c r="AL1050" s="6"/>
      <c r="AM1050" s="6"/>
      <c r="AN1050" s="6"/>
      <c r="AO1050" s="26"/>
      <c r="AP1050" s="11"/>
      <c r="AQ1050" s="7"/>
      <c r="AS1050" s="11"/>
      <c r="AT1050" s="6"/>
      <c r="AU1050" s="6"/>
      <c r="AV1050" s="6"/>
      <c r="AW1050" s="7"/>
      <c r="AX1050" s="6"/>
      <c r="AY1050" s="6"/>
      <c r="AZ1050" s="6"/>
      <c r="BA1050" s="6"/>
      <c r="BB1050" s="24"/>
      <c r="BD1050" s="6"/>
      <c r="BE1050" s="6"/>
      <c r="BF1050" s="6"/>
      <c r="BH1050" s="6"/>
      <c r="BI1050" s="6"/>
      <c r="BJ1050" s="6"/>
      <c r="BK1050" s="6"/>
      <c r="BL1050" s="6"/>
      <c r="BM1050" s="6"/>
    </row>
    <row r="1053" spans="1:65" x14ac:dyDescent="0.25">
      <c r="A1053" s="6"/>
      <c r="B1053" s="6"/>
      <c r="C1053" s="6"/>
      <c r="D1053" s="6"/>
      <c r="E1053" s="6"/>
      <c r="F1053" s="21"/>
      <c r="G1053" s="10"/>
      <c r="H1053" s="7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25"/>
      <c r="AG1053" s="7"/>
      <c r="AH1053" s="7"/>
      <c r="AI1053" s="7"/>
      <c r="AJ1053" s="6"/>
      <c r="AK1053" s="6"/>
      <c r="AL1053" s="6"/>
      <c r="AM1053" s="6"/>
      <c r="AN1053" s="6"/>
      <c r="AO1053" s="26"/>
      <c r="AP1053" s="11"/>
      <c r="AQ1053" s="7"/>
      <c r="AS1053" s="11"/>
      <c r="AT1053" s="6"/>
      <c r="AU1053" s="6"/>
      <c r="AV1053" s="6"/>
      <c r="AW1053" s="7"/>
      <c r="AX1053" s="6"/>
      <c r="AY1053" s="6"/>
      <c r="AZ1053" s="6"/>
      <c r="BA1053" s="6"/>
      <c r="BB1053" s="24"/>
      <c r="BD1053" s="6"/>
      <c r="BE1053" s="6"/>
      <c r="BF1053" s="6"/>
      <c r="BH1053" s="6"/>
      <c r="BI1053" s="6"/>
      <c r="BJ1053" s="6"/>
      <c r="BK1053" s="6"/>
      <c r="BL1053" s="6"/>
      <c r="BM1053" s="6"/>
    </row>
    <row r="1054" spans="1:65" x14ac:dyDescent="0.25">
      <c r="I1054" s="7"/>
      <c r="AH1054" s="7"/>
      <c r="AV1054" s="6"/>
    </row>
    <row r="1055" spans="1:65" x14ac:dyDescent="0.25">
      <c r="A1055" s="6"/>
      <c r="B1055" s="6"/>
      <c r="C1055" s="6"/>
      <c r="D1055" s="6"/>
      <c r="E1055" s="6"/>
      <c r="F1055" s="21"/>
      <c r="G1055" s="10"/>
      <c r="H1055" s="7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25"/>
      <c r="AG1055" s="7"/>
      <c r="AH1055" s="7"/>
      <c r="AI1055" s="7"/>
      <c r="AJ1055" s="6"/>
      <c r="AK1055" s="6"/>
      <c r="AL1055" s="6"/>
      <c r="AM1055" s="6"/>
      <c r="AN1055" s="6"/>
      <c r="AO1055" s="26"/>
      <c r="AP1055" s="11"/>
      <c r="AQ1055" s="7"/>
      <c r="AS1055" s="11"/>
      <c r="AT1055" s="6"/>
      <c r="AU1055" s="6"/>
      <c r="AW1055" s="7"/>
      <c r="AX1055" s="6"/>
      <c r="AY1055" s="6"/>
      <c r="AZ1055" s="6"/>
      <c r="BA1055" s="6"/>
      <c r="BB1055" s="24"/>
      <c r="BD1055" s="6"/>
      <c r="BE1055" s="6"/>
      <c r="BF1055" s="6"/>
      <c r="BH1055" s="6"/>
      <c r="BI1055" s="6"/>
      <c r="BJ1055" s="6"/>
      <c r="BK1055" s="6"/>
      <c r="BL1055" s="6"/>
      <c r="BM1055" s="6"/>
    </row>
    <row r="1056" spans="1:65" x14ac:dyDescent="0.25">
      <c r="AV1056" s="6"/>
    </row>
    <row r="1057" spans="1:65" x14ac:dyDescent="0.25">
      <c r="I1057" s="7"/>
      <c r="AH1057" s="7"/>
      <c r="AV1057" s="6"/>
    </row>
    <row r="1058" spans="1:65" x14ac:dyDescent="0.25">
      <c r="A1058" s="6"/>
      <c r="B1058" s="6"/>
      <c r="C1058" s="6"/>
      <c r="D1058" s="6"/>
      <c r="E1058" s="6"/>
      <c r="F1058" s="21"/>
      <c r="G1058" s="10"/>
      <c r="H1058" s="7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  <c r="AF1058" s="25"/>
      <c r="AG1058" s="7"/>
      <c r="AH1058" s="7"/>
      <c r="AI1058" s="7"/>
      <c r="AJ1058" s="6"/>
      <c r="AK1058" s="6"/>
      <c r="AL1058" s="6"/>
      <c r="AM1058" s="6"/>
      <c r="AN1058" s="6"/>
      <c r="AO1058" s="26"/>
      <c r="AP1058" s="11"/>
      <c r="AQ1058" s="7"/>
      <c r="AS1058" s="11"/>
      <c r="AT1058" s="6"/>
      <c r="AU1058" s="6"/>
      <c r="AW1058" s="7"/>
      <c r="AX1058" s="6"/>
      <c r="AY1058" s="6"/>
      <c r="AZ1058" s="6"/>
      <c r="BA1058" s="6"/>
      <c r="BB1058" s="24"/>
      <c r="BD1058" s="6"/>
      <c r="BE1058" s="6"/>
      <c r="BF1058" s="6"/>
      <c r="BH1058" s="6"/>
      <c r="BI1058" s="6"/>
      <c r="BJ1058" s="6"/>
      <c r="BK1058" s="6"/>
      <c r="BL1058" s="6"/>
      <c r="BM1058" s="6"/>
    </row>
    <row r="1059" spans="1:65" x14ac:dyDescent="0.25">
      <c r="A1059" s="6"/>
      <c r="B1059" s="6"/>
      <c r="C1059" s="6"/>
      <c r="D1059" s="6"/>
      <c r="E1059" s="6"/>
      <c r="F1059" s="21"/>
      <c r="G1059" s="10"/>
      <c r="H1059" s="7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  <c r="AF1059" s="25"/>
      <c r="AG1059" s="7"/>
      <c r="AH1059" s="7"/>
      <c r="AI1059" s="7"/>
      <c r="AJ1059" s="6"/>
      <c r="AK1059" s="6"/>
      <c r="AL1059" s="6"/>
      <c r="AM1059" s="6"/>
      <c r="AN1059" s="6"/>
      <c r="AO1059" s="26"/>
      <c r="AP1059" s="11"/>
      <c r="AQ1059" s="7"/>
      <c r="AS1059" s="11"/>
      <c r="AT1059" s="6"/>
      <c r="AU1059" s="6"/>
      <c r="AV1059" s="6"/>
      <c r="AW1059" s="7"/>
      <c r="AX1059" s="6"/>
      <c r="AY1059" s="6"/>
      <c r="AZ1059" s="6"/>
      <c r="BA1059" s="6"/>
      <c r="BB1059" s="24"/>
      <c r="BD1059" s="6"/>
      <c r="BE1059" s="6"/>
      <c r="BF1059" s="6"/>
      <c r="BH1059" s="6"/>
      <c r="BI1059" s="6"/>
      <c r="BJ1059" s="6"/>
      <c r="BK1059" s="6"/>
      <c r="BL1059" s="6"/>
      <c r="BM1059" s="6"/>
    </row>
    <row r="1062" spans="1:65" x14ac:dyDescent="0.25">
      <c r="A1062" s="6"/>
      <c r="B1062" s="6"/>
      <c r="C1062" s="6"/>
      <c r="D1062" s="6"/>
      <c r="E1062" s="6"/>
      <c r="F1062" s="21"/>
      <c r="G1062" s="10"/>
      <c r="H1062" s="7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  <c r="AC1062" s="6"/>
      <c r="AD1062" s="6"/>
      <c r="AE1062" s="6"/>
      <c r="AF1062" s="25"/>
      <c r="AG1062" s="7"/>
      <c r="AH1062" s="7"/>
      <c r="AI1062" s="7"/>
      <c r="AJ1062" s="6"/>
      <c r="AK1062" s="6"/>
      <c r="AL1062" s="6"/>
      <c r="AM1062" s="6"/>
      <c r="AN1062" s="6"/>
      <c r="AO1062" s="26"/>
      <c r="AP1062" s="11"/>
      <c r="AQ1062" s="7"/>
      <c r="AS1062" s="11"/>
      <c r="AT1062" s="6"/>
      <c r="AU1062" s="6"/>
      <c r="AV1062" s="6"/>
      <c r="AW1062" s="7"/>
      <c r="AX1062" s="6"/>
      <c r="AY1062" s="6"/>
      <c r="AZ1062" s="6"/>
      <c r="BA1062" s="6"/>
      <c r="BB1062" s="24"/>
      <c r="BD1062" s="6"/>
      <c r="BE1062" s="6"/>
      <c r="BF1062" s="6"/>
      <c r="BH1062" s="6"/>
      <c r="BI1062" s="6"/>
      <c r="BJ1062" s="6"/>
      <c r="BK1062" s="6"/>
      <c r="BL1062" s="6"/>
      <c r="BM1062" s="6"/>
    </row>
    <row r="1063" spans="1:65" x14ac:dyDescent="0.25">
      <c r="I1063" s="7"/>
      <c r="AH1063" s="7"/>
      <c r="AV1063" s="6"/>
    </row>
    <row r="1064" spans="1:65" x14ac:dyDescent="0.25">
      <c r="A1064" s="6"/>
      <c r="B1064" s="6"/>
      <c r="C1064" s="6"/>
      <c r="D1064" s="6"/>
      <c r="E1064" s="6"/>
      <c r="F1064" s="21"/>
      <c r="G1064" s="10"/>
      <c r="H1064" s="7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  <c r="AF1064" s="25"/>
      <c r="AG1064" s="7"/>
      <c r="AH1064" s="7"/>
      <c r="AI1064" s="7"/>
      <c r="AJ1064" s="6"/>
      <c r="AK1064" s="6"/>
      <c r="AL1064" s="6"/>
      <c r="AM1064" s="6"/>
      <c r="AN1064" s="6"/>
      <c r="AO1064" s="26"/>
      <c r="AP1064" s="11"/>
      <c r="AQ1064" s="7"/>
      <c r="AS1064" s="11"/>
      <c r="AT1064" s="6"/>
      <c r="AU1064" s="6"/>
      <c r="AW1064" s="7"/>
      <c r="AX1064" s="6"/>
      <c r="AY1064" s="6"/>
      <c r="AZ1064" s="6"/>
      <c r="BA1064" s="6"/>
      <c r="BB1064" s="24"/>
      <c r="BD1064" s="6"/>
      <c r="BE1064" s="6"/>
      <c r="BF1064" s="6"/>
      <c r="BH1064" s="6"/>
      <c r="BI1064" s="6"/>
      <c r="BJ1064" s="6"/>
      <c r="BK1064" s="6"/>
      <c r="BL1064" s="6"/>
      <c r="BM1064" s="6"/>
    </row>
    <row r="1065" spans="1:65" x14ac:dyDescent="0.25">
      <c r="AV1065" s="6"/>
    </row>
    <row r="1066" spans="1:65" x14ac:dyDescent="0.25">
      <c r="I1066" s="7"/>
      <c r="AH1066" s="7"/>
      <c r="AV1066" s="6"/>
    </row>
    <row r="1067" spans="1:65" x14ac:dyDescent="0.25">
      <c r="A1067" s="6"/>
      <c r="B1067" s="6"/>
      <c r="C1067" s="6"/>
      <c r="D1067" s="6"/>
      <c r="E1067" s="6"/>
      <c r="F1067" s="21"/>
      <c r="G1067" s="10"/>
      <c r="H1067" s="7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  <c r="AD1067" s="6"/>
      <c r="AE1067" s="6"/>
      <c r="AF1067" s="25"/>
      <c r="AG1067" s="7"/>
      <c r="AH1067" s="7"/>
      <c r="AI1067" s="7"/>
      <c r="AJ1067" s="6"/>
      <c r="AK1067" s="6"/>
      <c r="AL1067" s="6"/>
      <c r="AM1067" s="6"/>
      <c r="AN1067" s="6"/>
      <c r="AO1067" s="26"/>
      <c r="AP1067" s="11"/>
      <c r="AQ1067" s="7"/>
      <c r="AS1067" s="11"/>
      <c r="AT1067" s="6"/>
      <c r="AU1067" s="6"/>
      <c r="AW1067" s="7"/>
      <c r="AX1067" s="6"/>
      <c r="AY1067" s="6"/>
      <c r="AZ1067" s="6"/>
      <c r="BA1067" s="6"/>
      <c r="BB1067" s="24"/>
      <c r="BD1067" s="6"/>
      <c r="BE1067" s="6"/>
      <c r="BF1067" s="6"/>
      <c r="BH1067" s="6"/>
      <c r="BI1067" s="6"/>
      <c r="BJ1067" s="6"/>
      <c r="BK1067" s="6"/>
      <c r="BL1067" s="6"/>
      <c r="BM1067" s="6"/>
    </row>
    <row r="1068" spans="1:65" x14ac:dyDescent="0.25">
      <c r="A1068" s="6"/>
      <c r="B1068" s="6"/>
      <c r="C1068" s="6"/>
      <c r="D1068" s="6"/>
      <c r="E1068" s="6"/>
      <c r="F1068" s="21"/>
      <c r="G1068" s="10"/>
      <c r="H1068" s="7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  <c r="AE1068" s="6"/>
      <c r="AF1068" s="25"/>
      <c r="AG1068" s="7"/>
      <c r="AH1068" s="7"/>
      <c r="AI1068" s="7"/>
      <c r="AJ1068" s="6"/>
      <c r="AK1068" s="6"/>
      <c r="AL1068" s="6"/>
      <c r="AM1068" s="6"/>
      <c r="AN1068" s="6"/>
      <c r="AO1068" s="26"/>
      <c r="AP1068" s="11"/>
      <c r="AQ1068" s="7"/>
      <c r="AS1068" s="11"/>
      <c r="AT1068" s="6"/>
      <c r="AU1068" s="6"/>
      <c r="AV1068" s="6"/>
      <c r="AW1068" s="7"/>
      <c r="AX1068" s="6"/>
      <c r="AY1068" s="6"/>
      <c r="AZ1068" s="6"/>
      <c r="BA1068" s="6"/>
      <c r="BB1068" s="24"/>
      <c r="BD1068" s="6"/>
      <c r="BE1068" s="6"/>
      <c r="BF1068" s="6"/>
      <c r="BH1068" s="6"/>
      <c r="BI1068" s="6"/>
      <c r="BJ1068" s="6"/>
      <c r="BK1068" s="6"/>
      <c r="BL1068" s="6"/>
      <c r="BM1068" s="6"/>
    </row>
    <row r="1071" spans="1:65" x14ac:dyDescent="0.25">
      <c r="A1071" s="6"/>
      <c r="B1071" s="6"/>
      <c r="C1071" s="6"/>
      <c r="D1071" s="6"/>
      <c r="E1071" s="6"/>
      <c r="F1071" s="21"/>
      <c r="G1071" s="10"/>
      <c r="H1071" s="7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  <c r="AF1071" s="25"/>
      <c r="AG1071" s="7"/>
      <c r="AH1071" s="7"/>
      <c r="AI1071" s="7"/>
      <c r="AJ1071" s="6"/>
      <c r="AK1071" s="6"/>
      <c r="AL1071" s="6"/>
      <c r="AM1071" s="6"/>
      <c r="AN1071" s="6"/>
      <c r="AO1071" s="26"/>
      <c r="AP1071" s="11"/>
      <c r="AQ1071" s="7"/>
      <c r="AS1071" s="11"/>
      <c r="AT1071" s="6"/>
      <c r="AU1071" s="6"/>
      <c r="AV1071" s="6"/>
      <c r="AW1071" s="7"/>
      <c r="AX1071" s="6"/>
      <c r="AY1071" s="6"/>
      <c r="AZ1071" s="6"/>
      <c r="BA1071" s="6"/>
      <c r="BB1071" s="24"/>
      <c r="BD1071" s="6"/>
      <c r="BE1071" s="6"/>
      <c r="BF1071" s="6"/>
      <c r="BH1071" s="6"/>
      <c r="BI1071" s="6"/>
      <c r="BJ1071" s="6"/>
      <c r="BK1071" s="6"/>
      <c r="BL1071" s="6"/>
      <c r="BM1071" s="6"/>
    </row>
    <row r="1072" spans="1:65" x14ac:dyDescent="0.25">
      <c r="I1072" s="7"/>
      <c r="AH1072" s="7"/>
      <c r="AV1072" s="6"/>
    </row>
    <row r="1073" spans="1:65" x14ac:dyDescent="0.25">
      <c r="A1073" s="6"/>
      <c r="B1073" s="6"/>
      <c r="C1073" s="6"/>
      <c r="D1073" s="6"/>
      <c r="E1073" s="6"/>
      <c r="F1073" s="21"/>
      <c r="G1073" s="10"/>
      <c r="H1073" s="7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  <c r="AF1073" s="25"/>
      <c r="AG1073" s="7"/>
      <c r="AH1073" s="7"/>
      <c r="AI1073" s="7"/>
      <c r="AJ1073" s="6"/>
      <c r="AK1073" s="6"/>
      <c r="AL1073" s="6"/>
      <c r="AM1073" s="6"/>
      <c r="AN1073" s="6"/>
      <c r="AO1073" s="26"/>
      <c r="AP1073" s="11"/>
      <c r="AQ1073" s="7"/>
      <c r="AS1073" s="11"/>
      <c r="AT1073" s="6"/>
      <c r="AU1073" s="6"/>
      <c r="AW1073" s="7"/>
      <c r="AX1073" s="6"/>
      <c r="AY1073" s="6"/>
      <c r="AZ1073" s="6"/>
      <c r="BA1073" s="6"/>
      <c r="BB1073" s="24"/>
      <c r="BD1073" s="6"/>
      <c r="BE1073" s="6"/>
      <c r="BF1073" s="6"/>
      <c r="BH1073" s="6"/>
      <c r="BI1073" s="6"/>
      <c r="BJ1073" s="6"/>
      <c r="BK1073" s="6"/>
      <c r="BL1073" s="6"/>
      <c r="BM1073" s="6"/>
    </row>
    <row r="1074" spans="1:65" x14ac:dyDescent="0.25">
      <c r="AV1074" s="6"/>
    </row>
    <row r="1075" spans="1:65" x14ac:dyDescent="0.25">
      <c r="I1075" s="7"/>
      <c r="AH1075" s="7"/>
      <c r="AV1075" s="6"/>
    </row>
    <row r="1076" spans="1:65" x14ac:dyDescent="0.25">
      <c r="A1076" s="6"/>
      <c r="B1076" s="6"/>
      <c r="C1076" s="6"/>
      <c r="D1076" s="6"/>
      <c r="E1076" s="6"/>
      <c r="F1076" s="21"/>
      <c r="G1076" s="10"/>
      <c r="H1076" s="7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6"/>
      <c r="AE1076" s="6"/>
      <c r="AF1076" s="25"/>
      <c r="AG1076" s="7"/>
      <c r="AH1076" s="7"/>
      <c r="AI1076" s="7"/>
      <c r="AJ1076" s="6"/>
      <c r="AK1076" s="6"/>
      <c r="AL1076" s="6"/>
      <c r="AM1076" s="6"/>
      <c r="AN1076" s="6"/>
      <c r="AO1076" s="26"/>
      <c r="AP1076" s="11"/>
      <c r="AQ1076" s="7"/>
      <c r="AS1076" s="11"/>
      <c r="AT1076" s="6"/>
      <c r="AU1076" s="6"/>
      <c r="AW1076" s="7"/>
      <c r="AX1076" s="6"/>
      <c r="AY1076" s="6"/>
      <c r="AZ1076" s="6"/>
      <c r="BA1076" s="6"/>
      <c r="BB1076" s="24"/>
      <c r="BD1076" s="6"/>
      <c r="BE1076" s="6"/>
      <c r="BF1076" s="6"/>
      <c r="BH1076" s="6"/>
      <c r="BI1076" s="6"/>
      <c r="BJ1076" s="6"/>
      <c r="BK1076" s="6"/>
      <c r="BL1076" s="6"/>
      <c r="BM1076" s="6"/>
    </row>
    <row r="1077" spans="1:65" x14ac:dyDescent="0.25">
      <c r="A1077" s="6"/>
      <c r="B1077" s="6"/>
      <c r="C1077" s="6"/>
      <c r="D1077" s="6"/>
      <c r="E1077" s="6"/>
      <c r="F1077" s="6"/>
      <c r="G1077" s="6"/>
      <c r="H1077" s="7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  <c r="AG1077" s="7"/>
      <c r="AH1077" s="7"/>
      <c r="AI1077" s="7"/>
      <c r="AJ1077" s="6"/>
      <c r="AK1077" s="6"/>
      <c r="AL1077" s="6"/>
      <c r="AM1077" s="6"/>
      <c r="AN1077" s="6"/>
      <c r="AO1077" s="6"/>
      <c r="AP1077" s="6"/>
      <c r="AQ1077" s="7"/>
      <c r="AS1077" s="6"/>
      <c r="AT1077" s="6"/>
      <c r="AU1077" s="6"/>
      <c r="AV1077" s="6"/>
      <c r="AW1077" s="7"/>
      <c r="AX1077" s="6"/>
      <c r="AY1077" s="6"/>
      <c r="AZ1077" s="6"/>
      <c r="BA1077" s="6"/>
      <c r="BB1077" s="6"/>
      <c r="BD1077" s="6"/>
      <c r="BE1077" s="6"/>
      <c r="BF1077" s="6"/>
      <c r="BH1077" s="6"/>
      <c r="BI1077" s="6"/>
      <c r="BJ1077" s="6"/>
      <c r="BK1077" s="6"/>
      <c r="BL1077" s="6"/>
      <c r="BM1077" s="6"/>
    </row>
    <row r="1080" spans="1:65" x14ac:dyDescent="0.25">
      <c r="A1080" s="6"/>
      <c r="B1080" s="6"/>
      <c r="C1080" s="6"/>
      <c r="D1080" s="6"/>
      <c r="E1080" s="6"/>
      <c r="F1080" s="21"/>
      <c r="G1080" s="10"/>
      <c r="H1080" s="7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  <c r="AE1080" s="6"/>
      <c r="AF1080" s="25"/>
      <c r="AG1080" s="7"/>
      <c r="AH1080" s="7"/>
      <c r="AI1080" s="7"/>
      <c r="AJ1080" s="6"/>
      <c r="AK1080" s="6"/>
      <c r="AL1080" s="6"/>
      <c r="AM1080" s="6"/>
      <c r="AN1080" s="6"/>
      <c r="AO1080" s="26"/>
      <c r="AP1080" s="11"/>
      <c r="AQ1080" s="7"/>
      <c r="AS1080" s="11"/>
      <c r="AT1080" s="6"/>
      <c r="AU1080" s="6"/>
      <c r="AV1080" s="6"/>
      <c r="AW1080" s="7"/>
      <c r="AX1080" s="6"/>
      <c r="AY1080" s="6"/>
      <c r="AZ1080" s="6"/>
      <c r="BA1080" s="6"/>
      <c r="BB1080" s="24"/>
      <c r="BD1080" s="6"/>
      <c r="BE1080" s="6"/>
      <c r="BF1080" s="6"/>
      <c r="BH1080" s="6"/>
      <c r="BI1080" s="6"/>
      <c r="BJ1080" s="6"/>
      <c r="BK1080" s="6"/>
      <c r="BL1080" s="6"/>
      <c r="BM1080" s="6"/>
    </row>
    <row r="1081" spans="1:65" x14ac:dyDescent="0.25">
      <c r="I1081" s="7"/>
      <c r="AH1081" s="7"/>
      <c r="AV1081" s="6"/>
    </row>
    <row r="1082" spans="1:65" x14ac:dyDescent="0.25">
      <c r="A1082" s="6"/>
      <c r="B1082" s="6"/>
      <c r="C1082" s="6"/>
      <c r="D1082" s="6"/>
      <c r="E1082" s="6"/>
      <c r="F1082" s="21"/>
      <c r="G1082" s="10"/>
      <c r="H1082" s="7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  <c r="AE1082" s="6"/>
      <c r="AF1082" s="25"/>
      <c r="AG1082" s="7"/>
      <c r="AH1082" s="7"/>
      <c r="AI1082" s="7"/>
      <c r="AJ1082" s="6"/>
      <c r="AK1082" s="6"/>
      <c r="AL1082" s="6"/>
      <c r="AM1082" s="6"/>
      <c r="AN1082" s="6"/>
      <c r="AO1082" s="26"/>
      <c r="AP1082" s="11"/>
      <c r="AQ1082" s="7"/>
      <c r="AS1082" s="11"/>
      <c r="AT1082" s="6"/>
      <c r="AU1082" s="6"/>
      <c r="AW1082" s="7"/>
      <c r="AX1082" s="6"/>
      <c r="AY1082" s="6"/>
      <c r="AZ1082" s="6"/>
      <c r="BA1082" s="6"/>
      <c r="BB1082" s="24"/>
      <c r="BD1082" s="6"/>
      <c r="BE1082" s="6"/>
      <c r="BF1082" s="6"/>
      <c r="BH1082" s="6"/>
      <c r="BI1082" s="6"/>
      <c r="BJ1082" s="6"/>
      <c r="BK1082" s="6"/>
      <c r="BL1082" s="6"/>
      <c r="BM1082" s="6"/>
    </row>
    <row r="1083" spans="1:65" x14ac:dyDescent="0.25">
      <c r="AV1083" s="6"/>
    </row>
    <row r="1084" spans="1:65" x14ac:dyDescent="0.25">
      <c r="I1084" s="7"/>
      <c r="AH1084" s="7"/>
      <c r="AV1084" s="6"/>
    </row>
    <row r="1085" spans="1:65" x14ac:dyDescent="0.25">
      <c r="A1085" s="6"/>
      <c r="B1085" s="6"/>
      <c r="C1085" s="6"/>
      <c r="D1085" s="6"/>
      <c r="E1085" s="6"/>
      <c r="F1085" s="21"/>
      <c r="G1085" s="10"/>
      <c r="H1085" s="7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  <c r="AD1085" s="6"/>
      <c r="AE1085" s="6"/>
      <c r="AF1085" s="25"/>
      <c r="AG1085" s="7"/>
      <c r="AH1085" s="7"/>
      <c r="AI1085" s="7"/>
      <c r="AJ1085" s="6"/>
      <c r="AK1085" s="6"/>
      <c r="AL1085" s="6"/>
      <c r="AM1085" s="6"/>
      <c r="AN1085" s="6"/>
      <c r="AO1085" s="26"/>
      <c r="AP1085" s="11"/>
      <c r="AQ1085" s="7"/>
      <c r="AS1085" s="11"/>
      <c r="AT1085" s="6"/>
      <c r="AU1085" s="6"/>
      <c r="AW1085" s="7"/>
      <c r="AX1085" s="6"/>
      <c r="AY1085" s="6"/>
      <c r="AZ1085" s="6"/>
      <c r="BA1085" s="6"/>
      <c r="BB1085" s="24"/>
      <c r="BD1085" s="6"/>
      <c r="BE1085" s="6"/>
      <c r="BF1085" s="6"/>
      <c r="BH1085" s="6"/>
      <c r="BI1085" s="6"/>
      <c r="BJ1085" s="6"/>
      <c r="BK1085" s="6"/>
      <c r="BL1085" s="6"/>
      <c r="BM1085" s="6"/>
    </row>
    <row r="1086" spans="1:65" x14ac:dyDescent="0.25">
      <c r="A1086" s="6"/>
      <c r="B1086" s="6"/>
      <c r="C1086" s="6"/>
      <c r="D1086" s="6"/>
      <c r="E1086" s="6"/>
      <c r="F1086" s="21"/>
      <c r="G1086" s="10"/>
      <c r="H1086" s="7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  <c r="AF1086" s="25"/>
      <c r="AG1086" s="7"/>
      <c r="AH1086" s="7"/>
      <c r="AI1086" s="7"/>
      <c r="AJ1086" s="6"/>
      <c r="AK1086" s="6"/>
      <c r="AL1086" s="6"/>
      <c r="AM1086" s="6"/>
      <c r="AN1086" s="6"/>
      <c r="AO1086" s="26"/>
      <c r="AP1086" s="11"/>
      <c r="AQ1086" s="7"/>
      <c r="AS1086" s="11"/>
      <c r="AT1086" s="6"/>
      <c r="AU1086" s="6"/>
      <c r="AV1086" s="6"/>
      <c r="AW1086" s="7"/>
      <c r="AX1086" s="6"/>
      <c r="AY1086" s="6"/>
      <c r="AZ1086" s="6"/>
      <c r="BA1086" s="6"/>
      <c r="BB1086" s="24"/>
      <c r="BD1086" s="6"/>
      <c r="BE1086" s="6"/>
      <c r="BF1086" s="6"/>
      <c r="BH1086" s="6"/>
      <c r="BI1086" s="6"/>
      <c r="BJ1086" s="6"/>
      <c r="BK1086" s="6"/>
      <c r="BL1086" s="6"/>
      <c r="BM1086" s="6"/>
    </row>
    <row r="1089" spans="1:65" x14ac:dyDescent="0.25">
      <c r="A1089" s="6"/>
      <c r="B1089" s="6"/>
      <c r="C1089" s="6"/>
      <c r="D1089" s="6"/>
      <c r="E1089" s="6"/>
      <c r="F1089" s="21"/>
      <c r="G1089" s="10"/>
      <c r="H1089" s="7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6"/>
      <c r="AE1089" s="6"/>
      <c r="AF1089" s="25"/>
      <c r="AG1089" s="7"/>
      <c r="AH1089" s="7"/>
      <c r="AI1089" s="7"/>
      <c r="AJ1089" s="6"/>
      <c r="AK1089" s="6"/>
      <c r="AL1089" s="6"/>
      <c r="AM1089" s="6"/>
      <c r="AN1089" s="6"/>
      <c r="AO1089" s="26"/>
      <c r="AP1089" s="11"/>
      <c r="AQ1089" s="7"/>
      <c r="AS1089" s="11"/>
      <c r="AT1089" s="6"/>
      <c r="AU1089" s="6"/>
      <c r="AV1089" s="6"/>
      <c r="AW1089" s="7"/>
      <c r="AX1089" s="6"/>
      <c r="AY1089" s="6"/>
      <c r="AZ1089" s="6"/>
      <c r="BA1089" s="6"/>
      <c r="BB1089" s="24"/>
      <c r="BD1089" s="6"/>
      <c r="BE1089" s="6"/>
      <c r="BF1089" s="6"/>
      <c r="BH1089" s="6"/>
      <c r="BI1089" s="6"/>
      <c r="BJ1089" s="6"/>
      <c r="BK1089" s="6"/>
      <c r="BL1089" s="6"/>
      <c r="BM1089" s="6"/>
    </row>
    <row r="1090" spans="1:65" x14ac:dyDescent="0.25">
      <c r="I1090" s="7"/>
      <c r="AH1090" s="7"/>
      <c r="AV1090" s="6"/>
    </row>
    <row r="1091" spans="1:65" x14ac:dyDescent="0.25">
      <c r="A1091" s="6"/>
      <c r="B1091" s="6"/>
      <c r="C1091" s="6"/>
      <c r="D1091" s="6"/>
      <c r="E1091" s="6"/>
      <c r="F1091" s="21"/>
      <c r="G1091" s="10"/>
      <c r="H1091" s="7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  <c r="AE1091" s="6"/>
      <c r="AF1091" s="25"/>
      <c r="AG1091" s="7"/>
      <c r="AH1091" s="7"/>
      <c r="AI1091" s="7"/>
      <c r="AJ1091" s="6"/>
      <c r="AK1091" s="6"/>
      <c r="AL1091" s="6"/>
      <c r="AM1091" s="6"/>
      <c r="AN1091" s="6"/>
      <c r="AO1091" s="26"/>
      <c r="AP1091" s="11"/>
      <c r="AQ1091" s="7"/>
      <c r="AS1091" s="11"/>
      <c r="AT1091" s="6"/>
      <c r="AU1091" s="6"/>
      <c r="AW1091" s="7"/>
      <c r="AX1091" s="6"/>
      <c r="AY1091" s="6"/>
      <c r="AZ1091" s="6"/>
      <c r="BA1091" s="6"/>
      <c r="BB1091" s="24"/>
      <c r="BD1091" s="6"/>
      <c r="BE1091" s="6"/>
      <c r="BF1091" s="6"/>
      <c r="BH1091" s="6"/>
      <c r="BI1091" s="6"/>
      <c r="BJ1091" s="6"/>
      <c r="BK1091" s="6"/>
      <c r="BL1091" s="6"/>
      <c r="BM1091" s="6"/>
    </row>
    <row r="1092" spans="1:65" x14ac:dyDescent="0.25">
      <c r="AV1092" s="6"/>
    </row>
    <row r="1093" spans="1:65" x14ac:dyDescent="0.25">
      <c r="I1093" s="7"/>
      <c r="AH1093" s="7"/>
      <c r="AV1093" s="6"/>
    </row>
    <row r="1094" spans="1:65" x14ac:dyDescent="0.25">
      <c r="A1094" s="6"/>
      <c r="B1094" s="6"/>
      <c r="C1094" s="6"/>
      <c r="D1094" s="6"/>
      <c r="E1094" s="6"/>
      <c r="F1094" s="21"/>
      <c r="G1094" s="10"/>
      <c r="H1094" s="7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  <c r="AE1094" s="6"/>
      <c r="AF1094" s="25"/>
      <c r="AG1094" s="7"/>
      <c r="AH1094" s="7"/>
      <c r="AI1094" s="7"/>
      <c r="AJ1094" s="6"/>
      <c r="AK1094" s="6"/>
      <c r="AL1094" s="6"/>
      <c r="AM1094" s="6"/>
      <c r="AN1094" s="6"/>
      <c r="AO1094" s="26"/>
      <c r="AP1094" s="11"/>
      <c r="AQ1094" s="7"/>
      <c r="AS1094" s="11"/>
      <c r="AT1094" s="6"/>
      <c r="AU1094" s="6"/>
      <c r="AW1094" s="7"/>
      <c r="AX1094" s="6"/>
      <c r="AY1094" s="6"/>
      <c r="AZ1094" s="6"/>
      <c r="BA1094" s="6"/>
      <c r="BB1094" s="24"/>
      <c r="BD1094" s="6"/>
      <c r="BE1094" s="6"/>
      <c r="BF1094" s="6"/>
      <c r="BH1094" s="6"/>
      <c r="BI1094" s="6"/>
      <c r="BJ1094" s="6"/>
      <c r="BK1094" s="6"/>
      <c r="BL1094" s="6"/>
      <c r="BM1094" s="6"/>
    </row>
    <row r="1095" spans="1:65" x14ac:dyDescent="0.25">
      <c r="A1095" s="6"/>
      <c r="B1095" s="6"/>
      <c r="C1095" s="6"/>
      <c r="D1095" s="6"/>
      <c r="E1095" s="6"/>
      <c r="F1095" s="21"/>
      <c r="G1095" s="10"/>
      <c r="H1095" s="7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  <c r="AE1095" s="6"/>
      <c r="AF1095" s="25"/>
      <c r="AG1095" s="7"/>
      <c r="AH1095" s="7"/>
      <c r="AI1095" s="7"/>
      <c r="AJ1095" s="6"/>
      <c r="AK1095" s="6"/>
      <c r="AL1095" s="6"/>
      <c r="AM1095" s="6"/>
      <c r="AN1095" s="6"/>
      <c r="AO1095" s="26"/>
      <c r="AP1095" s="11"/>
      <c r="AQ1095" s="7"/>
      <c r="AS1095" s="11"/>
      <c r="AT1095" s="6"/>
      <c r="AU1095" s="6"/>
      <c r="AV1095" s="6"/>
      <c r="AW1095" s="7"/>
      <c r="AX1095" s="6"/>
      <c r="AY1095" s="6"/>
      <c r="AZ1095" s="6"/>
      <c r="BA1095" s="6"/>
      <c r="BB1095" s="24"/>
      <c r="BD1095" s="6"/>
      <c r="BE1095" s="6"/>
      <c r="BF1095" s="6"/>
      <c r="BH1095" s="6"/>
      <c r="BI1095" s="6"/>
      <c r="BJ1095" s="6"/>
      <c r="BK1095" s="6"/>
      <c r="BL1095" s="6"/>
      <c r="BM1095" s="6"/>
    </row>
    <row r="1098" spans="1:65" x14ac:dyDescent="0.25">
      <c r="A1098" s="6"/>
      <c r="B1098" s="6"/>
      <c r="C1098" s="6"/>
      <c r="D1098" s="6"/>
      <c r="E1098" s="6"/>
      <c r="F1098" s="21"/>
      <c r="G1098" s="10"/>
      <c r="H1098" s="7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  <c r="AE1098" s="6"/>
      <c r="AF1098" s="25"/>
      <c r="AG1098" s="7"/>
      <c r="AH1098" s="7"/>
      <c r="AI1098" s="7"/>
      <c r="AJ1098" s="6"/>
      <c r="AK1098" s="6"/>
      <c r="AL1098" s="6"/>
      <c r="AM1098" s="6"/>
      <c r="AN1098" s="6"/>
      <c r="AO1098" s="26"/>
      <c r="AP1098" s="11"/>
      <c r="AQ1098" s="7"/>
      <c r="AS1098" s="11"/>
      <c r="AT1098" s="6"/>
      <c r="AU1098" s="6"/>
      <c r="AV1098" s="6"/>
      <c r="AW1098" s="7"/>
      <c r="AX1098" s="6"/>
      <c r="AY1098" s="6"/>
      <c r="AZ1098" s="6"/>
      <c r="BA1098" s="6"/>
      <c r="BB1098" s="24"/>
      <c r="BD1098" s="6"/>
      <c r="BE1098" s="6"/>
      <c r="BF1098" s="6"/>
      <c r="BH1098" s="6"/>
      <c r="BI1098" s="6"/>
      <c r="BJ1098" s="6"/>
      <c r="BK1098" s="6"/>
      <c r="BL1098" s="6"/>
      <c r="BM1098" s="6"/>
    </row>
    <row r="1099" spans="1:65" x14ac:dyDescent="0.25">
      <c r="I1099" s="7"/>
      <c r="AH1099" s="7"/>
      <c r="AV1099" s="6"/>
    </row>
    <row r="1100" spans="1:65" x14ac:dyDescent="0.25">
      <c r="A1100" s="6"/>
      <c r="B1100" s="6"/>
      <c r="C1100" s="6"/>
      <c r="D1100" s="6"/>
      <c r="E1100" s="6"/>
      <c r="F1100" s="21"/>
      <c r="G1100" s="10"/>
      <c r="H1100" s="7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  <c r="AE1100" s="6"/>
      <c r="AF1100" s="25"/>
      <c r="AG1100" s="7"/>
      <c r="AH1100" s="7"/>
      <c r="AI1100" s="7"/>
      <c r="AJ1100" s="6"/>
      <c r="AK1100" s="6"/>
      <c r="AL1100" s="6"/>
      <c r="AM1100" s="6"/>
      <c r="AN1100" s="6"/>
      <c r="AO1100" s="26"/>
      <c r="AP1100" s="11"/>
      <c r="AQ1100" s="7"/>
      <c r="AS1100" s="11"/>
      <c r="AT1100" s="6"/>
      <c r="AU1100" s="6"/>
      <c r="AW1100" s="7"/>
      <c r="AX1100" s="6"/>
      <c r="AY1100" s="6"/>
      <c r="AZ1100" s="6"/>
      <c r="BA1100" s="6"/>
      <c r="BB1100" s="24"/>
      <c r="BD1100" s="6"/>
      <c r="BE1100" s="6"/>
      <c r="BF1100" s="6"/>
      <c r="BH1100" s="6"/>
      <c r="BI1100" s="6"/>
      <c r="BJ1100" s="6"/>
      <c r="BK1100" s="6"/>
      <c r="BL1100" s="6"/>
      <c r="BM1100" s="6"/>
    </row>
    <row r="1101" spans="1:65" x14ac:dyDescent="0.25">
      <c r="AV1101" s="6"/>
    </row>
    <row r="1102" spans="1:65" x14ac:dyDescent="0.25">
      <c r="I1102" s="7"/>
      <c r="AH1102" s="7"/>
      <c r="AV1102" s="6"/>
    </row>
    <row r="1103" spans="1:65" x14ac:dyDescent="0.25">
      <c r="A1103" s="6"/>
      <c r="B1103" s="6"/>
      <c r="C1103" s="6"/>
      <c r="D1103" s="6"/>
      <c r="E1103" s="6"/>
      <c r="F1103" s="21"/>
      <c r="G1103" s="10"/>
      <c r="H1103" s="7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  <c r="AD1103" s="6"/>
      <c r="AE1103" s="6"/>
      <c r="AF1103" s="25"/>
      <c r="AG1103" s="7"/>
      <c r="AH1103" s="7"/>
      <c r="AI1103" s="7"/>
      <c r="AJ1103" s="6"/>
      <c r="AK1103" s="6"/>
      <c r="AL1103" s="6"/>
      <c r="AM1103" s="6"/>
      <c r="AN1103" s="6"/>
      <c r="AO1103" s="26"/>
      <c r="AP1103" s="11"/>
      <c r="AQ1103" s="7"/>
      <c r="AS1103" s="11"/>
      <c r="AT1103" s="6"/>
      <c r="AU1103" s="6"/>
      <c r="AW1103" s="7"/>
      <c r="AX1103" s="6"/>
      <c r="AY1103" s="6"/>
      <c r="AZ1103" s="6"/>
      <c r="BA1103" s="6"/>
      <c r="BB1103" s="24"/>
      <c r="BD1103" s="6"/>
      <c r="BE1103" s="6"/>
      <c r="BF1103" s="6"/>
      <c r="BH1103" s="6"/>
      <c r="BI1103" s="6"/>
      <c r="BJ1103" s="6"/>
      <c r="BK1103" s="6"/>
      <c r="BL1103" s="6"/>
      <c r="BM1103" s="6"/>
    </row>
    <row r="1104" spans="1:65" x14ac:dyDescent="0.25">
      <c r="A1104" s="6"/>
      <c r="B1104" s="6"/>
      <c r="C1104" s="6"/>
      <c r="D1104" s="6"/>
      <c r="E1104" s="6"/>
      <c r="F1104" s="21"/>
      <c r="G1104" s="10"/>
      <c r="H1104" s="7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  <c r="AD1104" s="6"/>
      <c r="AE1104" s="6"/>
      <c r="AF1104" s="25"/>
      <c r="AG1104" s="7"/>
      <c r="AH1104" s="7"/>
      <c r="AI1104" s="7"/>
      <c r="AJ1104" s="6"/>
      <c r="AK1104" s="6"/>
      <c r="AL1104" s="6"/>
      <c r="AM1104" s="6"/>
      <c r="AN1104" s="6"/>
      <c r="AO1104" s="26"/>
      <c r="AP1104" s="11"/>
      <c r="AQ1104" s="7"/>
      <c r="AS1104" s="11"/>
      <c r="AT1104" s="6"/>
      <c r="AU1104" s="6"/>
      <c r="AV1104" s="6"/>
      <c r="AW1104" s="7"/>
      <c r="AX1104" s="6"/>
      <c r="AY1104" s="6"/>
      <c r="AZ1104" s="6"/>
      <c r="BA1104" s="6"/>
      <c r="BB1104" s="24"/>
      <c r="BD1104" s="6"/>
      <c r="BE1104" s="6"/>
      <c r="BF1104" s="6"/>
      <c r="BH1104" s="6"/>
      <c r="BI1104" s="6"/>
      <c r="BJ1104" s="6"/>
      <c r="BK1104" s="6"/>
      <c r="BL1104" s="6"/>
      <c r="BM1104" s="6"/>
    </row>
    <row r="1107" spans="1:65" x14ac:dyDescent="0.25">
      <c r="A1107" s="6"/>
      <c r="B1107" s="6"/>
      <c r="C1107" s="6"/>
      <c r="D1107" s="6"/>
      <c r="E1107" s="6"/>
      <c r="F1107" s="21"/>
      <c r="G1107" s="10"/>
      <c r="H1107" s="7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  <c r="AD1107" s="6"/>
      <c r="AE1107" s="6"/>
      <c r="AF1107" s="25"/>
      <c r="AG1107" s="7"/>
      <c r="AH1107" s="7"/>
      <c r="AI1107" s="7"/>
      <c r="AJ1107" s="6"/>
      <c r="AK1107" s="6"/>
      <c r="AL1107" s="6"/>
      <c r="AM1107" s="6"/>
      <c r="AN1107" s="6"/>
      <c r="AO1107" s="26"/>
      <c r="AP1107" s="11"/>
      <c r="AQ1107" s="7"/>
      <c r="AS1107" s="11"/>
      <c r="AT1107" s="6"/>
      <c r="AU1107" s="6"/>
      <c r="AV1107" s="6"/>
      <c r="AW1107" s="7"/>
      <c r="AX1107" s="6"/>
      <c r="AY1107" s="6"/>
      <c r="AZ1107" s="6"/>
      <c r="BA1107" s="6"/>
      <c r="BB1107" s="24"/>
      <c r="BD1107" s="6"/>
      <c r="BE1107" s="6"/>
      <c r="BF1107" s="6"/>
      <c r="BH1107" s="6"/>
      <c r="BI1107" s="6"/>
      <c r="BJ1107" s="6"/>
      <c r="BK1107" s="6"/>
      <c r="BL1107" s="6"/>
      <c r="BM1107" s="6"/>
    </row>
    <row r="1108" spans="1:65" x14ac:dyDescent="0.25">
      <c r="I1108" s="7"/>
      <c r="AH1108" s="7"/>
      <c r="AV1108" s="6"/>
    </row>
    <row r="1109" spans="1:65" x14ac:dyDescent="0.25">
      <c r="A1109" s="6"/>
      <c r="B1109" s="6"/>
      <c r="C1109" s="6"/>
      <c r="D1109" s="6"/>
      <c r="E1109" s="6"/>
      <c r="F1109" s="21"/>
      <c r="G1109" s="10"/>
      <c r="H1109" s="7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6"/>
      <c r="AE1109" s="6"/>
      <c r="AF1109" s="25"/>
      <c r="AG1109" s="7"/>
      <c r="AH1109" s="7"/>
      <c r="AI1109" s="7"/>
      <c r="AJ1109" s="6"/>
      <c r="AK1109" s="6"/>
      <c r="AL1109" s="6"/>
      <c r="AM1109" s="6"/>
      <c r="AN1109" s="6"/>
      <c r="AO1109" s="26"/>
      <c r="AP1109" s="11"/>
      <c r="AQ1109" s="7"/>
      <c r="AS1109" s="11"/>
      <c r="AT1109" s="6"/>
      <c r="AU1109" s="6"/>
      <c r="AW1109" s="7"/>
      <c r="AX1109" s="6"/>
      <c r="AY1109" s="6"/>
      <c r="AZ1109" s="6"/>
      <c r="BA1109" s="6"/>
      <c r="BB1109" s="24"/>
      <c r="BD1109" s="6"/>
      <c r="BE1109" s="6"/>
      <c r="BF1109" s="6"/>
      <c r="BH1109" s="6"/>
      <c r="BI1109" s="6"/>
      <c r="BJ1109" s="6"/>
      <c r="BK1109" s="6"/>
      <c r="BL1109" s="6"/>
      <c r="BM1109" s="6"/>
    </row>
    <row r="1110" spans="1:65" x14ac:dyDescent="0.25">
      <c r="AV1110" s="6"/>
    </row>
    <row r="1111" spans="1:65" x14ac:dyDescent="0.25">
      <c r="I1111" s="7"/>
      <c r="AH1111" s="7"/>
      <c r="AV1111" s="6"/>
    </row>
    <row r="1112" spans="1:65" x14ac:dyDescent="0.25">
      <c r="A1112" s="6"/>
      <c r="B1112" s="6"/>
      <c r="C1112" s="6"/>
      <c r="D1112" s="6"/>
      <c r="E1112" s="6"/>
      <c r="F1112" s="21"/>
      <c r="G1112" s="10"/>
      <c r="H1112" s="7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  <c r="AC1112" s="6"/>
      <c r="AD1112" s="6"/>
      <c r="AE1112" s="6"/>
      <c r="AF1112" s="25"/>
      <c r="AG1112" s="7"/>
      <c r="AH1112" s="7"/>
      <c r="AI1112" s="7"/>
      <c r="AJ1112" s="6"/>
      <c r="AK1112" s="6"/>
      <c r="AL1112" s="6"/>
      <c r="AM1112" s="6"/>
      <c r="AN1112" s="6"/>
      <c r="AO1112" s="26"/>
      <c r="AP1112" s="11"/>
      <c r="AQ1112" s="7"/>
      <c r="AS1112" s="11"/>
      <c r="AT1112" s="6"/>
      <c r="AU1112" s="6"/>
      <c r="AW1112" s="7"/>
      <c r="AX1112" s="6"/>
      <c r="AY1112" s="6"/>
      <c r="AZ1112" s="6"/>
      <c r="BA1112" s="6"/>
      <c r="BB1112" s="24"/>
      <c r="BD1112" s="6"/>
      <c r="BE1112" s="6"/>
      <c r="BF1112" s="6"/>
      <c r="BH1112" s="6"/>
      <c r="BI1112" s="6"/>
      <c r="BJ1112" s="6"/>
      <c r="BK1112" s="6"/>
      <c r="BL1112" s="6"/>
      <c r="BM1112" s="6"/>
    </row>
    <row r="1113" spans="1:65" x14ac:dyDescent="0.25">
      <c r="A1113" s="6"/>
      <c r="B1113" s="6"/>
      <c r="C1113" s="6"/>
      <c r="D1113" s="6"/>
      <c r="E1113" s="6"/>
      <c r="F1113" s="21"/>
      <c r="G1113" s="10"/>
      <c r="H1113" s="7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  <c r="AC1113" s="6"/>
      <c r="AD1113" s="6"/>
      <c r="AE1113" s="6"/>
      <c r="AF1113" s="25"/>
      <c r="AG1113" s="7"/>
      <c r="AH1113" s="7"/>
      <c r="AI1113" s="7"/>
      <c r="AJ1113" s="6"/>
      <c r="AK1113" s="6"/>
      <c r="AL1113" s="6"/>
      <c r="AM1113" s="6"/>
      <c r="AN1113" s="6"/>
      <c r="AO1113" s="26"/>
      <c r="AP1113" s="11"/>
      <c r="AQ1113" s="7"/>
      <c r="AS1113" s="11"/>
      <c r="AT1113" s="6"/>
      <c r="AU1113" s="6"/>
      <c r="AV1113" s="6"/>
      <c r="AW1113" s="7"/>
      <c r="AX1113" s="6"/>
      <c r="AY1113" s="6"/>
      <c r="AZ1113" s="6"/>
      <c r="BA1113" s="6"/>
      <c r="BB1113" s="24"/>
      <c r="BD1113" s="6"/>
      <c r="BE1113" s="6"/>
      <c r="BF1113" s="6"/>
      <c r="BH1113" s="6"/>
      <c r="BI1113" s="6"/>
      <c r="BJ1113" s="6"/>
      <c r="BK1113" s="6"/>
      <c r="BL1113" s="6"/>
      <c r="BM1113" s="6"/>
    </row>
    <row r="1116" spans="1:65" x14ac:dyDescent="0.25">
      <c r="A1116" s="6"/>
      <c r="B1116" s="6"/>
      <c r="C1116" s="6"/>
      <c r="D1116" s="6"/>
      <c r="E1116" s="6"/>
      <c r="F1116" s="21"/>
      <c r="G1116" s="10"/>
      <c r="H1116" s="7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  <c r="AC1116" s="6"/>
      <c r="AD1116" s="6"/>
      <c r="AE1116" s="6"/>
      <c r="AF1116" s="25"/>
      <c r="AG1116" s="7"/>
      <c r="AH1116" s="7"/>
      <c r="AI1116" s="7"/>
      <c r="AJ1116" s="6"/>
      <c r="AK1116" s="6"/>
      <c r="AL1116" s="6"/>
      <c r="AM1116" s="6"/>
      <c r="AN1116" s="6"/>
      <c r="AO1116" s="26"/>
      <c r="AP1116" s="11"/>
      <c r="AQ1116" s="7"/>
      <c r="AS1116" s="11"/>
      <c r="AT1116" s="6"/>
      <c r="AU1116" s="6"/>
      <c r="AV1116" s="6"/>
      <c r="AW1116" s="7"/>
      <c r="AX1116" s="6"/>
      <c r="AY1116" s="6"/>
      <c r="AZ1116" s="6"/>
      <c r="BA1116" s="6"/>
      <c r="BB1116" s="24"/>
      <c r="BD1116" s="6"/>
      <c r="BE1116" s="6"/>
      <c r="BF1116" s="6"/>
      <c r="BH1116" s="6"/>
      <c r="BI1116" s="6"/>
      <c r="BJ1116" s="6"/>
      <c r="BK1116" s="6"/>
      <c r="BL1116" s="6"/>
      <c r="BM1116" s="6"/>
    </row>
    <row r="1117" spans="1:65" x14ac:dyDescent="0.25">
      <c r="I1117" s="7"/>
      <c r="AH1117" s="7"/>
      <c r="AV1117" s="6"/>
    </row>
    <row r="1118" spans="1:65" x14ac:dyDescent="0.25">
      <c r="A1118" s="6"/>
      <c r="B1118" s="6"/>
      <c r="C1118" s="6"/>
      <c r="D1118" s="6"/>
      <c r="E1118" s="6"/>
      <c r="F1118" s="21"/>
      <c r="G1118" s="10"/>
      <c r="H1118" s="7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  <c r="AC1118" s="6"/>
      <c r="AD1118" s="6"/>
      <c r="AE1118" s="6"/>
      <c r="AF1118" s="25"/>
      <c r="AG1118" s="7"/>
      <c r="AH1118" s="7"/>
      <c r="AI1118" s="7"/>
      <c r="AJ1118" s="6"/>
      <c r="AK1118" s="6"/>
      <c r="AL1118" s="6"/>
      <c r="AM1118" s="6"/>
      <c r="AN1118" s="6"/>
      <c r="AO1118" s="26"/>
      <c r="AP1118" s="11"/>
      <c r="AQ1118" s="7"/>
      <c r="AS1118" s="11"/>
      <c r="AT1118" s="6"/>
      <c r="AU1118" s="6"/>
      <c r="AW1118" s="7"/>
      <c r="AX1118" s="6"/>
      <c r="AY1118" s="6"/>
      <c r="AZ1118" s="6"/>
      <c r="BA1118" s="6"/>
      <c r="BB1118" s="24"/>
      <c r="BD1118" s="6"/>
      <c r="BE1118" s="6"/>
      <c r="BF1118" s="6"/>
      <c r="BH1118" s="6"/>
      <c r="BI1118" s="6"/>
      <c r="BJ1118" s="6"/>
      <c r="BK1118" s="6"/>
      <c r="BL1118" s="6"/>
      <c r="BM1118" s="6"/>
    </row>
    <row r="1119" spans="1:65" x14ac:dyDescent="0.25">
      <c r="AV1119" s="6"/>
    </row>
    <row r="1120" spans="1:65" x14ac:dyDescent="0.25">
      <c r="I1120" s="7"/>
      <c r="AH1120" s="7"/>
      <c r="AV1120" s="6"/>
    </row>
    <row r="1121" spans="1:65" x14ac:dyDescent="0.25">
      <c r="A1121" s="6"/>
      <c r="B1121" s="6"/>
      <c r="C1121" s="6"/>
      <c r="D1121" s="6"/>
      <c r="E1121" s="6"/>
      <c r="F1121" s="21"/>
      <c r="G1121" s="10"/>
      <c r="H1121" s="7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  <c r="AC1121" s="6"/>
      <c r="AD1121" s="6"/>
      <c r="AE1121" s="6"/>
      <c r="AF1121" s="25"/>
      <c r="AG1121" s="7"/>
      <c r="AH1121" s="7"/>
      <c r="AI1121" s="7"/>
      <c r="AJ1121" s="6"/>
      <c r="AK1121" s="6"/>
      <c r="AL1121" s="6"/>
      <c r="AM1121" s="6"/>
      <c r="AN1121" s="6"/>
      <c r="AO1121" s="26"/>
      <c r="AP1121" s="11"/>
      <c r="AQ1121" s="7"/>
      <c r="AS1121" s="11"/>
      <c r="AT1121" s="6"/>
      <c r="AU1121" s="6"/>
      <c r="AW1121" s="7"/>
      <c r="AX1121" s="6"/>
      <c r="AY1121" s="6"/>
      <c r="AZ1121" s="6"/>
      <c r="BA1121" s="6"/>
      <c r="BB1121" s="24"/>
      <c r="BD1121" s="6"/>
      <c r="BE1121" s="6"/>
      <c r="BF1121" s="6"/>
      <c r="BH1121" s="6"/>
      <c r="BI1121" s="6"/>
      <c r="BJ1121" s="6"/>
      <c r="BK1121" s="6"/>
      <c r="BL1121" s="6"/>
      <c r="BM1121" s="6"/>
    </row>
    <row r="1122" spans="1:65" x14ac:dyDescent="0.25">
      <c r="A1122" s="6"/>
      <c r="B1122" s="6"/>
      <c r="C1122" s="6"/>
      <c r="D1122" s="6"/>
      <c r="E1122" s="6"/>
      <c r="F1122" s="21"/>
      <c r="G1122" s="10"/>
      <c r="H1122" s="7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  <c r="AC1122" s="6"/>
      <c r="AD1122" s="6"/>
      <c r="AE1122" s="6"/>
      <c r="AF1122" s="25"/>
      <c r="AG1122" s="7"/>
      <c r="AH1122" s="7"/>
      <c r="AI1122" s="7"/>
      <c r="AJ1122" s="6"/>
      <c r="AK1122" s="6"/>
      <c r="AL1122" s="6"/>
      <c r="AM1122" s="6"/>
      <c r="AN1122" s="6"/>
      <c r="AO1122" s="26"/>
      <c r="AP1122" s="11"/>
      <c r="AQ1122" s="7"/>
      <c r="AS1122" s="11"/>
      <c r="AT1122" s="6"/>
      <c r="AU1122" s="6"/>
      <c r="AV1122" s="6"/>
      <c r="AW1122" s="7"/>
      <c r="AX1122" s="6"/>
      <c r="AY1122" s="6"/>
      <c r="AZ1122" s="6"/>
      <c r="BA1122" s="6"/>
      <c r="BB1122" s="24"/>
      <c r="BD1122" s="6"/>
      <c r="BE1122" s="6"/>
      <c r="BF1122" s="6"/>
      <c r="BH1122" s="6"/>
      <c r="BI1122" s="6"/>
      <c r="BJ1122" s="6"/>
      <c r="BK1122" s="6"/>
      <c r="BL1122" s="6"/>
      <c r="BM1122" s="6"/>
    </row>
    <row r="1125" spans="1:65" x14ac:dyDescent="0.25">
      <c r="A1125" s="6"/>
      <c r="B1125" s="6"/>
      <c r="C1125" s="6"/>
      <c r="D1125" s="6"/>
      <c r="E1125" s="6"/>
      <c r="F1125" s="21"/>
      <c r="G1125" s="10"/>
      <c r="H1125" s="7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/>
      <c r="AC1125" s="6"/>
      <c r="AD1125" s="6"/>
      <c r="AE1125" s="6"/>
      <c r="AF1125" s="25"/>
      <c r="AG1125" s="7"/>
      <c r="AH1125" s="7"/>
      <c r="AI1125" s="7"/>
      <c r="AJ1125" s="6"/>
      <c r="AK1125" s="6"/>
      <c r="AL1125" s="6"/>
      <c r="AM1125" s="6"/>
      <c r="AN1125" s="6"/>
      <c r="AO1125" s="26"/>
      <c r="AP1125" s="11"/>
      <c r="AQ1125" s="7"/>
      <c r="AS1125" s="11"/>
      <c r="AT1125" s="6"/>
      <c r="AU1125" s="6"/>
      <c r="AV1125" s="6"/>
      <c r="AW1125" s="7"/>
      <c r="AX1125" s="6"/>
      <c r="AY1125" s="6"/>
      <c r="AZ1125" s="6"/>
      <c r="BA1125" s="6"/>
      <c r="BB1125" s="24"/>
      <c r="BD1125" s="6"/>
      <c r="BE1125" s="6"/>
      <c r="BF1125" s="6"/>
      <c r="BH1125" s="6"/>
      <c r="BI1125" s="6"/>
      <c r="BJ1125" s="6"/>
      <c r="BK1125" s="6"/>
      <c r="BL1125" s="6"/>
      <c r="BM1125" s="6"/>
    </row>
    <row r="1126" spans="1:65" x14ac:dyDescent="0.25">
      <c r="I1126" s="7"/>
      <c r="AH1126" s="7"/>
      <c r="AV1126" s="6"/>
    </row>
    <row r="1127" spans="1:65" x14ac:dyDescent="0.25">
      <c r="A1127" s="6"/>
      <c r="B1127" s="6"/>
      <c r="C1127" s="6"/>
      <c r="D1127" s="6"/>
      <c r="E1127" s="6"/>
      <c r="F1127" s="21"/>
      <c r="G1127" s="10"/>
      <c r="H1127" s="7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  <c r="AC1127" s="6"/>
      <c r="AD1127" s="6"/>
      <c r="AE1127" s="6"/>
      <c r="AF1127" s="25"/>
      <c r="AG1127" s="7"/>
      <c r="AH1127" s="7"/>
      <c r="AI1127" s="7"/>
      <c r="AJ1127" s="6"/>
      <c r="AK1127" s="6"/>
      <c r="AL1127" s="6"/>
      <c r="AM1127" s="6"/>
      <c r="AN1127" s="6"/>
      <c r="AO1127" s="26"/>
      <c r="AP1127" s="11"/>
      <c r="AQ1127" s="7"/>
      <c r="AS1127" s="11"/>
      <c r="AT1127" s="6"/>
      <c r="AU1127" s="6"/>
      <c r="AW1127" s="7"/>
      <c r="AX1127" s="6"/>
      <c r="AY1127" s="6"/>
      <c r="AZ1127" s="6"/>
      <c r="BA1127" s="6"/>
      <c r="BB1127" s="24"/>
      <c r="BD1127" s="6"/>
      <c r="BE1127" s="6"/>
      <c r="BF1127" s="6"/>
      <c r="BH1127" s="6"/>
      <c r="BI1127" s="6"/>
      <c r="BJ1127" s="6"/>
      <c r="BK1127" s="6"/>
      <c r="BL1127" s="6"/>
      <c r="BM1127" s="6"/>
    </row>
    <row r="1128" spans="1:65" x14ac:dyDescent="0.25">
      <c r="AV1128" s="6"/>
    </row>
    <row r="1129" spans="1:65" x14ac:dyDescent="0.25">
      <c r="I1129" s="7"/>
      <c r="AH1129" s="7"/>
      <c r="AV1129" s="6"/>
    </row>
    <row r="1130" spans="1:65" x14ac:dyDescent="0.25">
      <c r="A1130" s="6"/>
      <c r="B1130" s="6"/>
      <c r="C1130" s="6"/>
      <c r="D1130" s="6"/>
      <c r="E1130" s="6"/>
      <c r="F1130" s="21"/>
      <c r="G1130" s="10"/>
      <c r="H1130" s="7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  <c r="AC1130" s="6"/>
      <c r="AD1130" s="6"/>
      <c r="AE1130" s="6"/>
      <c r="AF1130" s="25"/>
      <c r="AG1130" s="7"/>
      <c r="AH1130" s="7"/>
      <c r="AI1130" s="7"/>
      <c r="AJ1130" s="6"/>
      <c r="AK1130" s="6"/>
      <c r="AL1130" s="6"/>
      <c r="AM1130" s="6"/>
      <c r="AN1130" s="6"/>
      <c r="AO1130" s="26"/>
      <c r="AP1130" s="11"/>
      <c r="AQ1130" s="7"/>
      <c r="AS1130" s="11"/>
      <c r="AT1130" s="6"/>
      <c r="AU1130" s="6"/>
      <c r="AW1130" s="7"/>
      <c r="AX1130" s="6"/>
      <c r="AY1130" s="6"/>
      <c r="AZ1130" s="6"/>
      <c r="BA1130" s="6"/>
      <c r="BB1130" s="24"/>
      <c r="BD1130" s="6"/>
      <c r="BE1130" s="6"/>
      <c r="BF1130" s="6"/>
      <c r="BH1130" s="6"/>
      <c r="BI1130" s="6"/>
      <c r="BJ1130" s="6"/>
      <c r="BK1130" s="6"/>
      <c r="BL1130" s="6"/>
      <c r="BM1130" s="6"/>
    </row>
    <row r="1131" spans="1:65" x14ac:dyDescent="0.25">
      <c r="A1131" s="6"/>
      <c r="B1131" s="6"/>
      <c r="C1131" s="6"/>
      <c r="D1131" s="6"/>
      <c r="E1131" s="6"/>
      <c r="F1131" s="21"/>
      <c r="G1131" s="10"/>
      <c r="H1131" s="7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  <c r="AC1131" s="6"/>
      <c r="AD1131" s="6"/>
      <c r="AE1131" s="6"/>
      <c r="AF1131" s="25"/>
      <c r="AG1131" s="7"/>
      <c r="AH1131" s="7"/>
      <c r="AI1131" s="7"/>
      <c r="AJ1131" s="6"/>
      <c r="AK1131" s="6"/>
      <c r="AL1131" s="6"/>
      <c r="AM1131" s="6"/>
      <c r="AN1131" s="6"/>
      <c r="AO1131" s="26"/>
      <c r="AP1131" s="11"/>
      <c r="AQ1131" s="7"/>
      <c r="AS1131" s="11"/>
      <c r="AT1131" s="6"/>
      <c r="AU1131" s="6"/>
      <c r="AV1131" s="6"/>
      <c r="AW1131" s="7"/>
      <c r="AX1131" s="6"/>
      <c r="AY1131" s="6"/>
      <c r="AZ1131" s="6"/>
      <c r="BA1131" s="6"/>
      <c r="BB1131" s="24"/>
      <c r="BD1131" s="6"/>
      <c r="BE1131" s="6"/>
      <c r="BF1131" s="6"/>
      <c r="BH1131" s="6"/>
      <c r="BI1131" s="6"/>
      <c r="BJ1131" s="6"/>
      <c r="BK1131" s="6"/>
      <c r="BL1131" s="6"/>
      <c r="BM1131" s="6"/>
    </row>
    <row r="1134" spans="1:65" x14ac:dyDescent="0.25">
      <c r="A1134" s="6"/>
      <c r="B1134" s="6"/>
      <c r="C1134" s="6"/>
      <c r="D1134" s="6"/>
      <c r="E1134" s="6"/>
      <c r="F1134" s="21"/>
      <c r="G1134" s="10"/>
      <c r="H1134" s="7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  <c r="AC1134" s="6"/>
      <c r="AD1134" s="6"/>
      <c r="AE1134" s="6"/>
      <c r="AF1134" s="25"/>
      <c r="AG1134" s="7"/>
      <c r="AH1134" s="7"/>
      <c r="AI1134" s="7"/>
      <c r="AJ1134" s="6"/>
      <c r="AK1134" s="6"/>
      <c r="AL1134" s="6"/>
      <c r="AM1134" s="6"/>
      <c r="AN1134" s="6"/>
      <c r="AO1134" s="26"/>
      <c r="AP1134" s="11"/>
      <c r="AQ1134" s="7"/>
      <c r="AS1134" s="11"/>
      <c r="AT1134" s="6"/>
      <c r="AU1134" s="6"/>
      <c r="AV1134" s="6"/>
      <c r="AW1134" s="7"/>
      <c r="AX1134" s="6"/>
      <c r="AY1134" s="6"/>
      <c r="AZ1134" s="6"/>
      <c r="BA1134" s="6"/>
      <c r="BB1134" s="24"/>
      <c r="BD1134" s="6"/>
      <c r="BE1134" s="6"/>
      <c r="BF1134" s="6"/>
      <c r="BH1134" s="6"/>
      <c r="BI1134" s="6"/>
      <c r="BJ1134" s="6"/>
      <c r="BK1134" s="6"/>
      <c r="BL1134" s="6"/>
      <c r="BM1134" s="6"/>
    </row>
    <row r="1135" spans="1:65" x14ac:dyDescent="0.25">
      <c r="I1135" s="7"/>
      <c r="AH1135" s="7"/>
      <c r="AV1135" s="6"/>
    </row>
    <row r="1136" spans="1:65" x14ac:dyDescent="0.25">
      <c r="A1136" s="6"/>
      <c r="B1136" s="6"/>
      <c r="C1136" s="6"/>
      <c r="D1136" s="6"/>
      <c r="E1136" s="6"/>
      <c r="F1136" s="21"/>
      <c r="G1136" s="10"/>
      <c r="H1136" s="7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  <c r="AD1136" s="6"/>
      <c r="AE1136" s="6"/>
      <c r="AF1136" s="25"/>
      <c r="AG1136" s="7"/>
      <c r="AH1136" s="7"/>
      <c r="AI1136" s="7"/>
      <c r="AJ1136" s="6"/>
      <c r="AK1136" s="6"/>
      <c r="AL1136" s="6"/>
      <c r="AM1136" s="6"/>
      <c r="AN1136" s="6"/>
      <c r="AO1136" s="26"/>
      <c r="AP1136" s="11"/>
      <c r="AQ1136" s="7"/>
      <c r="AS1136" s="11"/>
      <c r="AT1136" s="6"/>
      <c r="AU1136" s="6"/>
      <c r="AW1136" s="7"/>
      <c r="AX1136" s="6"/>
      <c r="AY1136" s="6"/>
      <c r="AZ1136" s="6"/>
      <c r="BA1136" s="6"/>
      <c r="BB1136" s="24"/>
      <c r="BD1136" s="6"/>
      <c r="BE1136" s="6"/>
      <c r="BF1136" s="6"/>
      <c r="BH1136" s="6"/>
      <c r="BI1136" s="6"/>
      <c r="BJ1136" s="6"/>
      <c r="BK1136" s="6"/>
      <c r="BL1136" s="6"/>
      <c r="BM1136" s="6"/>
    </row>
    <row r="1137" spans="1:65" x14ac:dyDescent="0.25">
      <c r="AV1137" s="6"/>
    </row>
    <row r="1138" spans="1:65" x14ac:dyDescent="0.25">
      <c r="I1138" s="7"/>
      <c r="AH1138" s="7"/>
      <c r="AV1138" s="6"/>
    </row>
    <row r="1139" spans="1:65" x14ac:dyDescent="0.25">
      <c r="A1139" s="6"/>
      <c r="B1139" s="6"/>
      <c r="C1139" s="6"/>
      <c r="D1139" s="6"/>
      <c r="E1139" s="6"/>
      <c r="F1139" s="21"/>
      <c r="G1139" s="10"/>
      <c r="H1139" s="7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  <c r="AD1139" s="6"/>
      <c r="AE1139" s="6"/>
      <c r="AF1139" s="25"/>
      <c r="AG1139" s="7"/>
      <c r="AH1139" s="7"/>
      <c r="AI1139" s="7"/>
      <c r="AJ1139" s="6"/>
      <c r="AK1139" s="6"/>
      <c r="AL1139" s="6"/>
      <c r="AM1139" s="6"/>
      <c r="AN1139" s="6"/>
      <c r="AO1139" s="26"/>
      <c r="AP1139" s="11"/>
      <c r="AQ1139" s="7"/>
      <c r="AS1139" s="11"/>
      <c r="AT1139" s="6"/>
      <c r="AU1139" s="6"/>
      <c r="AW1139" s="7"/>
      <c r="AX1139" s="6"/>
      <c r="AY1139" s="6"/>
      <c r="AZ1139" s="6"/>
      <c r="BA1139" s="6"/>
      <c r="BB1139" s="24"/>
      <c r="BD1139" s="6"/>
      <c r="BE1139" s="6"/>
      <c r="BF1139" s="6"/>
      <c r="BH1139" s="6"/>
      <c r="BI1139" s="6"/>
      <c r="BJ1139" s="6"/>
      <c r="BK1139" s="6"/>
      <c r="BL1139" s="6"/>
      <c r="BM1139" s="6"/>
    </row>
    <row r="1140" spans="1:65" x14ac:dyDescent="0.25">
      <c r="A1140" s="6"/>
      <c r="B1140" s="6"/>
      <c r="C1140" s="6"/>
      <c r="D1140" s="6"/>
      <c r="E1140" s="6"/>
      <c r="F1140" s="21"/>
      <c r="G1140" s="10"/>
      <c r="H1140" s="7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  <c r="AD1140" s="6"/>
      <c r="AE1140" s="6"/>
      <c r="AF1140" s="25"/>
      <c r="AG1140" s="7"/>
      <c r="AH1140" s="7"/>
      <c r="AI1140" s="7"/>
      <c r="AJ1140" s="6"/>
      <c r="AK1140" s="6"/>
      <c r="AL1140" s="6"/>
      <c r="AM1140" s="6"/>
      <c r="AN1140" s="6"/>
      <c r="AO1140" s="26"/>
      <c r="AP1140" s="11"/>
      <c r="AQ1140" s="7"/>
      <c r="AS1140" s="11"/>
      <c r="AT1140" s="6"/>
      <c r="AU1140" s="6"/>
      <c r="AV1140" s="6"/>
      <c r="AW1140" s="7"/>
      <c r="AX1140" s="6"/>
      <c r="AY1140" s="6"/>
      <c r="AZ1140" s="6"/>
      <c r="BA1140" s="6"/>
      <c r="BB1140" s="24"/>
      <c r="BD1140" s="6"/>
      <c r="BE1140" s="6"/>
      <c r="BF1140" s="6"/>
      <c r="BH1140" s="6"/>
      <c r="BI1140" s="6"/>
      <c r="BJ1140" s="6"/>
      <c r="BK1140" s="6"/>
      <c r="BL1140" s="6"/>
      <c r="BM1140" s="6"/>
    </row>
    <row r="1143" spans="1:65" x14ac:dyDescent="0.25">
      <c r="A1143" s="6"/>
      <c r="B1143" s="6"/>
      <c r="C1143" s="6"/>
      <c r="D1143" s="6"/>
      <c r="E1143" s="6"/>
      <c r="F1143" s="21"/>
      <c r="G1143" s="10"/>
      <c r="H1143" s="7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  <c r="AC1143" s="6"/>
      <c r="AD1143" s="6"/>
      <c r="AE1143" s="6"/>
      <c r="AF1143" s="25"/>
      <c r="AG1143" s="7"/>
      <c r="AH1143" s="7"/>
      <c r="AI1143" s="7"/>
      <c r="AJ1143" s="6"/>
      <c r="AK1143" s="6"/>
      <c r="AL1143" s="6"/>
      <c r="AM1143" s="6"/>
      <c r="AN1143" s="6"/>
      <c r="AO1143" s="26"/>
      <c r="AP1143" s="11"/>
      <c r="AQ1143" s="7"/>
      <c r="AS1143" s="11"/>
      <c r="AT1143" s="6"/>
      <c r="AU1143" s="6"/>
      <c r="AV1143" s="6"/>
      <c r="AW1143" s="7"/>
      <c r="AX1143" s="6"/>
      <c r="AY1143" s="6"/>
      <c r="AZ1143" s="6"/>
      <c r="BA1143" s="6"/>
      <c r="BB1143" s="24"/>
      <c r="BD1143" s="6"/>
      <c r="BE1143" s="6"/>
      <c r="BF1143" s="6"/>
      <c r="BH1143" s="6"/>
      <c r="BI1143" s="6"/>
      <c r="BJ1143" s="6"/>
      <c r="BK1143" s="6"/>
      <c r="BL1143" s="6"/>
      <c r="BM1143" s="6"/>
    </row>
    <row r="1144" spans="1:65" x14ac:dyDescent="0.25">
      <c r="I1144" s="7"/>
      <c r="AH1144" s="7"/>
      <c r="AV1144" s="6"/>
    </row>
    <row r="1145" spans="1:65" x14ac:dyDescent="0.25">
      <c r="A1145" s="6"/>
      <c r="B1145" s="6"/>
      <c r="C1145" s="6"/>
      <c r="D1145" s="6"/>
      <c r="E1145" s="6"/>
      <c r="F1145" s="21"/>
      <c r="G1145" s="10"/>
      <c r="H1145" s="7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  <c r="AC1145" s="6"/>
      <c r="AD1145" s="6"/>
      <c r="AE1145" s="6"/>
      <c r="AF1145" s="25"/>
      <c r="AG1145" s="7"/>
      <c r="AH1145" s="7"/>
      <c r="AI1145" s="7"/>
      <c r="AJ1145" s="6"/>
      <c r="AK1145" s="6"/>
      <c r="AL1145" s="6"/>
      <c r="AM1145" s="6"/>
      <c r="AN1145" s="6"/>
      <c r="AO1145" s="26"/>
      <c r="AP1145" s="11"/>
      <c r="AQ1145" s="7"/>
      <c r="AS1145" s="11"/>
      <c r="AT1145" s="6"/>
      <c r="AU1145" s="6"/>
      <c r="AW1145" s="7"/>
      <c r="AX1145" s="6"/>
      <c r="AY1145" s="6"/>
      <c r="AZ1145" s="6"/>
      <c r="BA1145" s="6"/>
      <c r="BB1145" s="24"/>
      <c r="BD1145" s="6"/>
      <c r="BE1145" s="6"/>
      <c r="BF1145" s="6"/>
      <c r="BH1145" s="6"/>
      <c r="BI1145" s="6"/>
      <c r="BJ1145" s="6"/>
      <c r="BK1145" s="6"/>
      <c r="BL1145" s="6"/>
      <c r="BM1145" s="6"/>
    </row>
    <row r="1146" spans="1:65" x14ac:dyDescent="0.25">
      <c r="AV1146" s="6"/>
    </row>
    <row r="1147" spans="1:65" x14ac:dyDescent="0.25">
      <c r="I1147" s="7"/>
      <c r="AH1147" s="7"/>
      <c r="AV1147" s="6"/>
    </row>
    <row r="1148" spans="1:65" x14ac:dyDescent="0.25">
      <c r="A1148" s="6"/>
      <c r="B1148" s="6"/>
      <c r="C1148" s="6"/>
      <c r="D1148" s="6"/>
      <c r="E1148" s="6"/>
      <c r="F1148" s="21"/>
      <c r="G1148" s="10"/>
      <c r="H1148" s="7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  <c r="AC1148" s="6"/>
      <c r="AD1148" s="6"/>
      <c r="AE1148" s="6"/>
      <c r="AF1148" s="25"/>
      <c r="AG1148" s="7"/>
      <c r="AH1148" s="7"/>
      <c r="AI1148" s="7"/>
      <c r="AJ1148" s="6"/>
      <c r="AK1148" s="6"/>
      <c r="AL1148" s="6"/>
      <c r="AM1148" s="6"/>
      <c r="AN1148" s="6"/>
      <c r="AO1148" s="26"/>
      <c r="AP1148" s="11"/>
      <c r="AQ1148" s="7"/>
      <c r="AS1148" s="11"/>
      <c r="AT1148" s="6"/>
      <c r="AU1148" s="6"/>
      <c r="AW1148" s="7"/>
      <c r="AX1148" s="6"/>
      <c r="AY1148" s="6"/>
      <c r="AZ1148" s="6"/>
      <c r="BA1148" s="6"/>
      <c r="BB1148" s="24"/>
      <c r="BD1148" s="6"/>
      <c r="BE1148" s="6"/>
      <c r="BF1148" s="6"/>
      <c r="BH1148" s="6"/>
      <c r="BI1148" s="6"/>
      <c r="BJ1148" s="6"/>
      <c r="BK1148" s="6"/>
      <c r="BL1148" s="6"/>
      <c r="BM1148" s="6"/>
    </row>
    <row r="1149" spans="1:65" x14ac:dyDescent="0.25">
      <c r="A1149" s="6"/>
      <c r="B1149" s="6"/>
      <c r="C1149" s="6"/>
      <c r="D1149" s="6"/>
      <c r="E1149" s="6"/>
      <c r="F1149" s="21"/>
      <c r="G1149" s="10"/>
      <c r="H1149" s="7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/>
      <c r="AC1149" s="6"/>
      <c r="AD1149" s="6"/>
      <c r="AE1149" s="6"/>
      <c r="AF1149" s="25"/>
      <c r="AG1149" s="7"/>
      <c r="AH1149" s="7"/>
      <c r="AI1149" s="7"/>
      <c r="AJ1149" s="6"/>
      <c r="AK1149" s="6"/>
      <c r="AL1149" s="6"/>
      <c r="AM1149" s="6"/>
      <c r="AN1149" s="6"/>
      <c r="AO1149" s="26"/>
      <c r="AP1149" s="11"/>
      <c r="AQ1149" s="7"/>
      <c r="AS1149" s="11"/>
      <c r="AT1149" s="6"/>
      <c r="AU1149" s="6"/>
      <c r="AV1149" s="6"/>
      <c r="AW1149" s="7"/>
      <c r="AX1149" s="6"/>
      <c r="AY1149" s="6"/>
      <c r="AZ1149" s="6"/>
      <c r="BA1149" s="6"/>
      <c r="BB1149" s="24"/>
      <c r="BD1149" s="6"/>
      <c r="BE1149" s="6"/>
      <c r="BF1149" s="6"/>
      <c r="BH1149" s="6"/>
      <c r="BI1149" s="6"/>
      <c r="BJ1149" s="6"/>
      <c r="BK1149" s="6"/>
      <c r="BL1149" s="6"/>
      <c r="BM1149" s="6"/>
    </row>
    <row r="1152" spans="1:65" x14ac:dyDescent="0.25">
      <c r="A1152" s="6"/>
      <c r="B1152" s="6"/>
      <c r="C1152" s="6"/>
      <c r="D1152" s="6"/>
      <c r="E1152" s="6"/>
      <c r="F1152" s="21"/>
      <c r="G1152" s="10"/>
      <c r="H1152" s="7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/>
      <c r="AC1152" s="6"/>
      <c r="AD1152" s="6"/>
      <c r="AE1152" s="6"/>
      <c r="AF1152" s="25"/>
      <c r="AG1152" s="7"/>
      <c r="AH1152" s="7"/>
      <c r="AI1152" s="7"/>
      <c r="AJ1152" s="6"/>
      <c r="AK1152" s="6"/>
      <c r="AL1152" s="6"/>
      <c r="AM1152" s="6"/>
      <c r="AN1152" s="6"/>
      <c r="AO1152" s="26"/>
      <c r="AP1152" s="11"/>
      <c r="AQ1152" s="7"/>
      <c r="AS1152" s="11"/>
      <c r="AT1152" s="6"/>
      <c r="AU1152" s="6"/>
      <c r="AV1152" s="6"/>
      <c r="AW1152" s="7"/>
      <c r="AX1152" s="6"/>
      <c r="AY1152" s="6"/>
      <c r="AZ1152" s="6"/>
      <c r="BA1152" s="6"/>
      <c r="BB1152" s="24"/>
      <c r="BD1152" s="6"/>
      <c r="BE1152" s="6"/>
      <c r="BF1152" s="6"/>
      <c r="BH1152" s="6"/>
      <c r="BI1152" s="6"/>
      <c r="BJ1152" s="6"/>
      <c r="BK1152" s="6"/>
      <c r="BL1152" s="6"/>
      <c r="BM1152" s="6"/>
    </row>
    <row r="1153" spans="1:65" x14ac:dyDescent="0.25">
      <c r="I1153" s="7"/>
      <c r="AH1153" s="7"/>
      <c r="AV1153" s="6"/>
    </row>
    <row r="1154" spans="1:65" x14ac:dyDescent="0.25">
      <c r="A1154" s="6"/>
      <c r="B1154" s="6"/>
      <c r="C1154" s="6"/>
      <c r="D1154" s="6"/>
      <c r="E1154" s="6"/>
      <c r="F1154" s="21"/>
      <c r="G1154" s="10"/>
      <c r="H1154" s="7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  <c r="AC1154" s="6"/>
      <c r="AD1154" s="6"/>
      <c r="AE1154" s="6"/>
      <c r="AF1154" s="25"/>
      <c r="AG1154" s="7"/>
      <c r="AH1154" s="7"/>
      <c r="AI1154" s="7"/>
      <c r="AJ1154" s="6"/>
      <c r="AK1154" s="6"/>
      <c r="AL1154" s="6"/>
      <c r="AM1154" s="6"/>
      <c r="AN1154" s="6"/>
      <c r="AO1154" s="26"/>
      <c r="AP1154" s="11"/>
      <c r="AQ1154" s="7"/>
      <c r="AS1154" s="11"/>
      <c r="AT1154" s="6"/>
      <c r="AU1154" s="6"/>
      <c r="AW1154" s="7"/>
      <c r="AX1154" s="6"/>
      <c r="AY1154" s="6"/>
      <c r="AZ1154" s="6"/>
      <c r="BA1154" s="6"/>
      <c r="BB1154" s="24"/>
      <c r="BD1154" s="6"/>
      <c r="BE1154" s="6"/>
      <c r="BF1154" s="6"/>
      <c r="BH1154" s="6"/>
      <c r="BI1154" s="6"/>
      <c r="BJ1154" s="6"/>
      <c r="BK1154" s="6"/>
      <c r="BL1154" s="6"/>
      <c r="BM1154" s="6"/>
    </row>
    <row r="1155" spans="1:65" x14ac:dyDescent="0.25">
      <c r="AV1155" s="6"/>
    </row>
    <row r="1156" spans="1:65" x14ac:dyDescent="0.25">
      <c r="I1156" s="7"/>
      <c r="AH1156" s="7"/>
      <c r="AV1156" s="6"/>
    </row>
    <row r="1157" spans="1:65" x14ac:dyDescent="0.25">
      <c r="A1157" s="6"/>
      <c r="B1157" s="6"/>
      <c r="C1157" s="6"/>
      <c r="D1157" s="6"/>
      <c r="E1157" s="6"/>
      <c r="F1157" s="21"/>
      <c r="G1157" s="10"/>
      <c r="H1157" s="7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  <c r="AC1157" s="6"/>
      <c r="AD1157" s="6"/>
      <c r="AE1157" s="6"/>
      <c r="AF1157" s="25"/>
      <c r="AG1157" s="7"/>
      <c r="AH1157" s="7"/>
      <c r="AI1157" s="7"/>
      <c r="AJ1157" s="6"/>
      <c r="AK1157" s="6"/>
      <c r="AL1157" s="6"/>
      <c r="AM1157" s="6"/>
      <c r="AN1157" s="6"/>
      <c r="AO1157" s="26"/>
      <c r="AP1157" s="11"/>
      <c r="AQ1157" s="7"/>
      <c r="AS1157" s="11"/>
      <c r="AT1157" s="6"/>
      <c r="AU1157" s="6"/>
      <c r="AW1157" s="7"/>
      <c r="AX1157" s="6"/>
      <c r="AY1157" s="6"/>
      <c r="AZ1157" s="6"/>
      <c r="BA1157" s="6"/>
      <c r="BB1157" s="24"/>
      <c r="BD1157" s="6"/>
      <c r="BE1157" s="6"/>
      <c r="BF1157" s="6"/>
      <c r="BH1157" s="6"/>
      <c r="BI1157" s="6"/>
      <c r="BJ1157" s="6"/>
      <c r="BK1157" s="6"/>
      <c r="BL1157" s="6"/>
      <c r="BM1157" s="6"/>
    </row>
    <row r="1158" spans="1:65" x14ac:dyDescent="0.25">
      <c r="A1158" s="6"/>
      <c r="B1158" s="6"/>
      <c r="C1158" s="6"/>
      <c r="D1158" s="6"/>
      <c r="E1158" s="6"/>
      <c r="F1158" s="21"/>
      <c r="G1158" s="10"/>
      <c r="H1158" s="7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  <c r="AC1158" s="6"/>
      <c r="AD1158" s="6"/>
      <c r="AE1158" s="6"/>
      <c r="AF1158" s="25"/>
      <c r="AG1158" s="7"/>
      <c r="AH1158" s="7"/>
      <c r="AI1158" s="7"/>
      <c r="AJ1158" s="6"/>
      <c r="AK1158" s="6"/>
      <c r="AL1158" s="6"/>
      <c r="AM1158" s="6"/>
      <c r="AN1158" s="6"/>
      <c r="AO1158" s="26"/>
      <c r="AP1158" s="11"/>
      <c r="AQ1158" s="7"/>
      <c r="AS1158" s="11"/>
      <c r="AT1158" s="6"/>
      <c r="AU1158" s="6"/>
      <c r="AV1158" s="6"/>
      <c r="AW1158" s="7"/>
      <c r="AX1158" s="6"/>
      <c r="AY1158" s="6"/>
      <c r="AZ1158" s="6"/>
      <c r="BA1158" s="6"/>
      <c r="BB1158" s="24"/>
      <c r="BD1158" s="6"/>
      <c r="BE1158" s="6"/>
      <c r="BF1158" s="6"/>
      <c r="BH1158" s="6"/>
      <c r="BI1158" s="6"/>
      <c r="BJ1158" s="6"/>
      <c r="BK1158" s="6"/>
      <c r="BL1158" s="6"/>
      <c r="BM1158" s="6"/>
    </row>
    <row r="1161" spans="1:65" x14ac:dyDescent="0.25">
      <c r="A1161" s="6"/>
      <c r="B1161" s="6"/>
      <c r="C1161" s="6"/>
      <c r="D1161" s="6"/>
      <c r="E1161" s="6"/>
      <c r="F1161" s="21"/>
      <c r="G1161" s="10"/>
      <c r="H1161" s="7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/>
      <c r="AC1161" s="6"/>
      <c r="AD1161" s="6"/>
      <c r="AE1161" s="6"/>
      <c r="AF1161" s="25"/>
      <c r="AG1161" s="7"/>
      <c r="AH1161" s="7"/>
      <c r="AI1161" s="7"/>
      <c r="AJ1161" s="6"/>
      <c r="AK1161" s="6"/>
      <c r="AL1161" s="6"/>
      <c r="AM1161" s="6"/>
      <c r="AN1161" s="6"/>
      <c r="AO1161" s="26"/>
      <c r="AP1161" s="11"/>
      <c r="AQ1161" s="7"/>
      <c r="AS1161" s="11"/>
      <c r="AT1161" s="6"/>
      <c r="AU1161" s="6"/>
      <c r="AV1161" s="6"/>
      <c r="AW1161" s="7"/>
      <c r="AX1161" s="6"/>
      <c r="AY1161" s="6"/>
      <c r="AZ1161" s="6"/>
      <c r="BA1161" s="6"/>
      <c r="BB1161" s="24"/>
      <c r="BD1161" s="6"/>
      <c r="BE1161" s="6"/>
      <c r="BF1161" s="6"/>
      <c r="BH1161" s="6"/>
      <c r="BI1161" s="6"/>
      <c r="BJ1161" s="6"/>
      <c r="BK1161" s="6"/>
      <c r="BL1161" s="6"/>
      <c r="BM1161" s="6"/>
    </row>
    <row r="1162" spans="1:65" x14ac:dyDescent="0.25">
      <c r="I1162" s="7"/>
      <c r="AH1162" s="7"/>
      <c r="AV1162" s="6"/>
    </row>
    <row r="1163" spans="1:65" x14ac:dyDescent="0.25">
      <c r="A1163" s="6"/>
      <c r="B1163" s="6"/>
      <c r="C1163" s="6"/>
      <c r="D1163" s="6"/>
      <c r="E1163" s="6"/>
      <c r="F1163" s="21"/>
      <c r="G1163" s="10"/>
      <c r="H1163" s="7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/>
      <c r="AC1163" s="6"/>
      <c r="AD1163" s="6"/>
      <c r="AE1163" s="6"/>
      <c r="AF1163" s="25"/>
      <c r="AG1163" s="7"/>
      <c r="AH1163" s="7"/>
      <c r="AI1163" s="7"/>
      <c r="AJ1163" s="6"/>
      <c r="AK1163" s="6"/>
      <c r="AL1163" s="6"/>
      <c r="AM1163" s="6"/>
      <c r="AN1163" s="6"/>
      <c r="AO1163" s="26"/>
      <c r="AP1163" s="11"/>
      <c r="AQ1163" s="7"/>
      <c r="AS1163" s="11"/>
      <c r="AT1163" s="6"/>
      <c r="AU1163" s="6"/>
      <c r="AW1163" s="7"/>
      <c r="AX1163" s="6"/>
      <c r="AY1163" s="6"/>
      <c r="AZ1163" s="6"/>
      <c r="BA1163" s="6"/>
      <c r="BB1163" s="24"/>
      <c r="BD1163" s="6"/>
      <c r="BE1163" s="6"/>
      <c r="BF1163" s="6"/>
      <c r="BH1163" s="6"/>
      <c r="BI1163" s="6"/>
      <c r="BJ1163" s="6"/>
      <c r="BK1163" s="6"/>
      <c r="BL1163" s="6"/>
      <c r="BM1163" s="6"/>
    </row>
    <row r="1164" spans="1:65" x14ac:dyDescent="0.25">
      <c r="AV1164" s="6"/>
    </row>
    <row r="1165" spans="1:65" x14ac:dyDescent="0.25">
      <c r="I1165" s="7"/>
      <c r="AH1165" s="7"/>
      <c r="AV1165" s="6"/>
    </row>
    <row r="1166" spans="1:65" x14ac:dyDescent="0.25">
      <c r="A1166" s="6"/>
      <c r="B1166" s="6"/>
      <c r="C1166" s="6"/>
      <c r="D1166" s="6"/>
      <c r="E1166" s="6"/>
      <c r="F1166" s="21"/>
      <c r="G1166" s="10"/>
      <c r="H1166" s="7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/>
      <c r="AC1166" s="6"/>
      <c r="AD1166" s="6"/>
      <c r="AE1166" s="6"/>
      <c r="AF1166" s="25"/>
      <c r="AG1166" s="7"/>
      <c r="AH1166" s="7"/>
      <c r="AI1166" s="7"/>
      <c r="AJ1166" s="6"/>
      <c r="AK1166" s="6"/>
      <c r="AL1166" s="6"/>
      <c r="AM1166" s="6"/>
      <c r="AN1166" s="6"/>
      <c r="AO1166" s="26"/>
      <c r="AP1166" s="11"/>
      <c r="AQ1166" s="7"/>
      <c r="AS1166" s="11"/>
      <c r="AT1166" s="6"/>
      <c r="AU1166" s="6"/>
      <c r="AW1166" s="7"/>
      <c r="AX1166" s="6"/>
      <c r="AY1166" s="6"/>
      <c r="AZ1166" s="6"/>
      <c r="BA1166" s="6"/>
      <c r="BB1166" s="24"/>
      <c r="BD1166" s="6"/>
      <c r="BE1166" s="6"/>
      <c r="BF1166" s="6"/>
      <c r="BH1166" s="6"/>
      <c r="BI1166" s="6"/>
      <c r="BJ1166" s="6"/>
      <c r="BK1166" s="6"/>
      <c r="BL1166" s="6"/>
      <c r="BM1166" s="6"/>
    </row>
    <row r="1167" spans="1:65" x14ac:dyDescent="0.25">
      <c r="A1167" s="6"/>
      <c r="B1167" s="6"/>
      <c r="C1167" s="6"/>
      <c r="D1167" s="6"/>
      <c r="E1167" s="6"/>
      <c r="F1167" s="21"/>
      <c r="G1167" s="10"/>
      <c r="H1167" s="7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  <c r="AC1167" s="6"/>
      <c r="AD1167" s="6"/>
      <c r="AE1167" s="6"/>
      <c r="AF1167" s="25"/>
      <c r="AG1167" s="7"/>
      <c r="AH1167" s="7"/>
      <c r="AI1167" s="7"/>
      <c r="AJ1167" s="6"/>
      <c r="AK1167" s="6"/>
      <c r="AL1167" s="6"/>
      <c r="AM1167" s="6"/>
      <c r="AN1167" s="6"/>
      <c r="AO1167" s="26"/>
      <c r="AP1167" s="11"/>
      <c r="AQ1167" s="7"/>
      <c r="AS1167" s="11"/>
      <c r="AT1167" s="6"/>
      <c r="AU1167" s="6"/>
      <c r="AV1167" s="6"/>
      <c r="AW1167" s="7"/>
      <c r="AX1167" s="6"/>
      <c r="AY1167" s="6"/>
      <c r="AZ1167" s="6"/>
      <c r="BA1167" s="6"/>
      <c r="BB1167" s="24"/>
      <c r="BD1167" s="6"/>
      <c r="BE1167" s="6"/>
      <c r="BF1167" s="6"/>
      <c r="BH1167" s="6"/>
      <c r="BI1167" s="6"/>
      <c r="BJ1167" s="6"/>
      <c r="BK1167" s="6"/>
      <c r="BL1167" s="6"/>
      <c r="BM1167" s="6"/>
    </row>
    <row r="1170" spans="1:65" x14ac:dyDescent="0.25">
      <c r="A1170" s="6"/>
      <c r="B1170" s="6"/>
      <c r="C1170" s="6"/>
      <c r="D1170" s="6"/>
      <c r="E1170" s="6"/>
      <c r="F1170" s="21"/>
      <c r="G1170" s="10"/>
      <c r="H1170" s="7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/>
      <c r="AC1170" s="6"/>
      <c r="AD1170" s="6"/>
      <c r="AE1170" s="6"/>
      <c r="AF1170" s="25"/>
      <c r="AG1170" s="7"/>
      <c r="AH1170" s="7"/>
      <c r="AI1170" s="7"/>
      <c r="AJ1170" s="6"/>
      <c r="AK1170" s="6"/>
      <c r="AL1170" s="6"/>
      <c r="AM1170" s="6"/>
      <c r="AN1170" s="6"/>
      <c r="AO1170" s="26"/>
      <c r="AP1170" s="11"/>
      <c r="AQ1170" s="7"/>
      <c r="AS1170" s="11"/>
      <c r="AT1170" s="6"/>
      <c r="AU1170" s="6"/>
      <c r="AV1170" s="6"/>
      <c r="AW1170" s="7"/>
      <c r="AX1170" s="6"/>
      <c r="AY1170" s="6"/>
      <c r="AZ1170" s="6"/>
      <c r="BA1170" s="6"/>
      <c r="BB1170" s="24"/>
      <c r="BD1170" s="6"/>
      <c r="BE1170" s="6"/>
      <c r="BF1170" s="6"/>
      <c r="BH1170" s="6"/>
      <c r="BI1170" s="6"/>
      <c r="BJ1170" s="6"/>
      <c r="BK1170" s="6"/>
      <c r="BL1170" s="6"/>
      <c r="BM1170" s="6"/>
    </row>
    <row r="1171" spans="1:65" x14ac:dyDescent="0.25">
      <c r="I1171" s="7"/>
      <c r="AH1171" s="7"/>
      <c r="AV1171" s="6"/>
    </row>
    <row r="1172" spans="1:65" x14ac:dyDescent="0.25">
      <c r="A1172" s="6"/>
      <c r="B1172" s="6"/>
      <c r="C1172" s="6"/>
      <c r="D1172" s="6"/>
      <c r="E1172" s="6"/>
      <c r="F1172" s="21"/>
      <c r="G1172" s="10"/>
      <c r="H1172" s="7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/>
      <c r="AC1172" s="6"/>
      <c r="AD1172" s="6"/>
      <c r="AE1172" s="6"/>
      <c r="AF1172" s="25"/>
      <c r="AG1172" s="7"/>
      <c r="AH1172" s="7"/>
      <c r="AI1172" s="7"/>
      <c r="AJ1172" s="6"/>
      <c r="AK1172" s="6"/>
      <c r="AL1172" s="6"/>
      <c r="AM1172" s="6"/>
      <c r="AN1172" s="6"/>
      <c r="AO1172" s="26"/>
      <c r="AP1172" s="11"/>
      <c r="AQ1172" s="7"/>
      <c r="AS1172" s="11"/>
      <c r="AT1172" s="6"/>
      <c r="AU1172" s="6"/>
      <c r="AW1172" s="7"/>
      <c r="AX1172" s="6"/>
      <c r="AY1172" s="6"/>
      <c r="AZ1172" s="6"/>
      <c r="BA1172" s="6"/>
      <c r="BB1172" s="24"/>
      <c r="BD1172" s="6"/>
      <c r="BE1172" s="6"/>
      <c r="BF1172" s="6"/>
      <c r="BH1172" s="6"/>
      <c r="BI1172" s="6"/>
      <c r="BJ1172" s="6"/>
      <c r="BK1172" s="6"/>
      <c r="BL1172" s="6"/>
      <c r="BM1172" s="6"/>
    </row>
    <row r="1173" spans="1:65" x14ac:dyDescent="0.25">
      <c r="AV1173" s="6"/>
    </row>
    <row r="1174" spans="1:65" x14ac:dyDescent="0.25">
      <c r="I1174" s="7"/>
      <c r="AH1174" s="7"/>
      <c r="AV1174" s="6"/>
    </row>
    <row r="1175" spans="1:65" x14ac:dyDescent="0.25">
      <c r="A1175" s="6"/>
      <c r="B1175" s="6"/>
      <c r="C1175" s="6"/>
      <c r="D1175" s="6"/>
      <c r="E1175" s="6"/>
      <c r="F1175" s="21"/>
      <c r="G1175" s="10"/>
      <c r="H1175" s="7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/>
      <c r="AC1175" s="6"/>
      <c r="AD1175" s="6"/>
      <c r="AE1175" s="6"/>
      <c r="AF1175" s="25"/>
      <c r="AG1175" s="7"/>
      <c r="AH1175" s="7"/>
      <c r="AI1175" s="7"/>
      <c r="AJ1175" s="6"/>
      <c r="AK1175" s="6"/>
      <c r="AL1175" s="6"/>
      <c r="AM1175" s="6"/>
      <c r="AN1175" s="6"/>
      <c r="AO1175" s="26"/>
      <c r="AP1175" s="11"/>
      <c r="AQ1175" s="7"/>
      <c r="AS1175" s="11"/>
      <c r="AT1175" s="6"/>
      <c r="AU1175" s="6"/>
      <c r="AW1175" s="7"/>
      <c r="AX1175" s="6"/>
      <c r="AY1175" s="6"/>
      <c r="AZ1175" s="6"/>
      <c r="BA1175" s="6"/>
      <c r="BB1175" s="24"/>
      <c r="BD1175" s="6"/>
      <c r="BE1175" s="6"/>
      <c r="BF1175" s="6"/>
      <c r="BH1175" s="6"/>
      <c r="BI1175" s="6"/>
      <c r="BJ1175" s="6"/>
      <c r="BK1175" s="6"/>
      <c r="BL1175" s="6"/>
      <c r="BM1175" s="6"/>
    </row>
    <row r="1176" spans="1:65" x14ac:dyDescent="0.25">
      <c r="A1176" s="6"/>
      <c r="B1176" s="6"/>
      <c r="C1176" s="6"/>
      <c r="D1176" s="6"/>
      <c r="E1176" s="6"/>
      <c r="F1176" s="21"/>
      <c r="G1176" s="10"/>
      <c r="H1176" s="7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/>
      <c r="AC1176" s="6"/>
      <c r="AD1176" s="6"/>
      <c r="AE1176" s="6"/>
      <c r="AF1176" s="25"/>
      <c r="AG1176" s="7"/>
      <c r="AH1176" s="7"/>
      <c r="AI1176" s="7"/>
      <c r="AJ1176" s="6"/>
      <c r="AK1176" s="6"/>
      <c r="AL1176" s="6"/>
      <c r="AM1176" s="6"/>
      <c r="AN1176" s="6"/>
      <c r="AO1176" s="26"/>
      <c r="AP1176" s="11"/>
      <c r="AQ1176" s="7"/>
      <c r="AS1176" s="11"/>
      <c r="AT1176" s="6"/>
      <c r="AU1176" s="6"/>
      <c r="AV1176" s="6"/>
      <c r="AW1176" s="7"/>
      <c r="AX1176" s="6"/>
      <c r="AY1176" s="6"/>
      <c r="AZ1176" s="6"/>
      <c r="BA1176" s="6"/>
      <c r="BB1176" s="24"/>
      <c r="BD1176" s="6"/>
      <c r="BE1176" s="6"/>
      <c r="BF1176" s="6"/>
      <c r="BH1176" s="6"/>
      <c r="BI1176" s="6"/>
      <c r="BJ1176" s="6"/>
      <c r="BK1176" s="6"/>
      <c r="BL1176" s="6"/>
      <c r="BM1176" s="6"/>
    </row>
    <row r="1179" spans="1:65" x14ac:dyDescent="0.25">
      <c r="A1179" s="6"/>
      <c r="B1179" s="6"/>
      <c r="C1179" s="6"/>
      <c r="D1179" s="6"/>
      <c r="E1179" s="6"/>
      <c r="F1179" s="21"/>
      <c r="G1179" s="10"/>
      <c r="H1179" s="7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/>
      <c r="AC1179" s="6"/>
      <c r="AD1179" s="6"/>
      <c r="AE1179" s="6"/>
      <c r="AF1179" s="25"/>
      <c r="AG1179" s="7"/>
      <c r="AH1179" s="7"/>
      <c r="AI1179" s="7"/>
      <c r="AJ1179" s="6"/>
      <c r="AK1179" s="6"/>
      <c r="AL1179" s="6"/>
      <c r="AM1179" s="6"/>
      <c r="AN1179" s="6"/>
      <c r="AO1179" s="26"/>
      <c r="AP1179" s="11"/>
      <c r="AQ1179" s="7"/>
      <c r="AS1179" s="11"/>
      <c r="AT1179" s="6"/>
      <c r="AU1179" s="6"/>
      <c r="AV1179" s="6"/>
      <c r="AW1179" s="7"/>
      <c r="AX1179" s="6"/>
      <c r="AY1179" s="6"/>
      <c r="AZ1179" s="6"/>
      <c r="BA1179" s="6"/>
      <c r="BB1179" s="24"/>
      <c r="BD1179" s="6"/>
      <c r="BE1179" s="6"/>
      <c r="BF1179" s="6"/>
      <c r="BH1179" s="6"/>
      <c r="BI1179" s="6"/>
      <c r="BJ1179" s="6"/>
      <c r="BK1179" s="6"/>
      <c r="BL1179" s="6"/>
      <c r="BM1179" s="6"/>
    </row>
    <row r="1180" spans="1:65" x14ac:dyDescent="0.25">
      <c r="I1180" s="7"/>
      <c r="AH1180" s="7"/>
      <c r="AV1180" s="6"/>
    </row>
    <row r="1181" spans="1:65" x14ac:dyDescent="0.25">
      <c r="A1181" s="6"/>
      <c r="B1181" s="6"/>
      <c r="C1181" s="6"/>
      <c r="D1181" s="6"/>
      <c r="E1181" s="6"/>
      <c r="F1181" s="21"/>
      <c r="G1181" s="10"/>
      <c r="H1181" s="7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/>
      <c r="AC1181" s="6"/>
      <c r="AD1181" s="6"/>
      <c r="AE1181" s="6"/>
      <c r="AF1181" s="25"/>
      <c r="AG1181" s="7"/>
      <c r="AH1181" s="7"/>
      <c r="AI1181" s="7"/>
      <c r="AJ1181" s="6"/>
      <c r="AK1181" s="6"/>
      <c r="AL1181" s="6"/>
      <c r="AM1181" s="6"/>
      <c r="AN1181" s="6"/>
      <c r="AO1181" s="26"/>
      <c r="AP1181" s="11"/>
      <c r="AQ1181" s="7"/>
      <c r="AS1181" s="11"/>
      <c r="AT1181" s="6"/>
      <c r="AU1181" s="6"/>
      <c r="AW1181" s="7"/>
      <c r="AX1181" s="6"/>
      <c r="AY1181" s="6"/>
      <c r="AZ1181" s="6"/>
      <c r="BA1181" s="6"/>
      <c r="BB1181" s="24"/>
      <c r="BD1181" s="6"/>
      <c r="BE1181" s="6"/>
      <c r="BF1181" s="6"/>
      <c r="BH1181" s="6"/>
      <c r="BI1181" s="6"/>
      <c r="BJ1181" s="6"/>
      <c r="BK1181" s="6"/>
      <c r="BL1181" s="6"/>
      <c r="BM1181" s="6"/>
    </row>
    <row r="1182" spans="1:65" x14ac:dyDescent="0.25">
      <c r="AV1182" s="6"/>
    </row>
    <row r="1183" spans="1:65" x14ac:dyDescent="0.25">
      <c r="I1183" s="7"/>
      <c r="AH1183" s="7"/>
      <c r="AV1183" s="6"/>
    </row>
    <row r="1184" spans="1:65" x14ac:dyDescent="0.25">
      <c r="A1184" s="6"/>
      <c r="B1184" s="6"/>
      <c r="C1184" s="6"/>
      <c r="D1184" s="6"/>
      <c r="E1184" s="6"/>
      <c r="F1184" s="21"/>
      <c r="G1184" s="10"/>
      <c r="H1184" s="7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/>
      <c r="AC1184" s="6"/>
      <c r="AD1184" s="6"/>
      <c r="AE1184" s="6"/>
      <c r="AF1184" s="25"/>
      <c r="AG1184" s="7"/>
      <c r="AH1184" s="7"/>
      <c r="AI1184" s="7"/>
      <c r="AJ1184" s="6"/>
      <c r="AK1184" s="6"/>
      <c r="AL1184" s="6"/>
      <c r="AM1184" s="6"/>
      <c r="AN1184" s="6"/>
      <c r="AO1184" s="26"/>
      <c r="AP1184" s="11"/>
      <c r="AQ1184" s="7"/>
      <c r="AS1184" s="11"/>
      <c r="AT1184" s="6"/>
      <c r="AU1184" s="6"/>
      <c r="AW1184" s="7"/>
      <c r="AX1184" s="6"/>
      <c r="AY1184" s="6"/>
      <c r="AZ1184" s="6"/>
      <c r="BA1184" s="6"/>
      <c r="BB1184" s="24"/>
      <c r="BD1184" s="6"/>
      <c r="BE1184" s="6"/>
      <c r="BF1184" s="6"/>
      <c r="BH1184" s="6"/>
      <c r="BI1184" s="6"/>
      <c r="BJ1184" s="6"/>
      <c r="BK1184" s="6"/>
      <c r="BL1184" s="6"/>
      <c r="BM1184" s="6"/>
    </row>
    <row r="1185" spans="1:65" x14ac:dyDescent="0.25">
      <c r="A1185" s="6"/>
      <c r="B1185" s="6"/>
      <c r="C1185" s="6"/>
      <c r="D1185" s="6"/>
      <c r="E1185" s="6"/>
      <c r="F1185" s="21"/>
      <c r="G1185" s="10"/>
      <c r="H1185" s="7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/>
      <c r="AC1185" s="6"/>
      <c r="AD1185" s="6"/>
      <c r="AE1185" s="6"/>
      <c r="AF1185" s="25"/>
      <c r="AG1185" s="7"/>
      <c r="AH1185" s="7"/>
      <c r="AI1185" s="7"/>
      <c r="AJ1185" s="6"/>
      <c r="AK1185" s="6"/>
      <c r="AL1185" s="6"/>
      <c r="AM1185" s="6"/>
      <c r="AN1185" s="6"/>
      <c r="AO1185" s="26"/>
      <c r="AP1185" s="11"/>
      <c r="AQ1185" s="7"/>
      <c r="AS1185" s="11"/>
      <c r="AT1185" s="6"/>
      <c r="AU1185" s="6"/>
      <c r="AV1185" s="6"/>
      <c r="AW1185" s="7"/>
      <c r="AX1185" s="6"/>
      <c r="AY1185" s="6"/>
      <c r="AZ1185" s="6"/>
      <c r="BA1185" s="6"/>
      <c r="BB1185" s="24"/>
      <c r="BD1185" s="6"/>
      <c r="BE1185" s="6"/>
      <c r="BF1185" s="6"/>
      <c r="BH1185" s="6"/>
      <c r="BI1185" s="6"/>
      <c r="BJ1185" s="6"/>
      <c r="BK1185" s="6"/>
      <c r="BL1185" s="6"/>
      <c r="BM1185" s="6"/>
    </row>
    <row r="1188" spans="1:65" x14ac:dyDescent="0.25">
      <c r="A1188" s="6"/>
      <c r="B1188" s="6"/>
      <c r="C1188" s="6"/>
      <c r="D1188" s="6"/>
      <c r="E1188" s="6"/>
      <c r="F1188" s="21"/>
      <c r="G1188" s="10"/>
      <c r="H1188" s="7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  <c r="AB1188" s="6"/>
      <c r="AC1188" s="6"/>
      <c r="AD1188" s="6"/>
      <c r="AE1188" s="6"/>
      <c r="AF1188" s="25"/>
      <c r="AG1188" s="7"/>
      <c r="AH1188" s="7"/>
      <c r="AI1188" s="7"/>
      <c r="AJ1188" s="6"/>
      <c r="AK1188" s="6"/>
      <c r="AL1188" s="6"/>
      <c r="AM1188" s="6"/>
      <c r="AN1188" s="6"/>
      <c r="AO1188" s="26"/>
      <c r="AP1188" s="11"/>
      <c r="AQ1188" s="7"/>
      <c r="AS1188" s="11"/>
      <c r="AT1188" s="6"/>
      <c r="AU1188" s="6"/>
      <c r="AV1188" s="6"/>
      <c r="AW1188" s="7"/>
      <c r="AX1188" s="6"/>
      <c r="AY1188" s="6"/>
      <c r="AZ1188" s="6"/>
      <c r="BA1188" s="6"/>
      <c r="BB1188" s="24"/>
      <c r="BD1188" s="6"/>
      <c r="BE1188" s="6"/>
      <c r="BF1188" s="6"/>
      <c r="BH1188" s="6"/>
      <c r="BI1188" s="6"/>
      <c r="BJ1188" s="6"/>
      <c r="BK1188" s="6"/>
      <c r="BL1188" s="6"/>
      <c r="BM1188" s="6"/>
    </row>
    <row r="1189" spans="1:65" x14ac:dyDescent="0.25">
      <c r="I1189" s="7"/>
      <c r="AH1189" s="7"/>
      <c r="AV1189" s="6"/>
    </row>
    <row r="1190" spans="1:65" x14ac:dyDescent="0.25">
      <c r="A1190" s="6"/>
      <c r="B1190" s="6"/>
      <c r="C1190" s="6"/>
      <c r="D1190" s="6"/>
      <c r="E1190" s="6"/>
      <c r="F1190" s="21"/>
      <c r="G1190" s="10"/>
      <c r="H1190" s="7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/>
      <c r="AC1190" s="6"/>
      <c r="AD1190" s="6"/>
      <c r="AE1190" s="6"/>
      <c r="AF1190" s="25"/>
      <c r="AG1190" s="7"/>
      <c r="AH1190" s="7"/>
      <c r="AI1190" s="7"/>
      <c r="AJ1190" s="6"/>
      <c r="AK1190" s="6"/>
      <c r="AL1190" s="6"/>
      <c r="AM1190" s="6"/>
      <c r="AN1190" s="6"/>
      <c r="AO1190" s="26"/>
      <c r="AP1190" s="11"/>
      <c r="AQ1190" s="7"/>
      <c r="AS1190" s="11"/>
      <c r="AT1190" s="6"/>
      <c r="AU1190" s="6"/>
      <c r="AW1190" s="7"/>
      <c r="AX1190" s="6"/>
      <c r="AY1190" s="6"/>
      <c r="AZ1190" s="6"/>
      <c r="BA1190" s="6"/>
      <c r="BB1190" s="24"/>
      <c r="BD1190" s="6"/>
      <c r="BE1190" s="6"/>
      <c r="BF1190" s="6"/>
      <c r="BH1190" s="6"/>
      <c r="BI1190" s="6"/>
      <c r="BJ1190" s="6"/>
      <c r="BK1190" s="6"/>
      <c r="BL1190" s="6"/>
      <c r="BM1190" s="6"/>
    </row>
    <row r="1191" spans="1:65" x14ac:dyDescent="0.25">
      <c r="AV1191" s="6"/>
    </row>
    <row r="1192" spans="1:65" x14ac:dyDescent="0.25">
      <c r="I1192" s="7"/>
      <c r="AH1192" s="7"/>
      <c r="AV1192" s="6"/>
    </row>
    <row r="1193" spans="1:65" x14ac:dyDescent="0.25">
      <c r="A1193" s="6"/>
      <c r="B1193" s="6"/>
      <c r="C1193" s="6"/>
      <c r="D1193" s="6"/>
      <c r="E1193" s="6"/>
      <c r="F1193" s="21"/>
      <c r="G1193" s="10"/>
      <c r="H1193" s="7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/>
      <c r="AC1193" s="6"/>
      <c r="AD1193" s="6"/>
      <c r="AE1193" s="6"/>
      <c r="AF1193" s="25"/>
      <c r="AG1193" s="7"/>
      <c r="AH1193" s="7"/>
      <c r="AI1193" s="7"/>
      <c r="AJ1193" s="6"/>
      <c r="AK1193" s="6"/>
      <c r="AL1193" s="6"/>
      <c r="AM1193" s="6"/>
      <c r="AN1193" s="6"/>
      <c r="AO1193" s="26"/>
      <c r="AP1193" s="11"/>
      <c r="AQ1193" s="7"/>
      <c r="AS1193" s="11"/>
      <c r="AT1193" s="6"/>
      <c r="AU1193" s="6"/>
      <c r="AW1193" s="7"/>
      <c r="AX1193" s="6"/>
      <c r="AY1193" s="6"/>
      <c r="AZ1193" s="6"/>
      <c r="BA1193" s="6"/>
      <c r="BB1193" s="24"/>
      <c r="BD1193" s="6"/>
      <c r="BE1193" s="6"/>
      <c r="BF1193" s="6"/>
      <c r="BH1193" s="6"/>
      <c r="BI1193" s="6"/>
      <c r="BJ1193" s="6"/>
      <c r="BK1193" s="6"/>
      <c r="BL1193" s="6"/>
      <c r="BM1193" s="6"/>
    </row>
    <row r="1194" spans="1:65" x14ac:dyDescent="0.25">
      <c r="A1194" s="6"/>
      <c r="B1194" s="6"/>
      <c r="C1194" s="6"/>
      <c r="D1194" s="6"/>
      <c r="E1194" s="6"/>
      <c r="F1194" s="21"/>
      <c r="G1194" s="10"/>
      <c r="H1194" s="7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/>
      <c r="AC1194" s="6"/>
      <c r="AD1194" s="6"/>
      <c r="AE1194" s="6"/>
      <c r="AF1194" s="25"/>
      <c r="AG1194" s="7"/>
      <c r="AH1194" s="7"/>
      <c r="AI1194" s="7"/>
      <c r="AJ1194" s="6"/>
      <c r="AK1194" s="6"/>
      <c r="AL1194" s="6"/>
      <c r="AM1194" s="6"/>
      <c r="AN1194" s="6"/>
      <c r="AO1194" s="26"/>
      <c r="AP1194" s="11"/>
      <c r="AQ1194" s="7"/>
      <c r="AS1194" s="11"/>
      <c r="AT1194" s="6"/>
      <c r="AU1194" s="6"/>
      <c r="AV1194" s="6"/>
      <c r="AW1194" s="7"/>
      <c r="AX1194" s="6"/>
      <c r="AY1194" s="6"/>
      <c r="AZ1194" s="6"/>
      <c r="BA1194" s="6"/>
      <c r="BB1194" s="24"/>
      <c r="BD1194" s="6"/>
      <c r="BE1194" s="6"/>
      <c r="BF1194" s="6"/>
      <c r="BH1194" s="6"/>
      <c r="BI1194" s="6"/>
      <c r="BJ1194" s="6"/>
      <c r="BK1194" s="6"/>
      <c r="BL1194" s="6"/>
      <c r="BM1194" s="6"/>
    </row>
    <row r="1197" spans="1:65" x14ac:dyDescent="0.25">
      <c r="A1197" s="6"/>
      <c r="B1197" s="6"/>
      <c r="C1197" s="6"/>
      <c r="D1197" s="6"/>
      <c r="E1197" s="6"/>
      <c r="F1197" s="21"/>
      <c r="G1197" s="10"/>
      <c r="H1197" s="7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/>
      <c r="AC1197" s="6"/>
      <c r="AD1197" s="6"/>
      <c r="AE1197" s="6"/>
      <c r="AF1197" s="25"/>
      <c r="AG1197" s="7"/>
      <c r="AH1197" s="7"/>
      <c r="AI1197" s="7"/>
      <c r="AJ1197" s="6"/>
      <c r="AK1197" s="6"/>
      <c r="AL1197" s="6"/>
      <c r="AM1197" s="6"/>
      <c r="AN1197" s="6"/>
      <c r="AO1197" s="26"/>
      <c r="AP1197" s="11"/>
      <c r="AQ1197" s="7"/>
      <c r="AS1197" s="11"/>
      <c r="AT1197" s="6"/>
      <c r="AU1197" s="6"/>
      <c r="AV1197" s="6"/>
      <c r="AW1197" s="7"/>
      <c r="AX1197" s="6"/>
      <c r="AY1197" s="6"/>
      <c r="AZ1197" s="6"/>
      <c r="BA1197" s="6"/>
      <c r="BB1197" s="24"/>
      <c r="BD1197" s="6"/>
      <c r="BE1197" s="6"/>
      <c r="BF1197" s="6"/>
      <c r="BH1197" s="6"/>
      <c r="BI1197" s="6"/>
      <c r="BJ1197" s="6"/>
      <c r="BK1197" s="6"/>
      <c r="BL1197" s="6"/>
      <c r="BM1197" s="6"/>
    </row>
    <row r="1198" spans="1:65" x14ac:dyDescent="0.25">
      <c r="I1198" s="7"/>
      <c r="AH1198" s="7"/>
      <c r="AV1198" s="6"/>
    </row>
    <row r="1199" spans="1:65" x14ac:dyDescent="0.25">
      <c r="A1199" s="6"/>
      <c r="B1199" s="6"/>
      <c r="C1199" s="6"/>
      <c r="D1199" s="6"/>
      <c r="E1199" s="6"/>
      <c r="F1199" s="21"/>
      <c r="G1199" s="10"/>
      <c r="H1199" s="7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  <c r="AB1199" s="6"/>
      <c r="AC1199" s="6"/>
      <c r="AD1199" s="6"/>
      <c r="AE1199" s="6"/>
      <c r="AF1199" s="25"/>
      <c r="AG1199" s="7"/>
      <c r="AH1199" s="7"/>
      <c r="AI1199" s="7"/>
      <c r="AJ1199" s="6"/>
      <c r="AK1199" s="6"/>
      <c r="AL1199" s="6"/>
      <c r="AM1199" s="6"/>
      <c r="AN1199" s="6"/>
      <c r="AO1199" s="26"/>
      <c r="AP1199" s="11"/>
      <c r="AQ1199" s="7"/>
      <c r="AS1199" s="11"/>
      <c r="AT1199" s="6"/>
      <c r="AU1199" s="6"/>
      <c r="AW1199" s="7"/>
      <c r="AX1199" s="6"/>
      <c r="AY1199" s="6"/>
      <c r="AZ1199" s="6"/>
      <c r="BA1199" s="6"/>
      <c r="BB1199" s="24"/>
      <c r="BD1199" s="6"/>
      <c r="BE1199" s="6"/>
      <c r="BF1199" s="6"/>
      <c r="BH1199" s="6"/>
      <c r="BI1199" s="6"/>
      <c r="BJ1199" s="6"/>
      <c r="BK1199" s="6"/>
      <c r="BL1199" s="6"/>
      <c r="BM1199" s="6"/>
    </row>
    <row r="1200" spans="1:65" x14ac:dyDescent="0.25">
      <c r="AV1200" s="6"/>
    </row>
    <row r="1201" spans="1:65" x14ac:dyDescent="0.25">
      <c r="I1201" s="7"/>
      <c r="AH1201" s="7"/>
      <c r="AV1201" s="6"/>
    </row>
    <row r="1202" spans="1:65" x14ac:dyDescent="0.25">
      <c r="A1202" s="6"/>
      <c r="B1202" s="6"/>
      <c r="C1202" s="6"/>
      <c r="D1202" s="6"/>
      <c r="E1202" s="6"/>
      <c r="F1202" s="21"/>
      <c r="G1202" s="10"/>
      <c r="H1202" s="7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  <c r="AB1202" s="6"/>
      <c r="AC1202" s="6"/>
      <c r="AD1202" s="6"/>
      <c r="AE1202" s="6"/>
      <c r="AF1202" s="25"/>
      <c r="AG1202" s="7"/>
      <c r="AH1202" s="7"/>
      <c r="AI1202" s="7"/>
      <c r="AJ1202" s="6"/>
      <c r="AK1202" s="6"/>
      <c r="AL1202" s="6"/>
      <c r="AM1202" s="6"/>
      <c r="AN1202" s="6"/>
      <c r="AO1202" s="26"/>
      <c r="AP1202" s="11"/>
      <c r="AQ1202" s="7"/>
      <c r="AS1202" s="11"/>
      <c r="AT1202" s="6"/>
      <c r="AU1202" s="6"/>
      <c r="AW1202" s="7"/>
      <c r="AX1202" s="6"/>
      <c r="AY1202" s="6"/>
      <c r="AZ1202" s="6"/>
      <c r="BA1202" s="6"/>
      <c r="BB1202" s="24"/>
      <c r="BD1202" s="6"/>
      <c r="BE1202" s="6"/>
      <c r="BF1202" s="6"/>
      <c r="BH1202" s="6"/>
      <c r="BI1202" s="6"/>
      <c r="BJ1202" s="6"/>
      <c r="BK1202" s="6"/>
      <c r="BL1202" s="6"/>
      <c r="BM1202" s="6"/>
    </row>
    <row r="1203" spans="1:65" x14ac:dyDescent="0.25">
      <c r="A1203" s="6"/>
      <c r="B1203" s="6"/>
      <c r="C1203" s="6"/>
      <c r="D1203" s="6"/>
      <c r="E1203" s="6"/>
      <c r="F1203" s="21"/>
      <c r="G1203" s="10"/>
      <c r="H1203" s="7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  <c r="AB1203" s="6"/>
      <c r="AC1203" s="6"/>
      <c r="AD1203" s="6"/>
      <c r="AE1203" s="6"/>
      <c r="AF1203" s="25"/>
      <c r="AG1203" s="7"/>
      <c r="AH1203" s="7"/>
      <c r="AI1203" s="7"/>
      <c r="AJ1203" s="6"/>
      <c r="AK1203" s="6"/>
      <c r="AL1203" s="6"/>
      <c r="AM1203" s="6"/>
      <c r="AN1203" s="6"/>
      <c r="AO1203" s="26"/>
      <c r="AP1203" s="11"/>
      <c r="AQ1203" s="7"/>
      <c r="AS1203" s="11"/>
      <c r="AT1203" s="6"/>
      <c r="AU1203" s="6"/>
      <c r="AV1203" s="6"/>
      <c r="AW1203" s="7"/>
      <c r="AX1203" s="6"/>
      <c r="AY1203" s="6"/>
      <c r="AZ1203" s="6"/>
      <c r="BA1203" s="6"/>
      <c r="BB1203" s="24"/>
      <c r="BD1203" s="6"/>
      <c r="BE1203" s="6"/>
      <c r="BF1203" s="6"/>
      <c r="BH1203" s="6"/>
      <c r="BI1203" s="6"/>
      <c r="BJ1203" s="6"/>
      <c r="BK1203" s="6"/>
      <c r="BL1203" s="6"/>
      <c r="BM1203" s="6"/>
    </row>
    <row r="1206" spans="1:65" x14ac:dyDescent="0.25">
      <c r="A1206" s="6"/>
      <c r="B1206" s="6"/>
      <c r="C1206" s="6"/>
      <c r="D1206" s="6"/>
      <c r="E1206" s="6"/>
      <c r="F1206" s="21"/>
      <c r="G1206" s="10"/>
      <c r="H1206" s="7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  <c r="AB1206" s="6"/>
      <c r="AC1206" s="6"/>
      <c r="AD1206" s="6"/>
      <c r="AE1206" s="6"/>
      <c r="AF1206" s="25"/>
      <c r="AG1206" s="7"/>
      <c r="AH1206" s="7"/>
      <c r="AI1206" s="7"/>
      <c r="AJ1206" s="6"/>
      <c r="AK1206" s="6"/>
      <c r="AL1206" s="6"/>
      <c r="AM1206" s="6"/>
      <c r="AN1206" s="6"/>
      <c r="AO1206" s="26"/>
      <c r="AP1206" s="11"/>
      <c r="AQ1206" s="7"/>
      <c r="AS1206" s="11"/>
      <c r="AT1206" s="6"/>
      <c r="AU1206" s="6"/>
      <c r="AV1206" s="6"/>
      <c r="AW1206" s="7"/>
      <c r="AX1206" s="6"/>
      <c r="AY1206" s="6"/>
      <c r="AZ1206" s="6"/>
      <c r="BA1206" s="6"/>
      <c r="BB1206" s="24"/>
      <c r="BD1206" s="6"/>
      <c r="BE1206" s="6"/>
      <c r="BF1206" s="6"/>
      <c r="BH1206" s="6"/>
      <c r="BI1206" s="6"/>
      <c r="BJ1206" s="6"/>
      <c r="BK1206" s="6"/>
      <c r="BL1206" s="6"/>
      <c r="BM1206" s="6"/>
    </row>
    <row r="1207" spans="1:65" x14ac:dyDescent="0.25">
      <c r="I1207" s="7"/>
      <c r="AH1207" s="7"/>
      <c r="AV1207" s="6"/>
    </row>
    <row r="1208" spans="1:65" x14ac:dyDescent="0.25">
      <c r="A1208" s="6"/>
      <c r="B1208" s="6"/>
      <c r="C1208" s="6"/>
      <c r="D1208" s="6"/>
      <c r="E1208" s="6"/>
      <c r="F1208" s="21"/>
      <c r="G1208" s="10"/>
      <c r="H1208" s="7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/>
      <c r="AC1208" s="6"/>
      <c r="AD1208" s="6"/>
      <c r="AE1208" s="6"/>
      <c r="AF1208" s="25"/>
      <c r="AG1208" s="7"/>
      <c r="AH1208" s="7"/>
      <c r="AI1208" s="7"/>
      <c r="AJ1208" s="6"/>
      <c r="AK1208" s="6"/>
      <c r="AL1208" s="6"/>
      <c r="AM1208" s="6"/>
      <c r="AN1208" s="6"/>
      <c r="AO1208" s="26"/>
      <c r="AP1208" s="11"/>
      <c r="AQ1208" s="7"/>
      <c r="AS1208" s="11"/>
      <c r="AT1208" s="6"/>
      <c r="AU1208" s="6"/>
      <c r="AW1208" s="7"/>
      <c r="AX1208" s="6"/>
      <c r="AY1208" s="6"/>
      <c r="AZ1208" s="6"/>
      <c r="BA1208" s="6"/>
      <c r="BB1208" s="24"/>
      <c r="BD1208" s="6"/>
      <c r="BE1208" s="6"/>
      <c r="BF1208" s="6"/>
      <c r="BH1208" s="6"/>
      <c r="BI1208" s="6"/>
      <c r="BJ1208" s="6"/>
      <c r="BK1208" s="6"/>
      <c r="BL1208" s="6"/>
      <c r="BM1208" s="6"/>
    </row>
    <row r="1209" spans="1:65" x14ac:dyDescent="0.25">
      <c r="AV1209" s="6"/>
    </row>
    <row r="1210" spans="1:65" x14ac:dyDescent="0.25">
      <c r="I1210" s="7"/>
      <c r="AH1210" s="7"/>
      <c r="AV1210" s="6"/>
    </row>
    <row r="1211" spans="1:65" x14ac:dyDescent="0.25">
      <c r="A1211" s="6"/>
      <c r="B1211" s="6"/>
      <c r="C1211" s="6"/>
      <c r="D1211" s="6"/>
      <c r="E1211" s="6"/>
      <c r="F1211" s="21"/>
      <c r="G1211" s="10"/>
      <c r="H1211" s="7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  <c r="AB1211" s="6"/>
      <c r="AC1211" s="6"/>
      <c r="AD1211" s="6"/>
      <c r="AE1211" s="6"/>
      <c r="AF1211" s="25"/>
      <c r="AG1211" s="7"/>
      <c r="AH1211" s="7"/>
      <c r="AI1211" s="7"/>
      <c r="AJ1211" s="6"/>
      <c r="AK1211" s="6"/>
      <c r="AL1211" s="6"/>
      <c r="AM1211" s="6"/>
      <c r="AN1211" s="6"/>
      <c r="AO1211" s="26"/>
      <c r="AP1211" s="11"/>
      <c r="AQ1211" s="7"/>
      <c r="AS1211" s="11"/>
      <c r="AT1211" s="6"/>
      <c r="AU1211" s="6"/>
      <c r="AW1211" s="7"/>
      <c r="AX1211" s="6"/>
      <c r="AY1211" s="6"/>
      <c r="AZ1211" s="6"/>
      <c r="BA1211" s="6"/>
      <c r="BB1211" s="24"/>
      <c r="BD1211" s="6"/>
      <c r="BE1211" s="6"/>
      <c r="BF1211" s="6"/>
      <c r="BH1211" s="6"/>
      <c r="BI1211" s="6"/>
      <c r="BJ1211" s="6"/>
      <c r="BK1211" s="6"/>
      <c r="BL1211" s="6"/>
      <c r="BM1211" s="6"/>
    </row>
    <row r="1212" spans="1:65" x14ac:dyDescent="0.25">
      <c r="A1212" s="6"/>
      <c r="B1212" s="6"/>
      <c r="C1212" s="6"/>
      <c r="D1212" s="6"/>
      <c r="E1212" s="6"/>
      <c r="F1212" s="21"/>
      <c r="G1212" s="10"/>
      <c r="H1212" s="7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  <c r="AC1212" s="6"/>
      <c r="AD1212" s="6"/>
      <c r="AE1212" s="6"/>
      <c r="AF1212" s="25"/>
      <c r="AG1212" s="7"/>
      <c r="AH1212" s="7"/>
      <c r="AI1212" s="7"/>
      <c r="AJ1212" s="6"/>
      <c r="AK1212" s="6"/>
      <c r="AL1212" s="6"/>
      <c r="AM1212" s="6"/>
      <c r="AN1212" s="6"/>
      <c r="AO1212" s="26"/>
      <c r="AP1212" s="11"/>
      <c r="AQ1212" s="7"/>
      <c r="AS1212" s="11"/>
      <c r="AT1212" s="6"/>
      <c r="AU1212" s="6"/>
      <c r="AV1212" s="6"/>
      <c r="AW1212" s="7"/>
      <c r="AX1212" s="6"/>
      <c r="AY1212" s="6"/>
      <c r="AZ1212" s="6"/>
      <c r="BA1212" s="6"/>
      <c r="BB1212" s="24"/>
      <c r="BD1212" s="6"/>
      <c r="BE1212" s="6"/>
      <c r="BF1212" s="6"/>
      <c r="BH1212" s="6"/>
      <c r="BI1212" s="6"/>
      <c r="BJ1212" s="6"/>
      <c r="BK1212" s="6"/>
      <c r="BL1212" s="6"/>
      <c r="BM1212" s="6"/>
    </row>
    <row r="1215" spans="1:65" x14ac:dyDescent="0.25">
      <c r="A1215" s="6"/>
      <c r="B1215" s="6"/>
      <c r="C1215" s="6"/>
      <c r="D1215" s="6"/>
      <c r="E1215" s="6"/>
      <c r="F1215" s="21"/>
      <c r="G1215" s="10"/>
      <c r="H1215" s="7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/>
      <c r="AC1215" s="6"/>
      <c r="AD1215" s="6"/>
      <c r="AE1215" s="6"/>
      <c r="AF1215" s="25"/>
      <c r="AG1215" s="7"/>
      <c r="AH1215" s="7"/>
      <c r="AI1215" s="7"/>
      <c r="AJ1215" s="6"/>
      <c r="AK1215" s="6"/>
      <c r="AL1215" s="6"/>
      <c r="AM1215" s="6"/>
      <c r="AN1215" s="6"/>
      <c r="AO1215" s="26"/>
      <c r="AP1215" s="11"/>
      <c r="AQ1215" s="7"/>
      <c r="AS1215" s="11"/>
      <c r="AT1215" s="6"/>
      <c r="AU1215" s="6"/>
      <c r="AV1215" s="6"/>
      <c r="AW1215" s="7"/>
      <c r="AX1215" s="6"/>
      <c r="AY1215" s="6"/>
      <c r="AZ1215" s="6"/>
      <c r="BA1215" s="6"/>
      <c r="BB1215" s="24"/>
      <c r="BD1215" s="6"/>
      <c r="BE1215" s="6"/>
      <c r="BF1215" s="6"/>
      <c r="BH1215" s="6"/>
      <c r="BI1215" s="6"/>
      <c r="BJ1215" s="6"/>
      <c r="BK1215" s="6"/>
      <c r="BL1215" s="6"/>
      <c r="BM1215" s="6"/>
    </row>
    <row r="1216" spans="1:65" x14ac:dyDescent="0.25">
      <c r="I1216" s="7"/>
      <c r="AH1216" s="7"/>
      <c r="AV1216" s="6"/>
    </row>
    <row r="1217" spans="1:65" x14ac:dyDescent="0.25">
      <c r="A1217" s="6"/>
      <c r="B1217" s="6"/>
      <c r="C1217" s="6"/>
      <c r="D1217" s="6"/>
      <c r="E1217" s="6"/>
      <c r="F1217" s="21"/>
      <c r="G1217" s="10"/>
      <c r="H1217" s="7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/>
      <c r="AC1217" s="6"/>
      <c r="AD1217" s="6"/>
      <c r="AE1217" s="6"/>
      <c r="AF1217" s="25"/>
      <c r="AG1217" s="7"/>
      <c r="AH1217" s="7"/>
      <c r="AI1217" s="7"/>
      <c r="AJ1217" s="6"/>
      <c r="AK1217" s="6"/>
      <c r="AL1217" s="6"/>
      <c r="AM1217" s="6"/>
      <c r="AN1217" s="6"/>
      <c r="AO1217" s="26"/>
      <c r="AP1217" s="11"/>
      <c r="AQ1217" s="7"/>
      <c r="AS1217" s="11"/>
      <c r="AT1217" s="6"/>
      <c r="AU1217" s="6"/>
      <c r="AW1217" s="7"/>
      <c r="AX1217" s="6"/>
      <c r="AY1217" s="6"/>
      <c r="AZ1217" s="6"/>
      <c r="BA1217" s="6"/>
      <c r="BB1217" s="24"/>
      <c r="BD1217" s="6"/>
      <c r="BE1217" s="6"/>
      <c r="BF1217" s="6"/>
      <c r="BH1217" s="6"/>
      <c r="BI1217" s="6"/>
      <c r="BJ1217" s="6"/>
      <c r="BK1217" s="6"/>
      <c r="BL1217" s="6"/>
      <c r="BM1217" s="6"/>
    </row>
    <row r="1218" spans="1:65" x14ac:dyDescent="0.25">
      <c r="AV1218" s="6"/>
    </row>
    <row r="1219" spans="1:65" x14ac:dyDescent="0.25">
      <c r="I1219" s="7"/>
      <c r="AH1219" s="7"/>
      <c r="AV1219" s="6"/>
    </row>
    <row r="1220" spans="1:65" x14ac:dyDescent="0.25">
      <c r="A1220" s="6"/>
      <c r="B1220" s="6"/>
      <c r="C1220" s="6"/>
      <c r="D1220" s="6"/>
      <c r="E1220" s="6"/>
      <c r="F1220" s="21"/>
      <c r="G1220" s="10"/>
      <c r="H1220" s="7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/>
      <c r="AC1220" s="6"/>
      <c r="AD1220" s="6"/>
      <c r="AE1220" s="6"/>
      <c r="AF1220" s="25"/>
      <c r="AG1220" s="7"/>
      <c r="AH1220" s="7"/>
      <c r="AI1220" s="7"/>
      <c r="AJ1220" s="6"/>
      <c r="AK1220" s="6"/>
      <c r="AL1220" s="6"/>
      <c r="AM1220" s="6"/>
      <c r="AN1220" s="6"/>
      <c r="AO1220" s="26"/>
      <c r="AP1220" s="11"/>
      <c r="AQ1220" s="7"/>
      <c r="AS1220" s="11"/>
      <c r="AT1220" s="6"/>
      <c r="AU1220" s="6"/>
      <c r="AW1220" s="7"/>
      <c r="AX1220" s="6"/>
      <c r="AY1220" s="6"/>
      <c r="AZ1220" s="6"/>
      <c r="BA1220" s="6"/>
      <c r="BB1220" s="24"/>
      <c r="BD1220" s="6"/>
      <c r="BE1220" s="6"/>
      <c r="BF1220" s="6"/>
      <c r="BH1220" s="6"/>
      <c r="BI1220" s="6"/>
      <c r="BJ1220" s="6"/>
      <c r="BK1220" s="6"/>
      <c r="BL1220" s="6"/>
      <c r="BM1220" s="6"/>
    </row>
    <row r="1221" spans="1:65" x14ac:dyDescent="0.25">
      <c r="A1221" s="6"/>
      <c r="B1221" s="6"/>
      <c r="C1221" s="6"/>
      <c r="D1221" s="6"/>
      <c r="E1221" s="6"/>
      <c r="F1221" s="6"/>
      <c r="G1221" s="6"/>
      <c r="H1221" s="7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/>
      <c r="AC1221" s="6"/>
      <c r="AD1221" s="6"/>
      <c r="AE1221" s="6"/>
      <c r="AF1221" s="6"/>
      <c r="AG1221" s="7"/>
      <c r="AH1221" s="7"/>
      <c r="AI1221" s="7"/>
      <c r="AJ1221" s="6"/>
      <c r="AK1221" s="6"/>
      <c r="AL1221" s="6"/>
      <c r="AM1221" s="6"/>
      <c r="AN1221" s="6"/>
      <c r="AO1221" s="6"/>
      <c r="AP1221" s="6"/>
      <c r="AQ1221" s="7"/>
      <c r="AS1221" s="6"/>
      <c r="AT1221" s="6"/>
      <c r="AU1221" s="6"/>
      <c r="AV1221" s="6"/>
      <c r="AW1221" s="7"/>
      <c r="AX1221" s="6"/>
      <c r="AY1221" s="6"/>
      <c r="AZ1221" s="6"/>
      <c r="BA1221" s="6"/>
      <c r="BB1221" s="6"/>
      <c r="BD1221" s="6"/>
      <c r="BE1221" s="6"/>
      <c r="BF1221" s="6"/>
      <c r="BH1221" s="6"/>
      <c r="BI1221" s="6"/>
      <c r="BJ1221" s="6"/>
      <c r="BK1221" s="6"/>
      <c r="BL1221" s="6"/>
      <c r="BM1221" s="6"/>
    </row>
    <row r="1224" spans="1:65" x14ac:dyDescent="0.25">
      <c r="A1224" s="6"/>
      <c r="B1224" s="6"/>
      <c r="C1224" s="6"/>
      <c r="D1224" s="6"/>
      <c r="E1224" s="6"/>
      <c r="F1224" s="21"/>
      <c r="G1224" s="10"/>
      <c r="H1224" s="7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/>
      <c r="AC1224" s="6"/>
      <c r="AD1224" s="6"/>
      <c r="AE1224" s="6"/>
      <c r="AF1224" s="25"/>
      <c r="AG1224" s="7"/>
      <c r="AH1224" s="7"/>
      <c r="AI1224" s="7"/>
      <c r="AJ1224" s="6"/>
      <c r="AK1224" s="6"/>
      <c r="AL1224" s="6"/>
      <c r="AM1224" s="6"/>
      <c r="AN1224" s="6"/>
      <c r="AO1224" s="26"/>
      <c r="AP1224" s="11"/>
      <c r="AQ1224" s="7"/>
      <c r="AS1224" s="11"/>
      <c r="AT1224" s="6"/>
      <c r="AU1224" s="6"/>
      <c r="AV1224" s="6"/>
      <c r="AW1224" s="7"/>
      <c r="AX1224" s="6"/>
      <c r="AY1224" s="6"/>
      <c r="AZ1224" s="6"/>
      <c r="BA1224" s="6"/>
      <c r="BB1224" s="24"/>
      <c r="BD1224" s="6"/>
      <c r="BE1224" s="6"/>
      <c r="BF1224" s="6"/>
      <c r="BH1224" s="6"/>
      <c r="BI1224" s="6"/>
      <c r="BJ1224" s="6"/>
      <c r="BK1224" s="6"/>
      <c r="BL1224" s="6"/>
      <c r="BM1224" s="6"/>
    </row>
    <row r="1225" spans="1:65" x14ac:dyDescent="0.25">
      <c r="I1225" s="7"/>
      <c r="AH1225" s="7"/>
      <c r="AV1225" s="6"/>
    </row>
    <row r="1226" spans="1:65" x14ac:dyDescent="0.25">
      <c r="A1226" s="6"/>
      <c r="B1226" s="6"/>
      <c r="C1226" s="6"/>
      <c r="D1226" s="6"/>
      <c r="E1226" s="6"/>
      <c r="F1226" s="21"/>
      <c r="G1226" s="10"/>
      <c r="H1226" s="7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/>
      <c r="AC1226" s="6"/>
      <c r="AD1226" s="6"/>
      <c r="AE1226" s="6"/>
      <c r="AF1226" s="25"/>
      <c r="AG1226" s="7"/>
      <c r="AH1226" s="7"/>
      <c r="AI1226" s="7"/>
      <c r="AJ1226" s="6"/>
      <c r="AK1226" s="6"/>
      <c r="AL1226" s="6"/>
      <c r="AM1226" s="6"/>
      <c r="AN1226" s="6"/>
      <c r="AO1226" s="26"/>
      <c r="AP1226" s="11"/>
      <c r="AQ1226" s="7"/>
      <c r="AS1226" s="11"/>
      <c r="AT1226" s="6"/>
      <c r="AU1226" s="6"/>
      <c r="AW1226" s="7"/>
      <c r="AX1226" s="6"/>
      <c r="AY1226" s="6"/>
      <c r="AZ1226" s="6"/>
      <c r="BA1226" s="6"/>
      <c r="BB1226" s="24"/>
      <c r="BD1226" s="6"/>
      <c r="BE1226" s="6"/>
      <c r="BF1226" s="6"/>
      <c r="BH1226" s="6"/>
      <c r="BI1226" s="6"/>
      <c r="BJ1226" s="6"/>
      <c r="BK1226" s="6"/>
      <c r="BL1226" s="6"/>
      <c r="BM1226" s="6"/>
    </row>
    <row r="1227" spans="1:65" x14ac:dyDescent="0.25">
      <c r="AV1227" s="6"/>
    </row>
    <row r="1228" spans="1:65" x14ac:dyDescent="0.25">
      <c r="I1228" s="7"/>
      <c r="AH1228" s="7"/>
      <c r="AV1228" s="6"/>
    </row>
    <row r="1229" spans="1:65" x14ac:dyDescent="0.25">
      <c r="A1229" s="6"/>
      <c r="B1229" s="6"/>
      <c r="C1229" s="6"/>
      <c r="D1229" s="6"/>
      <c r="E1229" s="6"/>
      <c r="F1229" s="21"/>
      <c r="G1229" s="10"/>
      <c r="H1229" s="7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  <c r="AB1229" s="6"/>
      <c r="AC1229" s="6"/>
      <c r="AD1229" s="6"/>
      <c r="AE1229" s="6"/>
      <c r="AF1229" s="25"/>
      <c r="AG1229" s="7"/>
      <c r="AH1229" s="7"/>
      <c r="AI1229" s="7"/>
      <c r="AJ1229" s="6"/>
      <c r="AK1229" s="6"/>
      <c r="AL1229" s="6"/>
      <c r="AM1229" s="6"/>
      <c r="AN1229" s="6"/>
      <c r="AO1229" s="26"/>
      <c r="AP1229" s="11"/>
      <c r="AQ1229" s="7"/>
      <c r="AS1229" s="11"/>
      <c r="AT1229" s="6"/>
      <c r="AU1229" s="6"/>
      <c r="AW1229" s="7"/>
      <c r="AX1229" s="6"/>
      <c r="AY1229" s="6"/>
      <c r="AZ1229" s="6"/>
      <c r="BA1229" s="6"/>
      <c r="BB1229" s="24"/>
      <c r="BD1229" s="6"/>
      <c r="BE1229" s="6"/>
      <c r="BF1229" s="6"/>
      <c r="BH1229" s="6"/>
      <c r="BI1229" s="6"/>
      <c r="BJ1229" s="6"/>
      <c r="BK1229" s="6"/>
      <c r="BL1229" s="6"/>
      <c r="BM1229" s="6"/>
    </row>
    <row r="1230" spans="1:65" x14ac:dyDescent="0.25">
      <c r="A1230" s="6"/>
      <c r="B1230" s="6"/>
      <c r="C1230" s="6"/>
      <c r="D1230" s="6"/>
      <c r="E1230" s="6"/>
      <c r="F1230" s="21"/>
      <c r="G1230" s="10"/>
      <c r="H1230" s="7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  <c r="AB1230" s="6"/>
      <c r="AC1230" s="6"/>
      <c r="AD1230" s="6"/>
      <c r="AE1230" s="6"/>
      <c r="AF1230" s="25"/>
      <c r="AG1230" s="7"/>
      <c r="AH1230" s="7"/>
      <c r="AI1230" s="7"/>
      <c r="AJ1230" s="6"/>
      <c r="AK1230" s="6"/>
      <c r="AL1230" s="6"/>
      <c r="AM1230" s="6"/>
      <c r="AN1230" s="6"/>
      <c r="AO1230" s="26"/>
      <c r="AP1230" s="11"/>
      <c r="AQ1230" s="7"/>
      <c r="AS1230" s="11"/>
      <c r="AT1230" s="6"/>
      <c r="AU1230" s="6"/>
      <c r="AV1230" s="6"/>
      <c r="AW1230" s="7"/>
      <c r="AX1230" s="6"/>
      <c r="AY1230" s="6"/>
      <c r="AZ1230" s="6"/>
      <c r="BA1230" s="6"/>
      <c r="BB1230" s="24"/>
      <c r="BD1230" s="6"/>
      <c r="BE1230" s="6"/>
      <c r="BF1230" s="6"/>
      <c r="BH1230" s="6"/>
      <c r="BI1230" s="6"/>
      <c r="BJ1230" s="6"/>
      <c r="BK1230" s="6"/>
      <c r="BL1230" s="6"/>
      <c r="BM1230" s="6"/>
    </row>
    <row r="1233" spans="1:65" x14ac:dyDescent="0.25">
      <c r="A1233" s="6"/>
      <c r="B1233" s="6"/>
      <c r="C1233" s="6"/>
      <c r="D1233" s="6"/>
      <c r="E1233" s="6"/>
      <c r="F1233" s="21"/>
      <c r="G1233" s="10"/>
      <c r="H1233" s="7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  <c r="AC1233" s="6"/>
      <c r="AD1233" s="6"/>
      <c r="AE1233" s="6"/>
      <c r="AF1233" s="25"/>
      <c r="AG1233" s="7"/>
      <c r="AH1233" s="7"/>
      <c r="AI1233" s="7"/>
      <c r="AJ1233" s="6"/>
      <c r="AK1233" s="6"/>
      <c r="AL1233" s="6"/>
      <c r="AM1233" s="6"/>
      <c r="AN1233" s="6"/>
      <c r="AO1233" s="26"/>
      <c r="AP1233" s="11"/>
      <c r="AQ1233" s="7"/>
      <c r="AS1233" s="11"/>
      <c r="AT1233" s="6"/>
      <c r="AU1233" s="6"/>
      <c r="AV1233" s="6"/>
      <c r="AW1233" s="7"/>
      <c r="AX1233" s="6"/>
      <c r="AY1233" s="6"/>
      <c r="AZ1233" s="6"/>
      <c r="BA1233" s="6"/>
      <c r="BB1233" s="24"/>
      <c r="BD1233" s="6"/>
      <c r="BE1233" s="6"/>
      <c r="BF1233" s="6"/>
      <c r="BH1233" s="6"/>
      <c r="BI1233" s="6"/>
      <c r="BJ1233" s="6"/>
      <c r="BK1233" s="6"/>
      <c r="BL1233" s="6"/>
      <c r="BM1233" s="6"/>
    </row>
    <row r="1234" spans="1:65" x14ac:dyDescent="0.25">
      <c r="I1234" s="7"/>
      <c r="AH1234" s="7"/>
      <c r="AV1234" s="6"/>
    </row>
    <row r="1235" spans="1:65" x14ac:dyDescent="0.25">
      <c r="A1235" s="6"/>
      <c r="B1235" s="6"/>
      <c r="C1235" s="6"/>
      <c r="D1235" s="6"/>
      <c r="E1235" s="6"/>
      <c r="F1235" s="21"/>
      <c r="G1235" s="10"/>
      <c r="H1235" s="7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/>
      <c r="AC1235" s="6"/>
      <c r="AD1235" s="6"/>
      <c r="AE1235" s="6"/>
      <c r="AF1235" s="25"/>
      <c r="AG1235" s="7"/>
      <c r="AH1235" s="7"/>
      <c r="AI1235" s="7"/>
      <c r="AJ1235" s="6"/>
      <c r="AK1235" s="6"/>
      <c r="AL1235" s="6"/>
      <c r="AM1235" s="6"/>
      <c r="AN1235" s="6"/>
      <c r="AO1235" s="26"/>
      <c r="AP1235" s="11"/>
      <c r="AQ1235" s="7"/>
      <c r="AS1235" s="11"/>
      <c r="AT1235" s="6"/>
      <c r="AU1235" s="6"/>
      <c r="AW1235" s="7"/>
      <c r="AX1235" s="6"/>
      <c r="AY1235" s="6"/>
      <c r="AZ1235" s="6"/>
      <c r="BA1235" s="6"/>
      <c r="BB1235" s="24"/>
      <c r="BD1235" s="6"/>
      <c r="BE1235" s="6"/>
      <c r="BF1235" s="6"/>
      <c r="BH1235" s="6"/>
      <c r="BI1235" s="6"/>
      <c r="BJ1235" s="6"/>
      <c r="BK1235" s="6"/>
      <c r="BL1235" s="6"/>
      <c r="BM1235" s="6"/>
    </row>
    <row r="1236" spans="1:65" x14ac:dyDescent="0.25">
      <c r="AV1236" s="6"/>
    </row>
    <row r="1237" spans="1:65" x14ac:dyDescent="0.25">
      <c r="I1237" s="7"/>
      <c r="AH1237" s="7"/>
      <c r="AV1237" s="6"/>
    </row>
    <row r="1238" spans="1:65" x14ac:dyDescent="0.25">
      <c r="A1238" s="6"/>
      <c r="B1238" s="6"/>
      <c r="C1238" s="6"/>
      <c r="D1238" s="6"/>
      <c r="E1238" s="6"/>
      <c r="F1238" s="21"/>
      <c r="G1238" s="10"/>
      <c r="H1238" s="7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/>
      <c r="AC1238" s="6"/>
      <c r="AD1238" s="6"/>
      <c r="AE1238" s="6"/>
      <c r="AF1238" s="25"/>
      <c r="AG1238" s="7"/>
      <c r="AH1238" s="7"/>
      <c r="AI1238" s="7"/>
      <c r="AJ1238" s="6"/>
      <c r="AK1238" s="6"/>
      <c r="AL1238" s="6"/>
      <c r="AM1238" s="6"/>
      <c r="AN1238" s="6"/>
      <c r="AO1238" s="26"/>
      <c r="AP1238" s="11"/>
      <c r="AQ1238" s="7"/>
      <c r="AS1238" s="11"/>
      <c r="AT1238" s="6"/>
      <c r="AU1238" s="6"/>
      <c r="AW1238" s="7"/>
      <c r="AX1238" s="6"/>
      <c r="AY1238" s="6"/>
      <c r="AZ1238" s="6"/>
      <c r="BA1238" s="6"/>
      <c r="BB1238" s="24"/>
      <c r="BD1238" s="6"/>
      <c r="BE1238" s="6"/>
      <c r="BF1238" s="6"/>
      <c r="BH1238" s="6"/>
      <c r="BI1238" s="6"/>
      <c r="BJ1238" s="6"/>
      <c r="BK1238" s="6"/>
      <c r="BL1238" s="6"/>
      <c r="BM1238" s="6"/>
    </row>
    <row r="1239" spans="1:65" x14ac:dyDescent="0.25">
      <c r="A1239" s="6"/>
      <c r="B1239" s="6"/>
      <c r="C1239" s="6"/>
      <c r="D1239" s="6"/>
      <c r="E1239" s="6"/>
      <c r="F1239" s="21"/>
      <c r="G1239" s="10"/>
      <c r="H1239" s="7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/>
      <c r="AC1239" s="6"/>
      <c r="AD1239" s="6"/>
      <c r="AE1239" s="6"/>
      <c r="AF1239" s="25"/>
      <c r="AG1239" s="7"/>
      <c r="AH1239" s="7"/>
      <c r="AI1239" s="7"/>
      <c r="AJ1239" s="6"/>
      <c r="AK1239" s="6"/>
      <c r="AL1239" s="6"/>
      <c r="AM1239" s="6"/>
      <c r="AN1239" s="6"/>
      <c r="AO1239" s="26"/>
      <c r="AP1239" s="11"/>
      <c r="AQ1239" s="7"/>
      <c r="AS1239" s="11"/>
      <c r="AT1239" s="6"/>
      <c r="AU1239" s="6"/>
      <c r="AV1239" s="6"/>
      <c r="AW1239" s="7"/>
      <c r="AX1239" s="6"/>
      <c r="AY1239" s="6"/>
      <c r="AZ1239" s="6"/>
      <c r="BA1239" s="6"/>
      <c r="BB1239" s="24"/>
      <c r="BD1239" s="6"/>
      <c r="BE1239" s="6"/>
      <c r="BF1239" s="6"/>
      <c r="BH1239" s="6"/>
      <c r="BI1239" s="6"/>
      <c r="BJ1239" s="6"/>
      <c r="BK1239" s="6"/>
      <c r="BL1239" s="6"/>
      <c r="BM1239" s="6"/>
    </row>
    <row r="1242" spans="1:65" x14ac:dyDescent="0.25">
      <c r="A1242" s="6"/>
      <c r="B1242" s="6"/>
      <c r="C1242" s="6"/>
      <c r="D1242" s="6"/>
      <c r="E1242" s="6"/>
      <c r="F1242" s="21"/>
      <c r="G1242" s="10"/>
      <c r="H1242" s="7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  <c r="AB1242" s="6"/>
      <c r="AC1242" s="6"/>
      <c r="AD1242" s="6"/>
      <c r="AE1242" s="6"/>
      <c r="AF1242" s="25"/>
      <c r="AG1242" s="7"/>
      <c r="AH1242" s="7"/>
      <c r="AI1242" s="7"/>
      <c r="AJ1242" s="6"/>
      <c r="AK1242" s="6"/>
      <c r="AL1242" s="6"/>
      <c r="AM1242" s="6"/>
      <c r="AN1242" s="6"/>
      <c r="AO1242" s="26"/>
      <c r="AP1242" s="11"/>
      <c r="AQ1242" s="7"/>
      <c r="AS1242" s="11"/>
      <c r="AT1242" s="6"/>
      <c r="AU1242" s="6"/>
      <c r="AV1242" s="6"/>
      <c r="AW1242" s="7"/>
      <c r="AX1242" s="6"/>
      <c r="AY1242" s="6"/>
      <c r="AZ1242" s="6"/>
      <c r="BA1242" s="6"/>
      <c r="BB1242" s="24"/>
      <c r="BD1242" s="6"/>
      <c r="BE1242" s="6"/>
      <c r="BF1242" s="6"/>
      <c r="BH1242" s="6"/>
      <c r="BI1242" s="6"/>
      <c r="BJ1242" s="6"/>
      <c r="BK1242" s="6"/>
      <c r="BL1242" s="6"/>
      <c r="BM1242" s="6"/>
    </row>
    <row r="1243" spans="1:65" x14ac:dyDescent="0.25">
      <c r="I1243" s="7"/>
      <c r="AH1243" s="7"/>
      <c r="AV1243" s="6"/>
    </row>
    <row r="1244" spans="1:65" x14ac:dyDescent="0.25">
      <c r="A1244" s="6"/>
      <c r="B1244" s="6"/>
      <c r="C1244" s="6"/>
      <c r="D1244" s="6"/>
      <c r="E1244" s="6"/>
      <c r="F1244" s="21"/>
      <c r="G1244" s="10"/>
      <c r="H1244" s="7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  <c r="AB1244" s="6"/>
      <c r="AC1244" s="6"/>
      <c r="AD1244" s="6"/>
      <c r="AE1244" s="6"/>
      <c r="AF1244" s="25"/>
      <c r="AG1244" s="7"/>
      <c r="AH1244" s="7"/>
      <c r="AI1244" s="7"/>
      <c r="AJ1244" s="6"/>
      <c r="AK1244" s="6"/>
      <c r="AL1244" s="6"/>
      <c r="AM1244" s="6"/>
      <c r="AN1244" s="6"/>
      <c r="AO1244" s="26"/>
      <c r="AP1244" s="11"/>
      <c r="AQ1244" s="7"/>
      <c r="AS1244" s="11"/>
      <c r="AT1244" s="6"/>
      <c r="AU1244" s="6"/>
      <c r="AW1244" s="7"/>
      <c r="AX1244" s="6"/>
      <c r="AY1244" s="6"/>
      <c r="AZ1244" s="6"/>
      <c r="BA1244" s="6"/>
      <c r="BB1244" s="24"/>
      <c r="BD1244" s="6"/>
      <c r="BE1244" s="6"/>
      <c r="BF1244" s="6"/>
      <c r="BH1244" s="6"/>
      <c r="BI1244" s="6"/>
      <c r="BJ1244" s="6"/>
      <c r="BK1244" s="6"/>
      <c r="BL1244" s="6"/>
      <c r="BM1244" s="6"/>
    </row>
    <row r="1245" spans="1:65" x14ac:dyDescent="0.25">
      <c r="AV1245" s="6"/>
    </row>
    <row r="1246" spans="1:65" x14ac:dyDescent="0.25">
      <c r="I1246" s="7"/>
      <c r="AH1246" s="7"/>
      <c r="AV1246" s="6"/>
    </row>
    <row r="1247" spans="1:65" x14ac:dyDescent="0.25">
      <c r="A1247" s="6"/>
      <c r="B1247" s="6"/>
      <c r="C1247" s="6"/>
      <c r="D1247" s="6"/>
      <c r="E1247" s="6"/>
      <c r="F1247" s="21"/>
      <c r="G1247" s="10"/>
      <c r="H1247" s="7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  <c r="AB1247" s="6"/>
      <c r="AC1247" s="6"/>
      <c r="AD1247" s="6"/>
      <c r="AE1247" s="6"/>
      <c r="AF1247" s="25"/>
      <c r="AG1247" s="7"/>
      <c r="AH1247" s="7"/>
      <c r="AI1247" s="7"/>
      <c r="AJ1247" s="6"/>
      <c r="AK1247" s="6"/>
      <c r="AL1247" s="6"/>
      <c r="AM1247" s="6"/>
      <c r="AN1247" s="6"/>
      <c r="AO1247" s="26"/>
      <c r="AP1247" s="11"/>
      <c r="AQ1247" s="7"/>
      <c r="AS1247" s="11"/>
      <c r="AT1247" s="6"/>
      <c r="AU1247" s="6"/>
      <c r="AW1247" s="7"/>
      <c r="AX1247" s="6"/>
      <c r="AY1247" s="6"/>
      <c r="AZ1247" s="6"/>
      <c r="BA1247" s="6"/>
      <c r="BB1247" s="24"/>
      <c r="BD1247" s="6"/>
      <c r="BE1247" s="6"/>
      <c r="BF1247" s="6"/>
      <c r="BH1247" s="6"/>
      <c r="BI1247" s="6"/>
      <c r="BJ1247" s="6"/>
      <c r="BK1247" s="6"/>
      <c r="BL1247" s="6"/>
      <c r="BM1247" s="6"/>
    </row>
    <row r="1248" spans="1:65" x14ac:dyDescent="0.25">
      <c r="A1248" s="6"/>
      <c r="B1248" s="6"/>
      <c r="C1248" s="6"/>
      <c r="D1248" s="6"/>
      <c r="E1248" s="6"/>
      <c r="F1248" s="21"/>
      <c r="G1248" s="10"/>
      <c r="H1248" s="7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  <c r="AB1248" s="6"/>
      <c r="AC1248" s="6"/>
      <c r="AD1248" s="6"/>
      <c r="AE1248" s="6"/>
      <c r="AF1248" s="25"/>
      <c r="AG1248" s="7"/>
      <c r="AH1248" s="7"/>
      <c r="AI1248" s="7"/>
      <c r="AJ1248" s="6"/>
      <c r="AK1248" s="6"/>
      <c r="AL1248" s="6"/>
      <c r="AM1248" s="6"/>
      <c r="AN1248" s="6"/>
      <c r="AO1248" s="26"/>
      <c r="AP1248" s="11"/>
      <c r="AQ1248" s="7"/>
      <c r="AS1248" s="11"/>
      <c r="AT1248" s="6"/>
      <c r="AU1248" s="6"/>
      <c r="AV1248" s="6"/>
      <c r="AW1248" s="7"/>
      <c r="AX1248" s="6"/>
      <c r="AY1248" s="6"/>
      <c r="AZ1248" s="6"/>
      <c r="BA1248" s="6"/>
      <c r="BB1248" s="24"/>
      <c r="BD1248" s="6"/>
      <c r="BE1248" s="6"/>
      <c r="BF1248" s="6"/>
      <c r="BH1248" s="6"/>
      <c r="BI1248" s="6"/>
      <c r="BJ1248" s="6"/>
      <c r="BK1248" s="6"/>
      <c r="BL1248" s="6"/>
      <c r="BM1248" s="6"/>
    </row>
    <row r="1251" spans="1:65" x14ac:dyDescent="0.25">
      <c r="A1251" s="6"/>
      <c r="B1251" s="6"/>
      <c r="C1251" s="6"/>
      <c r="D1251" s="6"/>
      <c r="E1251" s="6"/>
      <c r="F1251" s="21"/>
      <c r="G1251" s="10"/>
      <c r="H1251" s="7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  <c r="AB1251" s="6"/>
      <c r="AC1251" s="6"/>
      <c r="AD1251" s="6"/>
      <c r="AE1251" s="6"/>
      <c r="AF1251" s="25"/>
      <c r="AG1251" s="7"/>
      <c r="AH1251" s="7"/>
      <c r="AI1251" s="7"/>
      <c r="AJ1251" s="6"/>
      <c r="AK1251" s="6"/>
      <c r="AL1251" s="6"/>
      <c r="AM1251" s="6"/>
      <c r="AN1251" s="6"/>
      <c r="AO1251" s="26"/>
      <c r="AP1251" s="11"/>
      <c r="AQ1251" s="7"/>
      <c r="AS1251" s="11"/>
      <c r="AT1251" s="6"/>
      <c r="AU1251" s="6"/>
      <c r="AV1251" s="6"/>
      <c r="AW1251" s="7"/>
      <c r="AX1251" s="6"/>
      <c r="AY1251" s="6"/>
      <c r="AZ1251" s="6"/>
      <c r="BA1251" s="6"/>
      <c r="BB1251" s="24"/>
      <c r="BD1251" s="6"/>
      <c r="BE1251" s="6"/>
      <c r="BF1251" s="6"/>
      <c r="BH1251" s="6"/>
      <c r="BI1251" s="6"/>
      <c r="BJ1251" s="6"/>
      <c r="BK1251" s="6"/>
      <c r="BL1251" s="6"/>
      <c r="BM1251" s="6"/>
    </row>
    <row r="1252" spans="1:65" x14ac:dyDescent="0.25">
      <c r="I1252" s="7"/>
      <c r="AH1252" s="7"/>
      <c r="AV1252" s="6"/>
    </row>
    <row r="1253" spans="1:65" x14ac:dyDescent="0.25">
      <c r="A1253" s="6"/>
      <c r="B1253" s="6"/>
      <c r="C1253" s="6"/>
      <c r="D1253" s="6"/>
      <c r="E1253" s="6"/>
      <c r="F1253" s="21"/>
      <c r="G1253" s="10"/>
      <c r="H1253" s="7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  <c r="AB1253" s="6"/>
      <c r="AC1253" s="6"/>
      <c r="AD1253" s="6"/>
      <c r="AE1253" s="6"/>
      <c r="AF1253" s="25"/>
      <c r="AG1253" s="7"/>
      <c r="AH1253" s="7"/>
      <c r="AI1253" s="7"/>
      <c r="AJ1253" s="6"/>
      <c r="AK1253" s="6"/>
      <c r="AL1253" s="6"/>
      <c r="AM1253" s="6"/>
      <c r="AN1253" s="6"/>
      <c r="AO1253" s="26"/>
      <c r="AP1253" s="11"/>
      <c r="AQ1253" s="7"/>
      <c r="AS1253" s="11"/>
      <c r="AT1253" s="6"/>
      <c r="AU1253" s="6"/>
      <c r="AW1253" s="7"/>
      <c r="AX1253" s="6"/>
      <c r="AY1253" s="6"/>
      <c r="AZ1253" s="6"/>
      <c r="BA1253" s="6"/>
      <c r="BB1253" s="24"/>
      <c r="BD1253" s="6"/>
      <c r="BE1253" s="6"/>
      <c r="BF1253" s="6"/>
      <c r="BH1253" s="6"/>
      <c r="BI1253" s="6"/>
      <c r="BJ1253" s="6"/>
      <c r="BK1253" s="6"/>
      <c r="BL1253" s="6"/>
      <c r="BM1253" s="6"/>
    </row>
    <row r="1254" spans="1:65" x14ac:dyDescent="0.25">
      <c r="AV1254" s="6"/>
    </row>
    <row r="1255" spans="1:65" x14ac:dyDescent="0.25">
      <c r="I1255" s="7"/>
      <c r="AH1255" s="7"/>
      <c r="AV1255" s="6"/>
    </row>
    <row r="1256" spans="1:65" x14ac:dyDescent="0.25">
      <c r="A1256" s="6"/>
      <c r="B1256" s="6"/>
      <c r="C1256" s="6"/>
      <c r="D1256" s="6"/>
      <c r="E1256" s="6"/>
      <c r="F1256" s="21"/>
      <c r="G1256" s="10"/>
      <c r="H1256" s="7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  <c r="AB1256" s="6"/>
      <c r="AC1256" s="6"/>
      <c r="AD1256" s="6"/>
      <c r="AE1256" s="6"/>
      <c r="AF1256" s="25"/>
      <c r="AG1256" s="7"/>
      <c r="AH1256" s="7"/>
      <c r="AI1256" s="7"/>
      <c r="AJ1256" s="6"/>
      <c r="AK1256" s="6"/>
      <c r="AL1256" s="6"/>
      <c r="AM1256" s="6"/>
      <c r="AN1256" s="6"/>
      <c r="AO1256" s="26"/>
      <c r="AP1256" s="11"/>
      <c r="AQ1256" s="7"/>
      <c r="AS1256" s="11"/>
      <c r="AT1256" s="6"/>
      <c r="AU1256" s="6"/>
      <c r="AW1256" s="7"/>
      <c r="AX1256" s="6"/>
      <c r="AY1256" s="6"/>
      <c r="AZ1256" s="6"/>
      <c r="BA1256" s="6"/>
      <c r="BB1256" s="24"/>
      <c r="BD1256" s="6"/>
      <c r="BE1256" s="6"/>
      <c r="BF1256" s="6"/>
      <c r="BH1256" s="6"/>
      <c r="BI1256" s="6"/>
      <c r="BJ1256" s="6"/>
      <c r="BK1256" s="6"/>
      <c r="BL1256" s="6"/>
      <c r="BM1256" s="6"/>
    </row>
    <row r="1257" spans="1:65" x14ac:dyDescent="0.25">
      <c r="A1257" s="6"/>
      <c r="B1257" s="6"/>
      <c r="C1257" s="6"/>
      <c r="D1257" s="6"/>
      <c r="E1257" s="6"/>
      <c r="F1257" s="21"/>
      <c r="G1257" s="10"/>
      <c r="H1257" s="7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  <c r="AB1257" s="6"/>
      <c r="AC1257" s="6"/>
      <c r="AD1257" s="6"/>
      <c r="AE1257" s="6"/>
      <c r="AF1257" s="25"/>
      <c r="AG1257" s="7"/>
      <c r="AH1257" s="7"/>
      <c r="AI1257" s="7"/>
      <c r="AJ1257" s="6"/>
      <c r="AK1257" s="6"/>
      <c r="AL1257" s="6"/>
      <c r="AM1257" s="6"/>
      <c r="AN1257" s="6"/>
      <c r="AO1257" s="26"/>
      <c r="AP1257" s="11"/>
      <c r="AQ1257" s="7"/>
      <c r="AS1257" s="11"/>
      <c r="AT1257" s="6"/>
      <c r="AU1257" s="6"/>
      <c r="AV1257" s="6"/>
      <c r="AW1257" s="7"/>
      <c r="AX1257" s="6"/>
      <c r="AY1257" s="6"/>
      <c r="AZ1257" s="6"/>
      <c r="BA1257" s="6"/>
      <c r="BB1257" s="24"/>
      <c r="BD1257" s="6"/>
      <c r="BE1257" s="6"/>
      <c r="BF1257" s="6"/>
      <c r="BH1257" s="6"/>
      <c r="BI1257" s="6"/>
      <c r="BJ1257" s="6"/>
      <c r="BK1257" s="6"/>
      <c r="BL1257" s="6"/>
      <c r="BM1257" s="6"/>
    </row>
    <row r="1260" spans="1:65" x14ac:dyDescent="0.25">
      <c r="A1260" s="6"/>
      <c r="B1260" s="6"/>
      <c r="C1260" s="6"/>
      <c r="D1260" s="6"/>
      <c r="E1260" s="6"/>
      <c r="F1260" s="21"/>
      <c r="G1260" s="10"/>
      <c r="H1260" s="7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  <c r="AB1260" s="6"/>
      <c r="AC1260" s="6"/>
      <c r="AD1260" s="6"/>
      <c r="AE1260" s="6"/>
      <c r="AF1260" s="25"/>
      <c r="AG1260" s="7"/>
      <c r="AH1260" s="7"/>
      <c r="AI1260" s="7"/>
      <c r="AJ1260" s="6"/>
      <c r="AK1260" s="6"/>
      <c r="AL1260" s="6"/>
      <c r="AM1260" s="6"/>
      <c r="AN1260" s="6"/>
      <c r="AO1260" s="26"/>
      <c r="AP1260" s="11"/>
      <c r="AQ1260" s="7"/>
      <c r="AS1260" s="11"/>
      <c r="AT1260" s="6"/>
      <c r="AU1260" s="6"/>
      <c r="AV1260" s="6"/>
      <c r="AW1260" s="7"/>
      <c r="AX1260" s="6"/>
      <c r="AY1260" s="6"/>
      <c r="AZ1260" s="6"/>
      <c r="BA1260" s="6"/>
      <c r="BB1260" s="24"/>
      <c r="BD1260" s="6"/>
      <c r="BE1260" s="6"/>
      <c r="BF1260" s="6"/>
      <c r="BH1260" s="6"/>
      <c r="BI1260" s="6"/>
      <c r="BJ1260" s="6"/>
      <c r="BK1260" s="6"/>
      <c r="BL1260" s="6"/>
      <c r="BM1260" s="6"/>
    </row>
    <row r="1261" spans="1:65" x14ac:dyDescent="0.25">
      <c r="I1261" s="7"/>
      <c r="AH1261" s="7"/>
      <c r="AV1261" s="6"/>
    </row>
    <row r="1262" spans="1:65" x14ac:dyDescent="0.25">
      <c r="A1262" s="6"/>
      <c r="B1262" s="6"/>
      <c r="C1262" s="6"/>
      <c r="D1262" s="6"/>
      <c r="E1262" s="6"/>
      <c r="F1262" s="21"/>
      <c r="G1262" s="10"/>
      <c r="H1262" s="7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  <c r="AB1262" s="6"/>
      <c r="AC1262" s="6"/>
      <c r="AD1262" s="6"/>
      <c r="AE1262" s="6"/>
      <c r="AF1262" s="25"/>
      <c r="AG1262" s="7"/>
      <c r="AH1262" s="7"/>
      <c r="AI1262" s="7"/>
      <c r="AJ1262" s="6"/>
      <c r="AK1262" s="6"/>
      <c r="AL1262" s="6"/>
      <c r="AM1262" s="6"/>
      <c r="AN1262" s="6"/>
      <c r="AO1262" s="26"/>
      <c r="AP1262" s="11"/>
      <c r="AQ1262" s="7"/>
      <c r="AS1262" s="11"/>
      <c r="AT1262" s="6"/>
      <c r="AU1262" s="6"/>
      <c r="AW1262" s="7"/>
      <c r="AX1262" s="6"/>
      <c r="AY1262" s="6"/>
      <c r="AZ1262" s="6"/>
      <c r="BA1262" s="6"/>
      <c r="BB1262" s="24"/>
      <c r="BD1262" s="6"/>
      <c r="BE1262" s="6"/>
      <c r="BF1262" s="6"/>
      <c r="BH1262" s="6"/>
      <c r="BI1262" s="6"/>
      <c r="BJ1262" s="6"/>
      <c r="BK1262" s="6"/>
      <c r="BL1262" s="6"/>
      <c r="BM1262" s="6"/>
    </row>
    <row r="1263" spans="1:65" x14ac:dyDescent="0.25">
      <c r="AV1263" s="6"/>
    </row>
    <row r="1264" spans="1:65" x14ac:dyDescent="0.25">
      <c r="I1264" s="7"/>
      <c r="AH1264" s="7"/>
      <c r="AV1264" s="6"/>
    </row>
    <row r="1265" spans="1:65" x14ac:dyDescent="0.25">
      <c r="A1265" s="6"/>
      <c r="B1265" s="6"/>
      <c r="C1265" s="6"/>
      <c r="D1265" s="6"/>
      <c r="E1265" s="6"/>
      <c r="F1265" s="21"/>
      <c r="G1265" s="10"/>
      <c r="H1265" s="7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  <c r="AB1265" s="6"/>
      <c r="AC1265" s="6"/>
      <c r="AD1265" s="6"/>
      <c r="AE1265" s="6"/>
      <c r="AF1265" s="25"/>
      <c r="AG1265" s="7"/>
      <c r="AH1265" s="7"/>
      <c r="AI1265" s="7"/>
      <c r="AJ1265" s="6"/>
      <c r="AK1265" s="6"/>
      <c r="AL1265" s="6"/>
      <c r="AM1265" s="6"/>
      <c r="AN1265" s="6"/>
      <c r="AO1265" s="26"/>
      <c r="AP1265" s="11"/>
      <c r="AQ1265" s="7"/>
      <c r="AS1265" s="11"/>
      <c r="AT1265" s="6"/>
      <c r="AU1265" s="6"/>
      <c r="AW1265" s="7"/>
      <c r="AX1265" s="6"/>
      <c r="AY1265" s="6"/>
      <c r="AZ1265" s="6"/>
      <c r="BA1265" s="6"/>
      <c r="BB1265" s="24"/>
      <c r="BD1265" s="6"/>
      <c r="BE1265" s="6"/>
      <c r="BF1265" s="6"/>
      <c r="BH1265" s="6"/>
      <c r="BI1265" s="6"/>
      <c r="BJ1265" s="6"/>
      <c r="BK1265" s="6"/>
      <c r="BL1265" s="6"/>
      <c r="BM1265" s="6"/>
    </row>
    <row r="1266" spans="1:65" x14ac:dyDescent="0.25">
      <c r="A1266" s="6"/>
      <c r="B1266" s="6"/>
      <c r="C1266" s="6"/>
      <c r="D1266" s="6"/>
      <c r="E1266" s="6"/>
      <c r="F1266" s="21"/>
      <c r="G1266" s="10"/>
      <c r="H1266" s="7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  <c r="AB1266" s="6"/>
      <c r="AC1266" s="6"/>
      <c r="AD1266" s="6"/>
      <c r="AE1266" s="6"/>
      <c r="AF1266" s="25"/>
      <c r="AG1266" s="7"/>
      <c r="AH1266" s="7"/>
      <c r="AI1266" s="7"/>
      <c r="AJ1266" s="6"/>
      <c r="AK1266" s="6"/>
      <c r="AL1266" s="6"/>
      <c r="AM1266" s="6"/>
      <c r="AN1266" s="6"/>
      <c r="AO1266" s="26"/>
      <c r="AP1266" s="11"/>
      <c r="AQ1266" s="7"/>
      <c r="AS1266" s="11"/>
      <c r="AT1266" s="6"/>
      <c r="AU1266" s="6"/>
      <c r="AV1266" s="6"/>
      <c r="AW1266" s="7"/>
      <c r="AX1266" s="6"/>
      <c r="AY1266" s="6"/>
      <c r="AZ1266" s="6"/>
      <c r="BA1266" s="6"/>
      <c r="BB1266" s="24"/>
      <c r="BD1266" s="6"/>
      <c r="BE1266" s="6"/>
      <c r="BF1266" s="6"/>
      <c r="BH1266" s="6"/>
      <c r="BI1266" s="6"/>
      <c r="BJ1266" s="6"/>
      <c r="BK1266" s="6"/>
      <c r="BL1266" s="6"/>
      <c r="BM1266" s="6"/>
    </row>
    <row r="1269" spans="1:65" x14ac:dyDescent="0.25">
      <c r="A1269" s="6"/>
      <c r="B1269" s="6"/>
      <c r="C1269" s="6"/>
      <c r="D1269" s="6"/>
      <c r="E1269" s="6"/>
      <c r="F1269" s="21"/>
      <c r="G1269" s="10"/>
      <c r="H1269" s="7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  <c r="AB1269" s="6"/>
      <c r="AC1269" s="6"/>
      <c r="AD1269" s="6"/>
      <c r="AE1269" s="6"/>
      <c r="AF1269" s="25"/>
      <c r="AG1269" s="7"/>
      <c r="AH1269" s="7"/>
      <c r="AI1269" s="7"/>
      <c r="AJ1269" s="6"/>
      <c r="AK1269" s="6"/>
      <c r="AL1269" s="6"/>
      <c r="AM1269" s="6"/>
      <c r="AN1269" s="6"/>
      <c r="AO1269" s="26"/>
      <c r="AP1269" s="11"/>
      <c r="AQ1269" s="7"/>
      <c r="AS1269" s="11"/>
      <c r="AT1269" s="6"/>
      <c r="AU1269" s="6"/>
      <c r="AV1269" s="6"/>
      <c r="AW1269" s="7"/>
      <c r="AX1269" s="6"/>
      <c r="AY1269" s="6"/>
      <c r="AZ1269" s="6"/>
      <c r="BA1269" s="6"/>
      <c r="BB1269" s="24"/>
      <c r="BD1269" s="6"/>
      <c r="BE1269" s="6"/>
      <c r="BF1269" s="6"/>
      <c r="BH1269" s="6"/>
      <c r="BI1269" s="6"/>
      <c r="BJ1269" s="6"/>
      <c r="BK1269" s="6"/>
      <c r="BL1269" s="6"/>
      <c r="BM1269" s="6"/>
    </row>
    <row r="1270" spans="1:65" x14ac:dyDescent="0.25">
      <c r="I1270" s="7"/>
      <c r="AH1270" s="7"/>
      <c r="AV1270" s="6"/>
    </row>
    <row r="1271" spans="1:65" x14ac:dyDescent="0.25">
      <c r="A1271" s="6"/>
      <c r="B1271" s="6"/>
      <c r="C1271" s="6"/>
      <c r="D1271" s="6"/>
      <c r="E1271" s="6"/>
      <c r="F1271" s="21"/>
      <c r="G1271" s="10"/>
      <c r="H1271" s="7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/>
      <c r="AC1271" s="6"/>
      <c r="AD1271" s="6"/>
      <c r="AE1271" s="6"/>
      <c r="AF1271" s="25"/>
      <c r="AG1271" s="7"/>
      <c r="AH1271" s="7"/>
      <c r="AI1271" s="7"/>
      <c r="AJ1271" s="6"/>
      <c r="AK1271" s="6"/>
      <c r="AL1271" s="6"/>
      <c r="AM1271" s="6"/>
      <c r="AN1271" s="6"/>
      <c r="AO1271" s="26"/>
      <c r="AP1271" s="11"/>
      <c r="AQ1271" s="7"/>
      <c r="AS1271" s="11"/>
      <c r="AT1271" s="6"/>
      <c r="AU1271" s="6"/>
      <c r="AW1271" s="7"/>
      <c r="AX1271" s="6"/>
      <c r="AY1271" s="6"/>
      <c r="AZ1271" s="6"/>
      <c r="BA1271" s="6"/>
      <c r="BB1271" s="24"/>
      <c r="BD1271" s="6"/>
      <c r="BE1271" s="6"/>
      <c r="BF1271" s="6"/>
      <c r="BH1271" s="6"/>
      <c r="BI1271" s="6"/>
      <c r="BJ1271" s="6"/>
      <c r="BK1271" s="6"/>
      <c r="BL1271" s="6"/>
      <c r="BM1271" s="6"/>
    </row>
    <row r="1272" spans="1:65" x14ac:dyDescent="0.25">
      <c r="AV1272" s="6"/>
    </row>
    <row r="1273" spans="1:65" x14ac:dyDescent="0.25">
      <c r="I1273" s="7"/>
      <c r="AH1273" s="7"/>
      <c r="AV1273" s="6"/>
    </row>
    <row r="1274" spans="1:65" x14ac:dyDescent="0.25">
      <c r="A1274" s="6"/>
      <c r="B1274" s="6"/>
      <c r="C1274" s="6"/>
      <c r="D1274" s="6"/>
      <c r="E1274" s="6"/>
      <c r="F1274" s="21"/>
      <c r="G1274" s="10"/>
      <c r="H1274" s="7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  <c r="AB1274" s="6"/>
      <c r="AC1274" s="6"/>
      <c r="AD1274" s="6"/>
      <c r="AE1274" s="6"/>
      <c r="AF1274" s="25"/>
      <c r="AG1274" s="7"/>
      <c r="AH1274" s="7"/>
      <c r="AI1274" s="7"/>
      <c r="AJ1274" s="6"/>
      <c r="AK1274" s="6"/>
      <c r="AL1274" s="6"/>
      <c r="AM1274" s="6"/>
      <c r="AN1274" s="6"/>
      <c r="AO1274" s="26"/>
      <c r="AP1274" s="11"/>
      <c r="AQ1274" s="7"/>
      <c r="AS1274" s="11"/>
      <c r="AT1274" s="6"/>
      <c r="AU1274" s="6"/>
      <c r="AW1274" s="7"/>
      <c r="AX1274" s="6"/>
      <c r="AY1274" s="6"/>
      <c r="AZ1274" s="6"/>
      <c r="BA1274" s="6"/>
      <c r="BB1274" s="24"/>
      <c r="BD1274" s="6"/>
      <c r="BE1274" s="6"/>
      <c r="BF1274" s="6"/>
      <c r="BH1274" s="6"/>
      <c r="BI1274" s="6"/>
      <c r="BJ1274" s="6"/>
      <c r="BK1274" s="6"/>
      <c r="BL1274" s="6"/>
      <c r="BM1274" s="6"/>
    </row>
    <row r="1275" spans="1:65" x14ac:dyDescent="0.25">
      <c r="A1275" s="6"/>
      <c r="B1275" s="6"/>
      <c r="C1275" s="6"/>
      <c r="D1275" s="6"/>
      <c r="E1275" s="6"/>
      <c r="F1275" s="21"/>
      <c r="G1275" s="10"/>
      <c r="H1275" s="7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  <c r="AB1275" s="6"/>
      <c r="AC1275" s="6"/>
      <c r="AD1275" s="6"/>
      <c r="AE1275" s="6"/>
      <c r="AF1275" s="25"/>
      <c r="AG1275" s="7"/>
      <c r="AH1275" s="7"/>
      <c r="AI1275" s="7"/>
      <c r="AJ1275" s="6"/>
      <c r="AK1275" s="6"/>
      <c r="AL1275" s="6"/>
      <c r="AM1275" s="6"/>
      <c r="AN1275" s="6"/>
      <c r="AO1275" s="26"/>
      <c r="AP1275" s="11"/>
      <c r="AQ1275" s="7"/>
      <c r="AS1275" s="11"/>
      <c r="AT1275" s="6"/>
      <c r="AU1275" s="6"/>
      <c r="AV1275" s="6"/>
      <c r="AW1275" s="7"/>
      <c r="AX1275" s="6"/>
      <c r="AY1275" s="6"/>
      <c r="AZ1275" s="6"/>
      <c r="BA1275" s="6"/>
      <c r="BB1275" s="24"/>
      <c r="BD1275" s="6"/>
      <c r="BE1275" s="6"/>
      <c r="BF1275" s="6"/>
      <c r="BH1275" s="6"/>
      <c r="BI1275" s="6"/>
      <c r="BJ1275" s="6"/>
      <c r="BK1275" s="6"/>
      <c r="BL1275" s="6"/>
      <c r="BM1275" s="6"/>
    </row>
    <row r="1278" spans="1:65" x14ac:dyDescent="0.25">
      <c r="A1278" s="6"/>
      <c r="B1278" s="6"/>
      <c r="C1278" s="6"/>
      <c r="D1278" s="6"/>
      <c r="E1278" s="6"/>
      <c r="F1278" s="21"/>
      <c r="G1278" s="10"/>
      <c r="H1278" s="7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  <c r="AB1278" s="6"/>
      <c r="AC1278" s="6"/>
      <c r="AD1278" s="6"/>
      <c r="AE1278" s="6"/>
      <c r="AF1278" s="25"/>
      <c r="AG1278" s="7"/>
      <c r="AH1278" s="7"/>
      <c r="AI1278" s="7"/>
      <c r="AJ1278" s="6"/>
      <c r="AK1278" s="6"/>
      <c r="AL1278" s="6"/>
      <c r="AM1278" s="6"/>
      <c r="AN1278" s="6"/>
      <c r="AO1278" s="26"/>
      <c r="AP1278" s="11"/>
      <c r="AQ1278" s="7"/>
      <c r="AS1278" s="11"/>
      <c r="AT1278" s="6"/>
      <c r="AU1278" s="6"/>
      <c r="AV1278" s="6"/>
      <c r="AW1278" s="7"/>
      <c r="AX1278" s="6"/>
      <c r="AY1278" s="6"/>
      <c r="AZ1278" s="6"/>
      <c r="BA1278" s="6"/>
      <c r="BB1278" s="24"/>
      <c r="BD1278" s="6"/>
      <c r="BE1278" s="6"/>
      <c r="BF1278" s="6"/>
      <c r="BH1278" s="6"/>
      <c r="BI1278" s="6"/>
      <c r="BJ1278" s="6"/>
      <c r="BK1278" s="6"/>
      <c r="BL1278" s="6"/>
      <c r="BM1278" s="6"/>
    </row>
    <row r="1279" spans="1:65" x14ac:dyDescent="0.25">
      <c r="I1279" s="7"/>
      <c r="AH1279" s="7"/>
      <c r="AV1279" s="6"/>
    </row>
    <row r="1280" spans="1:65" x14ac:dyDescent="0.25">
      <c r="A1280" s="6"/>
      <c r="B1280" s="6"/>
      <c r="C1280" s="6"/>
      <c r="D1280" s="6"/>
      <c r="E1280" s="6"/>
      <c r="F1280" s="21"/>
      <c r="G1280" s="10"/>
      <c r="H1280" s="7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  <c r="AB1280" s="6"/>
      <c r="AC1280" s="6"/>
      <c r="AD1280" s="6"/>
      <c r="AE1280" s="6"/>
      <c r="AF1280" s="25"/>
      <c r="AG1280" s="7"/>
      <c r="AH1280" s="7"/>
      <c r="AI1280" s="7"/>
      <c r="AJ1280" s="6"/>
      <c r="AK1280" s="6"/>
      <c r="AL1280" s="6"/>
      <c r="AM1280" s="6"/>
      <c r="AN1280" s="6"/>
      <c r="AO1280" s="26"/>
      <c r="AP1280" s="11"/>
      <c r="AQ1280" s="7"/>
      <c r="AS1280" s="11"/>
      <c r="AT1280" s="6"/>
      <c r="AU1280" s="6"/>
      <c r="AW1280" s="7"/>
      <c r="AX1280" s="6"/>
      <c r="AY1280" s="6"/>
      <c r="AZ1280" s="6"/>
      <c r="BA1280" s="6"/>
      <c r="BB1280" s="24"/>
      <c r="BD1280" s="6"/>
      <c r="BE1280" s="6"/>
      <c r="BF1280" s="6"/>
      <c r="BH1280" s="6"/>
      <c r="BI1280" s="6"/>
      <c r="BJ1280" s="6"/>
      <c r="BK1280" s="6"/>
      <c r="BL1280" s="6"/>
      <c r="BM1280" s="6"/>
    </row>
    <row r="1281" spans="1:65" x14ac:dyDescent="0.25">
      <c r="AV1281" s="6"/>
    </row>
    <row r="1282" spans="1:65" x14ac:dyDescent="0.25">
      <c r="I1282" s="7"/>
      <c r="AH1282" s="7"/>
      <c r="AV1282" s="6"/>
    </row>
    <row r="1283" spans="1:65" x14ac:dyDescent="0.25">
      <c r="A1283" s="6"/>
      <c r="B1283" s="6"/>
      <c r="C1283" s="6"/>
      <c r="D1283" s="6"/>
      <c r="E1283" s="6"/>
      <c r="F1283" s="21"/>
      <c r="G1283" s="10"/>
      <c r="H1283" s="7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  <c r="AB1283" s="6"/>
      <c r="AC1283" s="6"/>
      <c r="AD1283" s="6"/>
      <c r="AE1283" s="6"/>
      <c r="AF1283" s="25"/>
      <c r="AG1283" s="7"/>
      <c r="AH1283" s="7"/>
      <c r="AI1283" s="7"/>
      <c r="AJ1283" s="6"/>
      <c r="AK1283" s="6"/>
      <c r="AL1283" s="6"/>
      <c r="AM1283" s="6"/>
      <c r="AN1283" s="6"/>
      <c r="AO1283" s="26"/>
      <c r="AP1283" s="11"/>
      <c r="AQ1283" s="7"/>
      <c r="AS1283" s="11"/>
      <c r="AT1283" s="6"/>
      <c r="AU1283" s="6"/>
      <c r="AW1283" s="7"/>
      <c r="AX1283" s="6"/>
      <c r="AY1283" s="6"/>
      <c r="AZ1283" s="6"/>
      <c r="BA1283" s="6"/>
      <c r="BB1283" s="24"/>
      <c r="BD1283" s="6"/>
      <c r="BE1283" s="6"/>
      <c r="BF1283" s="6"/>
      <c r="BH1283" s="6"/>
      <c r="BI1283" s="6"/>
      <c r="BJ1283" s="6"/>
      <c r="BK1283" s="6"/>
      <c r="BL1283" s="6"/>
      <c r="BM1283" s="6"/>
    </row>
    <row r="1284" spans="1:65" x14ac:dyDescent="0.25">
      <c r="A1284" s="6"/>
      <c r="B1284" s="6"/>
      <c r="C1284" s="6"/>
      <c r="D1284" s="6"/>
      <c r="E1284" s="6"/>
      <c r="F1284" s="21"/>
      <c r="G1284" s="10"/>
      <c r="H1284" s="7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  <c r="AB1284" s="6"/>
      <c r="AC1284" s="6"/>
      <c r="AD1284" s="6"/>
      <c r="AE1284" s="6"/>
      <c r="AF1284" s="25"/>
      <c r="AG1284" s="7"/>
      <c r="AH1284" s="7"/>
      <c r="AI1284" s="7"/>
      <c r="AJ1284" s="6"/>
      <c r="AK1284" s="6"/>
      <c r="AL1284" s="6"/>
      <c r="AM1284" s="6"/>
      <c r="AN1284" s="6"/>
      <c r="AO1284" s="26"/>
      <c r="AP1284" s="11"/>
      <c r="AQ1284" s="7"/>
      <c r="AS1284" s="11"/>
      <c r="AT1284" s="6"/>
      <c r="AU1284" s="6"/>
      <c r="AV1284" s="6"/>
      <c r="AW1284" s="7"/>
      <c r="AX1284" s="6"/>
      <c r="AY1284" s="6"/>
      <c r="AZ1284" s="6"/>
      <c r="BA1284" s="6"/>
      <c r="BB1284" s="24"/>
      <c r="BD1284" s="6"/>
      <c r="BE1284" s="6"/>
      <c r="BF1284" s="6"/>
      <c r="BH1284" s="6"/>
      <c r="BI1284" s="6"/>
      <c r="BJ1284" s="6"/>
      <c r="BK1284" s="6"/>
      <c r="BL1284" s="6"/>
      <c r="BM1284" s="6"/>
    </row>
    <row r="1287" spans="1:65" x14ac:dyDescent="0.25">
      <c r="A1287" s="6"/>
      <c r="B1287" s="6"/>
      <c r="C1287" s="6"/>
      <c r="D1287" s="6"/>
      <c r="E1287" s="6"/>
      <c r="F1287" s="21"/>
      <c r="G1287" s="10"/>
      <c r="H1287" s="7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  <c r="AB1287" s="6"/>
      <c r="AC1287" s="6"/>
      <c r="AD1287" s="6"/>
      <c r="AE1287" s="6"/>
      <c r="AF1287" s="25"/>
      <c r="AG1287" s="7"/>
      <c r="AH1287" s="7"/>
      <c r="AI1287" s="7"/>
      <c r="AJ1287" s="6"/>
      <c r="AK1287" s="6"/>
      <c r="AL1287" s="6"/>
      <c r="AM1287" s="6"/>
      <c r="AN1287" s="6"/>
      <c r="AO1287" s="26"/>
      <c r="AP1287" s="11"/>
      <c r="AQ1287" s="7"/>
      <c r="AS1287" s="11"/>
      <c r="AT1287" s="6"/>
      <c r="AU1287" s="6"/>
      <c r="AV1287" s="6"/>
      <c r="AW1287" s="7"/>
      <c r="AX1287" s="6"/>
      <c r="AY1287" s="6"/>
      <c r="AZ1287" s="6"/>
      <c r="BA1287" s="6"/>
      <c r="BB1287" s="24"/>
      <c r="BD1287" s="6"/>
      <c r="BE1287" s="6"/>
      <c r="BF1287" s="6"/>
      <c r="BH1287" s="6"/>
      <c r="BI1287" s="6"/>
      <c r="BJ1287" s="6"/>
      <c r="BK1287" s="6"/>
      <c r="BL1287" s="6"/>
      <c r="BM1287" s="6"/>
    </row>
    <row r="1288" spans="1:65" x14ac:dyDescent="0.25">
      <c r="I1288" s="7"/>
      <c r="AH1288" s="7"/>
      <c r="AV1288" s="6"/>
    </row>
    <row r="1289" spans="1:65" x14ac:dyDescent="0.25">
      <c r="A1289" s="6"/>
      <c r="B1289" s="6"/>
      <c r="C1289" s="6"/>
      <c r="D1289" s="6"/>
      <c r="E1289" s="6"/>
      <c r="F1289" s="21"/>
      <c r="G1289" s="10"/>
      <c r="H1289" s="7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  <c r="AB1289" s="6"/>
      <c r="AC1289" s="6"/>
      <c r="AD1289" s="6"/>
      <c r="AE1289" s="6"/>
      <c r="AF1289" s="25"/>
      <c r="AG1289" s="7"/>
      <c r="AH1289" s="7"/>
      <c r="AI1289" s="7"/>
      <c r="AJ1289" s="6"/>
      <c r="AK1289" s="6"/>
      <c r="AL1289" s="6"/>
      <c r="AM1289" s="6"/>
      <c r="AN1289" s="6"/>
      <c r="AO1289" s="26"/>
      <c r="AP1289" s="11"/>
      <c r="AQ1289" s="7"/>
      <c r="AS1289" s="11"/>
      <c r="AT1289" s="6"/>
      <c r="AU1289" s="6"/>
      <c r="AW1289" s="7"/>
      <c r="AX1289" s="6"/>
      <c r="AY1289" s="6"/>
      <c r="AZ1289" s="6"/>
      <c r="BA1289" s="6"/>
      <c r="BB1289" s="24"/>
      <c r="BD1289" s="6"/>
      <c r="BE1289" s="6"/>
      <c r="BF1289" s="6"/>
      <c r="BH1289" s="6"/>
      <c r="BI1289" s="6"/>
      <c r="BJ1289" s="6"/>
      <c r="BK1289" s="6"/>
      <c r="BL1289" s="6"/>
      <c r="BM1289" s="6"/>
    </row>
    <row r="1290" spans="1:65" x14ac:dyDescent="0.25">
      <c r="AV1290" s="6"/>
    </row>
    <row r="1291" spans="1:65" x14ac:dyDescent="0.25">
      <c r="I1291" s="7"/>
      <c r="AH1291" s="7"/>
      <c r="AV1291" s="6"/>
    </row>
    <row r="1292" spans="1:65" x14ac:dyDescent="0.25">
      <c r="A1292" s="6"/>
      <c r="B1292" s="6"/>
      <c r="C1292" s="6"/>
      <c r="D1292" s="6"/>
      <c r="E1292" s="6"/>
      <c r="F1292" s="21"/>
      <c r="G1292" s="10"/>
      <c r="H1292" s="7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  <c r="AB1292" s="6"/>
      <c r="AC1292" s="6"/>
      <c r="AD1292" s="6"/>
      <c r="AE1292" s="6"/>
      <c r="AF1292" s="25"/>
      <c r="AG1292" s="7"/>
      <c r="AH1292" s="7"/>
      <c r="AI1292" s="7"/>
      <c r="AJ1292" s="6"/>
      <c r="AK1292" s="6"/>
      <c r="AL1292" s="6"/>
      <c r="AM1292" s="6"/>
      <c r="AN1292" s="6"/>
      <c r="AO1292" s="26"/>
      <c r="AP1292" s="11"/>
      <c r="AQ1292" s="7"/>
      <c r="AS1292" s="11"/>
      <c r="AT1292" s="6"/>
      <c r="AU1292" s="6"/>
      <c r="AW1292" s="7"/>
      <c r="AX1292" s="6"/>
      <c r="AY1292" s="6"/>
      <c r="AZ1292" s="6"/>
      <c r="BA1292" s="6"/>
      <c r="BB1292" s="24"/>
      <c r="BD1292" s="6"/>
      <c r="BE1292" s="6"/>
      <c r="BF1292" s="6"/>
      <c r="BH1292" s="6"/>
      <c r="BI1292" s="6"/>
      <c r="BJ1292" s="6"/>
      <c r="BK1292" s="6"/>
      <c r="BL1292" s="6"/>
      <c r="BM1292" s="6"/>
    </row>
    <row r="1293" spans="1:65" x14ac:dyDescent="0.25">
      <c r="A1293" s="6"/>
      <c r="B1293" s="6"/>
      <c r="C1293" s="6"/>
      <c r="D1293" s="6"/>
      <c r="E1293" s="6"/>
      <c r="F1293" s="21"/>
      <c r="G1293" s="10"/>
      <c r="H1293" s="7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/>
      <c r="AC1293" s="6"/>
      <c r="AD1293" s="6"/>
      <c r="AE1293" s="6"/>
      <c r="AF1293" s="25"/>
      <c r="AG1293" s="7"/>
      <c r="AH1293" s="7"/>
      <c r="AI1293" s="7"/>
      <c r="AJ1293" s="6"/>
      <c r="AK1293" s="6"/>
      <c r="AL1293" s="6"/>
      <c r="AM1293" s="6"/>
      <c r="AN1293" s="6"/>
      <c r="AO1293" s="26"/>
      <c r="AP1293" s="11"/>
      <c r="AQ1293" s="7"/>
      <c r="AS1293" s="11"/>
      <c r="AT1293" s="6"/>
      <c r="AU1293" s="6"/>
      <c r="AV1293" s="6"/>
      <c r="AW1293" s="7"/>
      <c r="AX1293" s="6"/>
      <c r="AY1293" s="6"/>
      <c r="AZ1293" s="6"/>
      <c r="BA1293" s="6"/>
      <c r="BB1293" s="24"/>
      <c r="BD1293" s="6"/>
      <c r="BE1293" s="6"/>
      <c r="BF1293" s="6"/>
      <c r="BH1293" s="6"/>
      <c r="BI1293" s="6"/>
      <c r="BJ1293" s="6"/>
      <c r="BK1293" s="6"/>
      <c r="BL1293" s="6"/>
      <c r="BM1293" s="6"/>
    </row>
    <row r="1296" spans="1:65" x14ac:dyDescent="0.25">
      <c r="A1296" s="6"/>
      <c r="B1296" s="6"/>
      <c r="C1296" s="6"/>
      <c r="D1296" s="6"/>
      <c r="E1296" s="6"/>
      <c r="F1296" s="21"/>
      <c r="G1296" s="10"/>
      <c r="H1296" s="7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  <c r="AB1296" s="6"/>
      <c r="AC1296" s="6"/>
      <c r="AD1296" s="6"/>
      <c r="AE1296" s="6"/>
      <c r="AF1296" s="25"/>
      <c r="AG1296" s="7"/>
      <c r="AH1296" s="7"/>
      <c r="AI1296" s="7"/>
      <c r="AJ1296" s="6"/>
      <c r="AK1296" s="6"/>
      <c r="AL1296" s="6"/>
      <c r="AM1296" s="6"/>
      <c r="AN1296" s="6"/>
      <c r="AO1296" s="26"/>
      <c r="AP1296" s="11"/>
      <c r="AQ1296" s="7"/>
      <c r="AS1296" s="11"/>
      <c r="AT1296" s="6"/>
      <c r="AU1296" s="6"/>
      <c r="AV1296" s="6"/>
      <c r="AW1296" s="7"/>
      <c r="AX1296" s="6"/>
      <c r="AY1296" s="6"/>
      <c r="AZ1296" s="6"/>
      <c r="BA1296" s="6"/>
      <c r="BB1296" s="24"/>
      <c r="BD1296" s="6"/>
      <c r="BE1296" s="6"/>
      <c r="BF1296" s="6"/>
      <c r="BH1296" s="6"/>
      <c r="BI1296" s="6"/>
      <c r="BJ1296" s="6"/>
      <c r="BK1296" s="6"/>
      <c r="BL1296" s="6"/>
      <c r="BM1296" s="6"/>
    </row>
    <row r="1297" spans="1:65" x14ac:dyDescent="0.25">
      <c r="I1297" s="7"/>
      <c r="AH1297" s="7"/>
      <c r="AV1297" s="6"/>
    </row>
    <row r="1298" spans="1:65" x14ac:dyDescent="0.25">
      <c r="A1298" s="6"/>
      <c r="B1298" s="6"/>
      <c r="C1298" s="6"/>
      <c r="D1298" s="6"/>
      <c r="E1298" s="6"/>
      <c r="F1298" s="21"/>
      <c r="G1298" s="10"/>
      <c r="H1298" s="7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/>
      <c r="AC1298" s="6"/>
      <c r="AD1298" s="6"/>
      <c r="AE1298" s="6"/>
      <c r="AF1298" s="25"/>
      <c r="AG1298" s="7"/>
      <c r="AH1298" s="7"/>
      <c r="AI1298" s="7"/>
      <c r="AJ1298" s="6"/>
      <c r="AK1298" s="6"/>
      <c r="AL1298" s="6"/>
      <c r="AM1298" s="6"/>
      <c r="AN1298" s="6"/>
      <c r="AO1298" s="26"/>
      <c r="AP1298" s="11"/>
      <c r="AQ1298" s="7"/>
      <c r="AS1298" s="11"/>
      <c r="AT1298" s="6"/>
      <c r="AU1298" s="6"/>
      <c r="AW1298" s="7"/>
      <c r="AX1298" s="6"/>
      <c r="AY1298" s="6"/>
      <c r="AZ1298" s="6"/>
      <c r="BA1298" s="6"/>
      <c r="BB1298" s="24"/>
      <c r="BD1298" s="6"/>
      <c r="BE1298" s="6"/>
      <c r="BF1298" s="6"/>
      <c r="BH1298" s="6"/>
      <c r="BI1298" s="6"/>
      <c r="BJ1298" s="6"/>
      <c r="BK1298" s="6"/>
      <c r="BL1298" s="6"/>
      <c r="BM1298" s="6"/>
    </row>
    <row r="1299" spans="1:65" x14ac:dyDescent="0.25">
      <c r="AV1299" s="6"/>
    </row>
    <row r="1300" spans="1:65" x14ac:dyDescent="0.25">
      <c r="I1300" s="7"/>
      <c r="AH1300" s="7"/>
      <c r="AV1300" s="6"/>
    </row>
    <row r="1301" spans="1:65" x14ac:dyDescent="0.25">
      <c r="A1301" s="6"/>
      <c r="B1301" s="6"/>
      <c r="C1301" s="6"/>
      <c r="D1301" s="6"/>
      <c r="E1301" s="6"/>
      <c r="F1301" s="21"/>
      <c r="G1301" s="10"/>
      <c r="H1301" s="7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/>
      <c r="AC1301" s="6"/>
      <c r="AD1301" s="6"/>
      <c r="AE1301" s="6"/>
      <c r="AF1301" s="25"/>
      <c r="AG1301" s="7"/>
      <c r="AH1301" s="7"/>
      <c r="AI1301" s="7"/>
      <c r="AJ1301" s="6"/>
      <c r="AK1301" s="6"/>
      <c r="AL1301" s="6"/>
      <c r="AM1301" s="6"/>
      <c r="AN1301" s="6"/>
      <c r="AO1301" s="26"/>
      <c r="AP1301" s="11"/>
      <c r="AQ1301" s="7"/>
      <c r="AS1301" s="11"/>
      <c r="AT1301" s="6"/>
      <c r="AU1301" s="6"/>
      <c r="AW1301" s="7"/>
      <c r="AX1301" s="6"/>
      <c r="AY1301" s="6"/>
      <c r="AZ1301" s="6"/>
      <c r="BA1301" s="6"/>
      <c r="BB1301" s="24"/>
      <c r="BD1301" s="6"/>
      <c r="BE1301" s="6"/>
      <c r="BF1301" s="6"/>
      <c r="BH1301" s="6"/>
      <c r="BI1301" s="6"/>
      <c r="BJ1301" s="6"/>
      <c r="BK1301" s="6"/>
      <c r="BL1301" s="6"/>
      <c r="BM1301" s="6"/>
    </row>
    <row r="1302" spans="1:65" x14ac:dyDescent="0.25">
      <c r="A1302" s="6"/>
      <c r="B1302" s="6"/>
      <c r="C1302" s="6"/>
      <c r="D1302" s="6"/>
      <c r="E1302" s="6"/>
      <c r="F1302" s="21"/>
      <c r="G1302" s="10"/>
      <c r="H1302" s="7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  <c r="AB1302" s="6"/>
      <c r="AC1302" s="6"/>
      <c r="AD1302" s="6"/>
      <c r="AE1302" s="6"/>
      <c r="AF1302" s="25"/>
      <c r="AG1302" s="7"/>
      <c r="AH1302" s="7"/>
      <c r="AI1302" s="7"/>
      <c r="AJ1302" s="6"/>
      <c r="AK1302" s="6"/>
      <c r="AL1302" s="6"/>
      <c r="AM1302" s="6"/>
      <c r="AN1302" s="6"/>
      <c r="AO1302" s="26"/>
      <c r="AP1302" s="11"/>
      <c r="AQ1302" s="7"/>
      <c r="AS1302" s="11"/>
      <c r="AT1302" s="6"/>
      <c r="AU1302" s="6"/>
      <c r="AV1302" s="6"/>
      <c r="AW1302" s="7"/>
      <c r="AX1302" s="6"/>
      <c r="AY1302" s="6"/>
      <c r="AZ1302" s="6"/>
      <c r="BA1302" s="6"/>
      <c r="BB1302" s="24"/>
      <c r="BD1302" s="6"/>
      <c r="BE1302" s="6"/>
      <c r="BF1302" s="6"/>
      <c r="BH1302" s="6"/>
      <c r="BI1302" s="6"/>
      <c r="BJ1302" s="6"/>
      <c r="BK1302" s="6"/>
      <c r="BL1302" s="6"/>
      <c r="BM1302" s="6"/>
    </row>
    <row r="1305" spans="1:65" x14ac:dyDescent="0.25">
      <c r="A1305" s="6"/>
      <c r="B1305" s="6"/>
      <c r="C1305" s="6"/>
      <c r="D1305" s="6"/>
      <c r="E1305" s="6"/>
      <c r="F1305" s="21"/>
      <c r="G1305" s="10"/>
      <c r="H1305" s="7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  <c r="AB1305" s="6"/>
      <c r="AC1305" s="6"/>
      <c r="AD1305" s="6"/>
      <c r="AE1305" s="6"/>
      <c r="AF1305" s="25"/>
      <c r="AG1305" s="7"/>
      <c r="AH1305" s="7"/>
      <c r="AI1305" s="7"/>
      <c r="AJ1305" s="6"/>
      <c r="AK1305" s="6"/>
      <c r="AL1305" s="6"/>
      <c r="AM1305" s="6"/>
      <c r="AN1305" s="6"/>
      <c r="AO1305" s="26"/>
      <c r="AP1305" s="11"/>
      <c r="AQ1305" s="7"/>
      <c r="AS1305" s="11"/>
      <c r="AT1305" s="6"/>
      <c r="AU1305" s="6"/>
      <c r="AV1305" s="6"/>
      <c r="AW1305" s="7"/>
      <c r="AX1305" s="6"/>
      <c r="AY1305" s="6"/>
      <c r="AZ1305" s="6"/>
      <c r="BA1305" s="6"/>
      <c r="BB1305" s="24"/>
      <c r="BD1305" s="6"/>
      <c r="BE1305" s="6"/>
      <c r="BF1305" s="6"/>
      <c r="BH1305" s="6"/>
      <c r="BI1305" s="6"/>
      <c r="BJ1305" s="6"/>
      <c r="BK1305" s="6"/>
      <c r="BL1305" s="6"/>
      <c r="BM1305" s="6"/>
    </row>
    <row r="1306" spans="1:65" x14ac:dyDescent="0.25">
      <c r="I1306" s="7"/>
      <c r="AH1306" s="7"/>
      <c r="AV1306" s="6"/>
    </row>
    <row r="1307" spans="1:65" x14ac:dyDescent="0.25">
      <c r="A1307" s="6"/>
      <c r="B1307" s="6"/>
      <c r="C1307" s="6"/>
      <c r="D1307" s="6"/>
      <c r="E1307" s="6"/>
      <c r="F1307" s="21"/>
      <c r="G1307" s="10"/>
      <c r="H1307" s="7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/>
      <c r="AC1307" s="6"/>
      <c r="AD1307" s="6"/>
      <c r="AE1307" s="6"/>
      <c r="AF1307" s="25"/>
      <c r="AG1307" s="7"/>
      <c r="AH1307" s="7"/>
      <c r="AI1307" s="7"/>
      <c r="AJ1307" s="6"/>
      <c r="AK1307" s="6"/>
      <c r="AL1307" s="6"/>
      <c r="AM1307" s="6"/>
      <c r="AN1307" s="6"/>
      <c r="AO1307" s="26"/>
      <c r="AP1307" s="11"/>
      <c r="AQ1307" s="7"/>
      <c r="AS1307" s="11"/>
      <c r="AT1307" s="6"/>
      <c r="AU1307" s="6"/>
      <c r="AW1307" s="7"/>
      <c r="AX1307" s="6"/>
      <c r="AY1307" s="6"/>
      <c r="AZ1307" s="6"/>
      <c r="BA1307" s="6"/>
      <c r="BB1307" s="24"/>
      <c r="BD1307" s="6"/>
      <c r="BE1307" s="6"/>
      <c r="BF1307" s="6"/>
      <c r="BH1307" s="6"/>
      <c r="BI1307" s="6"/>
      <c r="BJ1307" s="6"/>
      <c r="BK1307" s="6"/>
      <c r="BL1307" s="6"/>
      <c r="BM1307" s="6"/>
    </row>
    <row r="1308" spans="1:65" x14ac:dyDescent="0.25">
      <c r="AV1308" s="6"/>
    </row>
    <row r="1309" spans="1:65" x14ac:dyDescent="0.25">
      <c r="I1309" s="7"/>
      <c r="AH1309" s="7"/>
      <c r="AV1309" s="6"/>
    </row>
    <row r="1310" spans="1:65" x14ac:dyDescent="0.25">
      <c r="A1310" s="6"/>
      <c r="B1310" s="6"/>
      <c r="C1310" s="6"/>
      <c r="D1310" s="6"/>
      <c r="E1310" s="6"/>
      <c r="F1310" s="21"/>
      <c r="G1310" s="10"/>
      <c r="H1310" s="7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  <c r="AB1310" s="6"/>
      <c r="AC1310" s="6"/>
      <c r="AD1310" s="6"/>
      <c r="AE1310" s="6"/>
      <c r="AF1310" s="25"/>
      <c r="AG1310" s="7"/>
      <c r="AH1310" s="7"/>
      <c r="AI1310" s="7"/>
      <c r="AJ1310" s="6"/>
      <c r="AK1310" s="6"/>
      <c r="AL1310" s="6"/>
      <c r="AM1310" s="6"/>
      <c r="AN1310" s="6"/>
      <c r="AO1310" s="26"/>
      <c r="AP1310" s="11"/>
      <c r="AQ1310" s="7"/>
      <c r="AS1310" s="11"/>
      <c r="AT1310" s="6"/>
      <c r="AU1310" s="6"/>
      <c r="AW1310" s="7"/>
      <c r="AX1310" s="6"/>
      <c r="AY1310" s="6"/>
      <c r="AZ1310" s="6"/>
      <c r="BA1310" s="6"/>
      <c r="BB1310" s="24"/>
      <c r="BD1310" s="6"/>
      <c r="BE1310" s="6"/>
      <c r="BF1310" s="6"/>
      <c r="BH1310" s="6"/>
      <c r="BI1310" s="6"/>
      <c r="BJ1310" s="6"/>
      <c r="BK1310" s="6"/>
      <c r="BL1310" s="6"/>
      <c r="BM1310" s="6"/>
    </row>
    <row r="1311" spans="1:65" x14ac:dyDescent="0.25">
      <c r="A1311" s="6"/>
      <c r="B1311" s="6"/>
      <c r="C1311" s="6"/>
      <c r="D1311" s="6"/>
      <c r="E1311" s="6"/>
      <c r="F1311" s="21"/>
      <c r="G1311" s="10"/>
      <c r="H1311" s="7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  <c r="AB1311" s="6"/>
      <c r="AC1311" s="6"/>
      <c r="AD1311" s="6"/>
      <c r="AE1311" s="6"/>
      <c r="AF1311" s="25"/>
      <c r="AG1311" s="7"/>
      <c r="AH1311" s="7"/>
      <c r="AI1311" s="7"/>
      <c r="AJ1311" s="6"/>
      <c r="AK1311" s="6"/>
      <c r="AL1311" s="6"/>
      <c r="AM1311" s="6"/>
      <c r="AN1311" s="6"/>
      <c r="AO1311" s="26"/>
      <c r="AP1311" s="11"/>
      <c r="AQ1311" s="7"/>
      <c r="AS1311" s="11"/>
      <c r="AT1311" s="6"/>
      <c r="AU1311" s="6"/>
      <c r="AV1311" s="6"/>
      <c r="AW1311" s="7"/>
      <c r="AX1311" s="6"/>
      <c r="AY1311" s="6"/>
      <c r="AZ1311" s="6"/>
      <c r="BA1311" s="6"/>
      <c r="BB1311" s="24"/>
      <c r="BD1311" s="6"/>
      <c r="BE1311" s="6"/>
      <c r="BF1311" s="6"/>
      <c r="BH1311" s="6"/>
      <c r="BI1311" s="6"/>
      <c r="BJ1311" s="6"/>
      <c r="BK1311" s="6"/>
      <c r="BL1311" s="6"/>
      <c r="BM1311" s="6"/>
    </row>
    <row r="1314" spans="1:65" x14ac:dyDescent="0.25">
      <c r="A1314" s="6"/>
      <c r="B1314" s="6"/>
      <c r="C1314" s="6"/>
      <c r="D1314" s="6"/>
      <c r="E1314" s="6"/>
      <c r="F1314" s="21"/>
      <c r="G1314" s="10"/>
      <c r="H1314" s="7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  <c r="AB1314" s="6"/>
      <c r="AC1314" s="6"/>
      <c r="AD1314" s="6"/>
      <c r="AE1314" s="6"/>
      <c r="AF1314" s="25"/>
      <c r="AG1314" s="7"/>
      <c r="AH1314" s="7"/>
      <c r="AI1314" s="7"/>
      <c r="AJ1314" s="6"/>
      <c r="AK1314" s="6"/>
      <c r="AL1314" s="6"/>
      <c r="AM1314" s="6"/>
      <c r="AN1314" s="6"/>
      <c r="AO1314" s="26"/>
      <c r="AP1314" s="11"/>
      <c r="AQ1314" s="7"/>
      <c r="AS1314" s="11"/>
      <c r="AT1314" s="6"/>
      <c r="AU1314" s="6"/>
      <c r="AV1314" s="6"/>
      <c r="AW1314" s="7"/>
      <c r="AX1314" s="6"/>
      <c r="AY1314" s="6"/>
      <c r="AZ1314" s="6"/>
      <c r="BA1314" s="6"/>
      <c r="BB1314" s="24"/>
      <c r="BD1314" s="6"/>
      <c r="BE1314" s="6"/>
      <c r="BF1314" s="6"/>
      <c r="BH1314" s="6"/>
      <c r="BI1314" s="6"/>
      <c r="BJ1314" s="6"/>
      <c r="BK1314" s="6"/>
      <c r="BL1314" s="6"/>
      <c r="BM1314" s="6"/>
    </row>
    <row r="1315" spans="1:65" x14ac:dyDescent="0.25">
      <c r="I1315" s="7"/>
      <c r="AH1315" s="7"/>
      <c r="AV1315" s="6"/>
    </row>
    <row r="1316" spans="1:65" x14ac:dyDescent="0.25">
      <c r="A1316" s="6"/>
      <c r="B1316" s="6"/>
      <c r="C1316" s="6"/>
      <c r="D1316" s="6"/>
      <c r="E1316" s="6"/>
      <c r="F1316" s="21"/>
      <c r="G1316" s="10"/>
      <c r="H1316" s="7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  <c r="AB1316" s="6"/>
      <c r="AC1316" s="6"/>
      <c r="AD1316" s="6"/>
      <c r="AE1316" s="6"/>
      <c r="AF1316" s="25"/>
      <c r="AG1316" s="7"/>
      <c r="AH1316" s="7"/>
      <c r="AI1316" s="7"/>
      <c r="AJ1316" s="6"/>
      <c r="AK1316" s="6"/>
      <c r="AL1316" s="6"/>
      <c r="AM1316" s="6"/>
      <c r="AN1316" s="6"/>
      <c r="AO1316" s="26"/>
      <c r="AP1316" s="11"/>
      <c r="AQ1316" s="7"/>
      <c r="AS1316" s="11"/>
      <c r="AT1316" s="6"/>
      <c r="AU1316" s="6"/>
      <c r="AW1316" s="7"/>
      <c r="AX1316" s="6"/>
      <c r="AY1316" s="6"/>
      <c r="AZ1316" s="6"/>
      <c r="BA1316" s="6"/>
      <c r="BB1316" s="24"/>
      <c r="BD1316" s="6"/>
      <c r="BE1316" s="6"/>
      <c r="BF1316" s="6"/>
      <c r="BH1316" s="6"/>
      <c r="BI1316" s="6"/>
      <c r="BJ1316" s="6"/>
      <c r="BK1316" s="6"/>
      <c r="BL1316" s="6"/>
      <c r="BM1316" s="6"/>
    </row>
    <row r="1317" spans="1:65" x14ac:dyDescent="0.25">
      <c r="AV1317" s="6"/>
    </row>
    <row r="1318" spans="1:65" x14ac:dyDescent="0.25">
      <c r="I1318" s="7"/>
      <c r="AH1318" s="7"/>
      <c r="AV1318" s="6"/>
    </row>
    <row r="1319" spans="1:65" x14ac:dyDescent="0.25">
      <c r="A1319" s="6"/>
      <c r="B1319" s="6"/>
      <c r="C1319" s="6"/>
      <c r="D1319" s="6"/>
      <c r="E1319" s="6"/>
      <c r="F1319" s="21"/>
      <c r="G1319" s="10"/>
      <c r="H1319" s="7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  <c r="AB1319" s="6"/>
      <c r="AC1319" s="6"/>
      <c r="AD1319" s="6"/>
      <c r="AE1319" s="6"/>
      <c r="AF1319" s="25"/>
      <c r="AG1319" s="7"/>
      <c r="AH1319" s="7"/>
      <c r="AI1319" s="7"/>
      <c r="AJ1319" s="6"/>
      <c r="AK1319" s="6"/>
      <c r="AL1319" s="6"/>
      <c r="AM1319" s="6"/>
      <c r="AN1319" s="6"/>
      <c r="AO1319" s="26"/>
      <c r="AP1319" s="11"/>
      <c r="AQ1319" s="7"/>
      <c r="AS1319" s="11"/>
      <c r="AT1319" s="6"/>
      <c r="AU1319" s="6"/>
      <c r="AW1319" s="7"/>
      <c r="AX1319" s="6"/>
      <c r="AY1319" s="6"/>
      <c r="AZ1319" s="6"/>
      <c r="BA1319" s="6"/>
      <c r="BB1319" s="24"/>
      <c r="BD1319" s="6"/>
      <c r="BE1319" s="6"/>
      <c r="BF1319" s="6"/>
      <c r="BH1319" s="6"/>
      <c r="BI1319" s="6"/>
      <c r="BJ1319" s="6"/>
      <c r="BK1319" s="6"/>
      <c r="BL1319" s="6"/>
      <c r="BM1319" s="6"/>
    </row>
    <row r="1320" spans="1:65" x14ac:dyDescent="0.25">
      <c r="A1320" s="6"/>
      <c r="B1320" s="6"/>
      <c r="C1320" s="6"/>
      <c r="D1320" s="6"/>
      <c r="E1320" s="6"/>
      <c r="F1320" s="21"/>
      <c r="G1320" s="10"/>
      <c r="H1320" s="7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  <c r="AB1320" s="6"/>
      <c r="AC1320" s="6"/>
      <c r="AD1320" s="6"/>
      <c r="AE1320" s="6"/>
      <c r="AF1320" s="25"/>
      <c r="AG1320" s="7"/>
      <c r="AH1320" s="7"/>
      <c r="AI1320" s="7"/>
      <c r="AJ1320" s="6"/>
      <c r="AK1320" s="6"/>
      <c r="AL1320" s="6"/>
      <c r="AM1320" s="6"/>
      <c r="AN1320" s="6"/>
      <c r="AO1320" s="26"/>
      <c r="AP1320" s="11"/>
      <c r="AQ1320" s="7"/>
      <c r="AS1320" s="11"/>
      <c r="AT1320" s="6"/>
      <c r="AU1320" s="6"/>
      <c r="AV1320" s="6"/>
      <c r="AW1320" s="7"/>
      <c r="AX1320" s="6"/>
      <c r="AY1320" s="6"/>
      <c r="AZ1320" s="6"/>
      <c r="BA1320" s="6"/>
      <c r="BB1320" s="24"/>
      <c r="BD1320" s="6"/>
      <c r="BE1320" s="6"/>
      <c r="BF1320" s="6"/>
      <c r="BH1320" s="6"/>
      <c r="BI1320" s="6"/>
      <c r="BJ1320" s="6"/>
      <c r="BK1320" s="6"/>
      <c r="BL1320" s="6"/>
      <c r="BM1320" s="6"/>
    </row>
    <row r="1323" spans="1:65" x14ac:dyDescent="0.25">
      <c r="A1323" s="6"/>
      <c r="B1323" s="6"/>
      <c r="C1323" s="6"/>
      <c r="D1323" s="6"/>
      <c r="E1323" s="6"/>
      <c r="F1323" s="21"/>
      <c r="G1323" s="10"/>
      <c r="H1323" s="7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  <c r="AB1323" s="6"/>
      <c r="AC1323" s="6"/>
      <c r="AD1323" s="6"/>
      <c r="AE1323" s="6"/>
      <c r="AF1323" s="25"/>
      <c r="AG1323" s="7"/>
      <c r="AH1323" s="7"/>
      <c r="AI1323" s="7"/>
      <c r="AJ1323" s="6"/>
      <c r="AK1323" s="6"/>
      <c r="AL1323" s="6"/>
      <c r="AM1323" s="6"/>
      <c r="AN1323" s="6"/>
      <c r="AO1323" s="26"/>
      <c r="AP1323" s="11"/>
      <c r="AQ1323" s="7"/>
      <c r="AS1323" s="11"/>
      <c r="AT1323" s="6"/>
      <c r="AU1323" s="6"/>
      <c r="AV1323" s="6"/>
      <c r="AW1323" s="7"/>
      <c r="AX1323" s="6"/>
      <c r="AY1323" s="6"/>
      <c r="AZ1323" s="6"/>
      <c r="BA1323" s="6"/>
      <c r="BB1323" s="24"/>
      <c r="BD1323" s="6"/>
      <c r="BE1323" s="6"/>
      <c r="BF1323" s="6"/>
      <c r="BH1323" s="6"/>
      <c r="BI1323" s="6"/>
      <c r="BJ1323" s="6"/>
      <c r="BK1323" s="6"/>
      <c r="BL1323" s="6"/>
      <c r="BM1323" s="6"/>
    </row>
    <row r="1324" spans="1:65" x14ac:dyDescent="0.25">
      <c r="I1324" s="7"/>
      <c r="AH1324" s="7"/>
      <c r="AV1324" s="6"/>
    </row>
    <row r="1325" spans="1:65" x14ac:dyDescent="0.25">
      <c r="A1325" s="6"/>
      <c r="B1325" s="6"/>
      <c r="C1325" s="6"/>
      <c r="D1325" s="6"/>
      <c r="E1325" s="6"/>
      <c r="F1325" s="21"/>
      <c r="G1325" s="10"/>
      <c r="H1325" s="7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  <c r="AB1325" s="6"/>
      <c r="AC1325" s="6"/>
      <c r="AD1325" s="6"/>
      <c r="AE1325" s="6"/>
      <c r="AF1325" s="25"/>
      <c r="AG1325" s="7"/>
      <c r="AH1325" s="7"/>
      <c r="AI1325" s="7"/>
      <c r="AJ1325" s="6"/>
      <c r="AK1325" s="6"/>
      <c r="AL1325" s="6"/>
      <c r="AM1325" s="6"/>
      <c r="AN1325" s="6"/>
      <c r="AO1325" s="26"/>
      <c r="AP1325" s="11"/>
      <c r="AQ1325" s="7"/>
      <c r="AS1325" s="11"/>
      <c r="AT1325" s="6"/>
      <c r="AU1325" s="6"/>
      <c r="AW1325" s="7"/>
      <c r="AX1325" s="6"/>
      <c r="AY1325" s="6"/>
      <c r="AZ1325" s="6"/>
      <c r="BA1325" s="6"/>
      <c r="BB1325" s="24"/>
      <c r="BD1325" s="6"/>
      <c r="BE1325" s="6"/>
      <c r="BF1325" s="6"/>
      <c r="BH1325" s="6"/>
      <c r="BI1325" s="6"/>
      <c r="BJ1325" s="6"/>
      <c r="BK1325" s="6"/>
      <c r="BL1325" s="6"/>
      <c r="BM1325" s="6"/>
    </row>
    <row r="1326" spans="1:65" x14ac:dyDescent="0.25">
      <c r="AV1326" s="6"/>
    </row>
    <row r="1327" spans="1:65" x14ac:dyDescent="0.25">
      <c r="I1327" s="7"/>
      <c r="AH1327" s="7"/>
      <c r="AV1327" s="6"/>
    </row>
    <row r="1328" spans="1:65" x14ac:dyDescent="0.25">
      <c r="A1328" s="6"/>
      <c r="B1328" s="6"/>
      <c r="C1328" s="6"/>
      <c r="D1328" s="6"/>
      <c r="E1328" s="6"/>
      <c r="F1328" s="21"/>
      <c r="G1328" s="10"/>
      <c r="H1328" s="7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  <c r="AB1328" s="6"/>
      <c r="AC1328" s="6"/>
      <c r="AD1328" s="6"/>
      <c r="AE1328" s="6"/>
      <c r="AF1328" s="25"/>
      <c r="AG1328" s="7"/>
      <c r="AH1328" s="7"/>
      <c r="AI1328" s="7"/>
      <c r="AJ1328" s="6"/>
      <c r="AK1328" s="6"/>
      <c r="AL1328" s="6"/>
      <c r="AM1328" s="6"/>
      <c r="AN1328" s="6"/>
      <c r="AO1328" s="26"/>
      <c r="AP1328" s="11"/>
      <c r="AQ1328" s="7"/>
      <c r="AS1328" s="11"/>
      <c r="AT1328" s="6"/>
      <c r="AU1328" s="6"/>
      <c r="AW1328" s="7"/>
      <c r="AX1328" s="6"/>
      <c r="AY1328" s="6"/>
      <c r="AZ1328" s="6"/>
      <c r="BA1328" s="6"/>
      <c r="BB1328" s="24"/>
      <c r="BD1328" s="6"/>
      <c r="BE1328" s="6"/>
      <c r="BF1328" s="6"/>
      <c r="BH1328" s="6"/>
      <c r="BI1328" s="6"/>
      <c r="BJ1328" s="6"/>
      <c r="BK1328" s="6"/>
      <c r="BL1328" s="6"/>
      <c r="BM1328" s="6"/>
    </row>
    <row r="1329" spans="1:65" x14ac:dyDescent="0.25">
      <c r="A1329" s="6"/>
      <c r="B1329" s="6"/>
      <c r="C1329" s="6"/>
      <c r="D1329" s="6"/>
      <c r="E1329" s="6"/>
      <c r="F1329" s="21"/>
      <c r="G1329" s="10"/>
      <c r="H1329" s="7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  <c r="AB1329" s="6"/>
      <c r="AC1329" s="6"/>
      <c r="AD1329" s="6"/>
      <c r="AE1329" s="6"/>
      <c r="AF1329" s="25"/>
      <c r="AG1329" s="7"/>
      <c r="AH1329" s="7"/>
      <c r="AI1329" s="7"/>
      <c r="AJ1329" s="6"/>
      <c r="AK1329" s="6"/>
      <c r="AL1329" s="6"/>
      <c r="AM1329" s="6"/>
      <c r="AN1329" s="6"/>
      <c r="AO1329" s="26"/>
      <c r="AP1329" s="11"/>
      <c r="AQ1329" s="7"/>
      <c r="AS1329" s="11"/>
      <c r="AT1329" s="6"/>
      <c r="AU1329" s="6"/>
      <c r="AV1329" s="6"/>
      <c r="AW1329" s="7"/>
      <c r="AX1329" s="6"/>
      <c r="AY1329" s="6"/>
      <c r="AZ1329" s="6"/>
      <c r="BA1329" s="6"/>
      <c r="BB1329" s="24"/>
      <c r="BD1329" s="6"/>
      <c r="BE1329" s="6"/>
      <c r="BF1329" s="6"/>
      <c r="BH1329" s="6"/>
      <c r="BI1329" s="6"/>
      <c r="BJ1329" s="6"/>
      <c r="BK1329" s="6"/>
      <c r="BL1329" s="6"/>
      <c r="BM1329" s="6"/>
    </row>
    <row r="1332" spans="1:65" x14ac:dyDescent="0.25">
      <c r="A1332" s="6"/>
      <c r="B1332" s="6"/>
      <c r="C1332" s="6"/>
      <c r="D1332" s="6"/>
      <c r="E1332" s="6"/>
      <c r="F1332" s="21"/>
      <c r="G1332" s="10"/>
      <c r="H1332" s="7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  <c r="AB1332" s="6"/>
      <c r="AC1332" s="6"/>
      <c r="AD1332" s="6"/>
      <c r="AE1332" s="6"/>
      <c r="AF1332" s="25"/>
      <c r="AG1332" s="7"/>
      <c r="AH1332" s="7"/>
      <c r="AI1332" s="7"/>
      <c r="AJ1332" s="6"/>
      <c r="AK1332" s="6"/>
      <c r="AL1332" s="6"/>
      <c r="AM1332" s="6"/>
      <c r="AN1332" s="6"/>
      <c r="AO1332" s="26"/>
      <c r="AP1332" s="11"/>
      <c r="AQ1332" s="7"/>
      <c r="AS1332" s="11"/>
      <c r="AT1332" s="6"/>
      <c r="AU1332" s="6"/>
      <c r="AV1332" s="6"/>
      <c r="AW1332" s="7"/>
      <c r="AX1332" s="6"/>
      <c r="AY1332" s="6"/>
      <c r="AZ1332" s="6"/>
      <c r="BA1332" s="6"/>
      <c r="BB1332" s="24"/>
      <c r="BD1332" s="6"/>
      <c r="BE1332" s="6"/>
      <c r="BF1332" s="6"/>
      <c r="BH1332" s="6"/>
      <c r="BI1332" s="6"/>
      <c r="BJ1332" s="6"/>
      <c r="BK1332" s="6"/>
      <c r="BL1332" s="6"/>
      <c r="BM1332" s="6"/>
    </row>
    <row r="1333" spans="1:65" x14ac:dyDescent="0.25">
      <c r="I1333" s="7"/>
      <c r="AH1333" s="7"/>
      <c r="AV1333" s="6"/>
    </row>
    <row r="1334" spans="1:65" x14ac:dyDescent="0.25">
      <c r="A1334" s="6"/>
      <c r="B1334" s="6"/>
      <c r="C1334" s="6"/>
      <c r="D1334" s="6"/>
      <c r="E1334" s="6"/>
      <c r="F1334" s="21"/>
      <c r="G1334" s="10"/>
      <c r="H1334" s="7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  <c r="AB1334" s="6"/>
      <c r="AC1334" s="6"/>
      <c r="AD1334" s="6"/>
      <c r="AE1334" s="6"/>
      <c r="AF1334" s="25"/>
      <c r="AG1334" s="7"/>
      <c r="AH1334" s="7"/>
      <c r="AI1334" s="7"/>
      <c r="AJ1334" s="6"/>
      <c r="AK1334" s="6"/>
      <c r="AL1334" s="6"/>
      <c r="AM1334" s="6"/>
      <c r="AN1334" s="6"/>
      <c r="AO1334" s="26"/>
      <c r="AP1334" s="11"/>
      <c r="AQ1334" s="7"/>
      <c r="AS1334" s="11"/>
      <c r="AT1334" s="6"/>
      <c r="AU1334" s="6"/>
      <c r="AW1334" s="7"/>
      <c r="AX1334" s="6"/>
      <c r="AY1334" s="6"/>
      <c r="AZ1334" s="6"/>
      <c r="BA1334" s="6"/>
      <c r="BB1334" s="24"/>
      <c r="BD1334" s="6"/>
      <c r="BE1334" s="6"/>
      <c r="BF1334" s="6"/>
      <c r="BH1334" s="6"/>
      <c r="BI1334" s="6"/>
      <c r="BJ1334" s="6"/>
      <c r="BK1334" s="6"/>
      <c r="BL1334" s="6"/>
      <c r="BM1334" s="6"/>
    </row>
    <row r="1335" spans="1:65" x14ac:dyDescent="0.25">
      <c r="AV1335" s="6"/>
    </row>
    <row r="1336" spans="1:65" x14ac:dyDescent="0.25">
      <c r="I1336" s="7"/>
      <c r="AH1336" s="7"/>
      <c r="AV1336" s="6"/>
    </row>
    <row r="1337" spans="1:65" x14ac:dyDescent="0.25">
      <c r="A1337" s="6"/>
      <c r="B1337" s="6"/>
      <c r="C1337" s="6"/>
      <c r="D1337" s="6"/>
      <c r="E1337" s="6"/>
      <c r="F1337" s="21"/>
      <c r="G1337" s="10"/>
      <c r="H1337" s="7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  <c r="AB1337" s="6"/>
      <c r="AC1337" s="6"/>
      <c r="AD1337" s="6"/>
      <c r="AE1337" s="6"/>
      <c r="AF1337" s="25"/>
      <c r="AG1337" s="7"/>
      <c r="AH1337" s="7"/>
      <c r="AI1337" s="7"/>
      <c r="AJ1337" s="6"/>
      <c r="AK1337" s="6"/>
      <c r="AL1337" s="6"/>
      <c r="AM1337" s="6"/>
      <c r="AN1337" s="6"/>
      <c r="AO1337" s="26"/>
      <c r="AP1337" s="11"/>
      <c r="AQ1337" s="7"/>
      <c r="AS1337" s="11"/>
      <c r="AT1337" s="6"/>
      <c r="AU1337" s="6"/>
      <c r="AW1337" s="7"/>
      <c r="AX1337" s="6"/>
      <c r="AY1337" s="6"/>
      <c r="AZ1337" s="6"/>
      <c r="BA1337" s="6"/>
      <c r="BB1337" s="24"/>
      <c r="BD1337" s="6"/>
      <c r="BE1337" s="6"/>
      <c r="BF1337" s="6"/>
      <c r="BH1337" s="6"/>
      <c r="BI1337" s="6"/>
      <c r="BJ1337" s="6"/>
      <c r="BK1337" s="6"/>
      <c r="BL1337" s="6"/>
      <c r="BM1337" s="6"/>
    </row>
    <row r="1338" spans="1:65" x14ac:dyDescent="0.25">
      <c r="A1338" s="6"/>
      <c r="B1338" s="6"/>
      <c r="C1338" s="6"/>
      <c r="D1338" s="6"/>
      <c r="E1338" s="6"/>
      <c r="F1338" s="21"/>
      <c r="G1338" s="10"/>
      <c r="H1338" s="7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  <c r="AB1338" s="6"/>
      <c r="AC1338" s="6"/>
      <c r="AD1338" s="6"/>
      <c r="AE1338" s="6"/>
      <c r="AF1338" s="25"/>
      <c r="AG1338" s="7"/>
      <c r="AH1338" s="7"/>
      <c r="AI1338" s="7"/>
      <c r="AJ1338" s="6"/>
      <c r="AK1338" s="6"/>
      <c r="AL1338" s="6"/>
      <c r="AM1338" s="6"/>
      <c r="AN1338" s="6"/>
      <c r="AO1338" s="26"/>
      <c r="AP1338" s="11"/>
      <c r="AQ1338" s="7"/>
      <c r="AS1338" s="11"/>
      <c r="AT1338" s="6"/>
      <c r="AU1338" s="6"/>
      <c r="AV1338" s="6"/>
      <c r="AW1338" s="7"/>
      <c r="AX1338" s="6"/>
      <c r="AY1338" s="6"/>
      <c r="AZ1338" s="6"/>
      <c r="BA1338" s="6"/>
      <c r="BB1338" s="24"/>
      <c r="BD1338" s="6"/>
      <c r="BE1338" s="6"/>
      <c r="BF1338" s="6"/>
      <c r="BH1338" s="6"/>
      <c r="BI1338" s="6"/>
      <c r="BJ1338" s="6"/>
      <c r="BK1338" s="6"/>
      <c r="BL1338" s="6"/>
      <c r="BM1338" s="6"/>
    </row>
    <row r="1341" spans="1:65" x14ac:dyDescent="0.25">
      <c r="A1341" s="6"/>
      <c r="B1341" s="6"/>
      <c r="C1341" s="6"/>
      <c r="D1341" s="6"/>
      <c r="E1341" s="6"/>
      <c r="F1341" s="21"/>
      <c r="G1341" s="10"/>
      <c r="H1341" s="7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  <c r="AB1341" s="6"/>
      <c r="AC1341" s="6"/>
      <c r="AD1341" s="6"/>
      <c r="AE1341" s="6"/>
      <c r="AF1341" s="25"/>
      <c r="AG1341" s="7"/>
      <c r="AH1341" s="7"/>
      <c r="AI1341" s="7"/>
      <c r="AJ1341" s="6"/>
      <c r="AK1341" s="6"/>
      <c r="AL1341" s="6"/>
      <c r="AM1341" s="6"/>
      <c r="AN1341" s="6"/>
      <c r="AO1341" s="26"/>
      <c r="AP1341" s="11"/>
      <c r="AQ1341" s="7"/>
      <c r="AS1341" s="11"/>
      <c r="AT1341" s="6"/>
      <c r="AU1341" s="6"/>
      <c r="AV1341" s="6"/>
      <c r="AW1341" s="7"/>
      <c r="AX1341" s="6"/>
      <c r="AY1341" s="6"/>
      <c r="AZ1341" s="6"/>
      <c r="BA1341" s="6"/>
      <c r="BB1341" s="24"/>
      <c r="BD1341" s="6"/>
      <c r="BE1341" s="6"/>
      <c r="BF1341" s="6"/>
      <c r="BH1341" s="6"/>
      <c r="BI1341" s="6"/>
      <c r="BJ1341" s="6"/>
      <c r="BK1341" s="6"/>
      <c r="BL1341" s="6"/>
      <c r="BM1341" s="6"/>
    </row>
    <row r="1342" spans="1:65" x14ac:dyDescent="0.25">
      <c r="I1342" s="7"/>
      <c r="AH1342" s="7"/>
      <c r="AV1342" s="6"/>
    </row>
    <row r="1343" spans="1:65" x14ac:dyDescent="0.25">
      <c r="A1343" s="6"/>
      <c r="B1343" s="6"/>
      <c r="C1343" s="6"/>
      <c r="D1343" s="6"/>
      <c r="E1343" s="6"/>
      <c r="F1343" s="21"/>
      <c r="G1343" s="10"/>
      <c r="H1343" s="7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  <c r="AB1343" s="6"/>
      <c r="AC1343" s="6"/>
      <c r="AD1343" s="6"/>
      <c r="AE1343" s="6"/>
      <c r="AF1343" s="25"/>
      <c r="AG1343" s="7"/>
      <c r="AH1343" s="7"/>
      <c r="AI1343" s="7"/>
      <c r="AJ1343" s="6"/>
      <c r="AK1343" s="6"/>
      <c r="AL1343" s="6"/>
      <c r="AM1343" s="6"/>
      <c r="AN1343" s="6"/>
      <c r="AO1343" s="26"/>
      <c r="AP1343" s="11"/>
      <c r="AQ1343" s="7"/>
      <c r="AS1343" s="11"/>
      <c r="AT1343" s="6"/>
      <c r="AU1343" s="6"/>
      <c r="AW1343" s="7"/>
      <c r="AX1343" s="6"/>
      <c r="AY1343" s="6"/>
      <c r="AZ1343" s="6"/>
      <c r="BA1343" s="6"/>
      <c r="BB1343" s="24"/>
      <c r="BD1343" s="6"/>
      <c r="BE1343" s="6"/>
      <c r="BF1343" s="6"/>
      <c r="BH1343" s="6"/>
      <c r="BI1343" s="6"/>
      <c r="BJ1343" s="6"/>
      <c r="BK1343" s="6"/>
      <c r="BL1343" s="6"/>
      <c r="BM1343" s="6"/>
    </row>
    <row r="1344" spans="1:65" x14ac:dyDescent="0.25">
      <c r="AV1344" s="6"/>
    </row>
    <row r="1345" spans="1:65" x14ac:dyDescent="0.25">
      <c r="I1345" s="7"/>
      <c r="AH1345" s="7"/>
      <c r="AV1345" s="6"/>
    </row>
    <row r="1346" spans="1:65" x14ac:dyDescent="0.25">
      <c r="A1346" s="6"/>
      <c r="B1346" s="6"/>
      <c r="C1346" s="6"/>
      <c r="D1346" s="6"/>
      <c r="E1346" s="6"/>
      <c r="F1346" s="21"/>
      <c r="G1346" s="10"/>
      <c r="H1346" s="7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  <c r="AB1346" s="6"/>
      <c r="AC1346" s="6"/>
      <c r="AD1346" s="6"/>
      <c r="AE1346" s="6"/>
      <c r="AF1346" s="25"/>
      <c r="AG1346" s="7"/>
      <c r="AH1346" s="7"/>
      <c r="AI1346" s="7"/>
      <c r="AJ1346" s="6"/>
      <c r="AK1346" s="6"/>
      <c r="AL1346" s="6"/>
      <c r="AM1346" s="6"/>
      <c r="AN1346" s="6"/>
      <c r="AO1346" s="26"/>
      <c r="AP1346" s="11"/>
      <c r="AQ1346" s="7"/>
      <c r="AS1346" s="11"/>
      <c r="AT1346" s="6"/>
      <c r="AU1346" s="6"/>
      <c r="AW1346" s="7"/>
      <c r="AX1346" s="6"/>
      <c r="AY1346" s="6"/>
      <c r="AZ1346" s="6"/>
      <c r="BA1346" s="6"/>
      <c r="BB1346" s="24"/>
      <c r="BD1346" s="6"/>
      <c r="BE1346" s="6"/>
      <c r="BF1346" s="6"/>
      <c r="BH1346" s="6"/>
      <c r="BI1346" s="6"/>
      <c r="BJ1346" s="6"/>
      <c r="BK1346" s="6"/>
      <c r="BL1346" s="6"/>
      <c r="BM1346" s="6"/>
    </row>
    <row r="1347" spans="1:65" x14ac:dyDescent="0.25">
      <c r="A1347" s="6"/>
      <c r="B1347" s="6"/>
      <c r="C1347" s="6"/>
      <c r="D1347" s="6"/>
      <c r="E1347" s="6"/>
      <c r="F1347" s="21"/>
      <c r="G1347" s="10"/>
      <c r="H1347" s="7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  <c r="AB1347" s="6"/>
      <c r="AC1347" s="6"/>
      <c r="AD1347" s="6"/>
      <c r="AE1347" s="6"/>
      <c r="AF1347" s="25"/>
      <c r="AG1347" s="7"/>
      <c r="AH1347" s="7"/>
      <c r="AI1347" s="7"/>
      <c r="AJ1347" s="6"/>
      <c r="AK1347" s="6"/>
      <c r="AL1347" s="6"/>
      <c r="AM1347" s="6"/>
      <c r="AN1347" s="6"/>
      <c r="AO1347" s="26"/>
      <c r="AP1347" s="11"/>
      <c r="AQ1347" s="7"/>
      <c r="AS1347" s="11"/>
      <c r="AT1347" s="6"/>
      <c r="AU1347" s="6"/>
      <c r="AV1347" s="6"/>
      <c r="AW1347" s="7"/>
      <c r="AX1347" s="6"/>
      <c r="AY1347" s="6"/>
      <c r="AZ1347" s="6"/>
      <c r="BA1347" s="6"/>
      <c r="BB1347" s="24"/>
      <c r="BD1347" s="6"/>
      <c r="BE1347" s="6"/>
      <c r="BF1347" s="6"/>
      <c r="BH1347" s="6"/>
      <c r="BI1347" s="6"/>
      <c r="BJ1347" s="6"/>
      <c r="BK1347" s="6"/>
      <c r="BL1347" s="6"/>
      <c r="BM1347" s="6"/>
    </row>
    <row r="1350" spans="1:65" x14ac:dyDescent="0.25">
      <c r="A1350" s="6"/>
      <c r="B1350" s="6"/>
      <c r="C1350" s="6"/>
      <c r="D1350" s="6"/>
      <c r="E1350" s="6"/>
      <c r="F1350" s="21"/>
      <c r="G1350" s="10"/>
      <c r="H1350" s="7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  <c r="AB1350" s="6"/>
      <c r="AC1350" s="6"/>
      <c r="AD1350" s="6"/>
      <c r="AE1350" s="6"/>
      <c r="AF1350" s="25"/>
      <c r="AG1350" s="7"/>
      <c r="AH1350" s="7"/>
      <c r="AI1350" s="7"/>
      <c r="AJ1350" s="6"/>
      <c r="AK1350" s="6"/>
      <c r="AL1350" s="6"/>
      <c r="AM1350" s="6"/>
      <c r="AN1350" s="6"/>
      <c r="AO1350" s="26"/>
      <c r="AP1350" s="11"/>
      <c r="AQ1350" s="7"/>
      <c r="AS1350" s="11"/>
      <c r="AT1350" s="6"/>
      <c r="AU1350" s="6"/>
      <c r="AV1350" s="6"/>
      <c r="AW1350" s="7"/>
      <c r="AX1350" s="6"/>
      <c r="AY1350" s="6"/>
      <c r="AZ1350" s="6"/>
      <c r="BA1350" s="6"/>
      <c r="BB1350" s="24"/>
      <c r="BD1350" s="6"/>
      <c r="BE1350" s="6"/>
      <c r="BF1350" s="6"/>
      <c r="BH1350" s="6"/>
      <c r="BI1350" s="6"/>
      <c r="BJ1350" s="6"/>
      <c r="BK1350" s="6"/>
      <c r="BL1350" s="6"/>
      <c r="BM1350" s="6"/>
    </row>
    <row r="1351" spans="1:65" x14ac:dyDescent="0.25">
      <c r="I1351" s="7"/>
      <c r="AH1351" s="7"/>
      <c r="AV1351" s="6"/>
    </row>
    <row r="1352" spans="1:65" x14ac:dyDescent="0.25">
      <c r="A1352" s="6"/>
      <c r="B1352" s="6"/>
      <c r="C1352" s="6"/>
      <c r="D1352" s="6"/>
      <c r="E1352" s="6"/>
      <c r="F1352" s="21"/>
      <c r="G1352" s="10"/>
      <c r="H1352" s="7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  <c r="AB1352" s="6"/>
      <c r="AC1352" s="6"/>
      <c r="AD1352" s="6"/>
      <c r="AE1352" s="6"/>
      <c r="AF1352" s="25"/>
      <c r="AG1352" s="7"/>
      <c r="AH1352" s="7"/>
      <c r="AI1352" s="7"/>
      <c r="AJ1352" s="6"/>
      <c r="AK1352" s="6"/>
      <c r="AL1352" s="6"/>
      <c r="AM1352" s="6"/>
      <c r="AN1352" s="6"/>
      <c r="AO1352" s="26"/>
      <c r="AP1352" s="11"/>
      <c r="AQ1352" s="7"/>
      <c r="AS1352" s="11"/>
      <c r="AT1352" s="6"/>
      <c r="AU1352" s="6"/>
      <c r="AW1352" s="7"/>
      <c r="AX1352" s="6"/>
      <c r="AY1352" s="6"/>
      <c r="AZ1352" s="6"/>
      <c r="BA1352" s="6"/>
      <c r="BB1352" s="24"/>
      <c r="BD1352" s="6"/>
      <c r="BE1352" s="6"/>
      <c r="BF1352" s="6"/>
      <c r="BH1352" s="6"/>
      <c r="BI1352" s="6"/>
      <c r="BJ1352" s="6"/>
      <c r="BK1352" s="6"/>
      <c r="BL1352" s="6"/>
      <c r="BM1352" s="6"/>
    </row>
    <row r="1353" spans="1:65" x14ac:dyDescent="0.25">
      <c r="AV1353" s="6"/>
    </row>
    <row r="1354" spans="1:65" x14ac:dyDescent="0.25">
      <c r="I1354" s="7"/>
      <c r="AH1354" s="7"/>
      <c r="AV1354" s="6"/>
    </row>
    <row r="1355" spans="1:65" x14ac:dyDescent="0.25">
      <c r="A1355" s="6"/>
      <c r="B1355" s="6"/>
      <c r="C1355" s="6"/>
      <c r="D1355" s="6"/>
      <c r="E1355" s="6"/>
      <c r="F1355" s="21"/>
      <c r="G1355" s="10"/>
      <c r="H1355" s="7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  <c r="AB1355" s="6"/>
      <c r="AC1355" s="6"/>
      <c r="AD1355" s="6"/>
      <c r="AE1355" s="6"/>
      <c r="AF1355" s="25"/>
      <c r="AG1355" s="7"/>
      <c r="AH1355" s="7"/>
      <c r="AI1355" s="7"/>
      <c r="AJ1355" s="6"/>
      <c r="AK1355" s="6"/>
      <c r="AL1355" s="6"/>
      <c r="AM1355" s="6"/>
      <c r="AN1355" s="6"/>
      <c r="AO1355" s="26"/>
      <c r="AP1355" s="11"/>
      <c r="AQ1355" s="7"/>
      <c r="AS1355" s="11"/>
      <c r="AT1355" s="6"/>
      <c r="AU1355" s="6"/>
      <c r="AW1355" s="7"/>
      <c r="AX1355" s="6"/>
      <c r="AY1355" s="6"/>
      <c r="AZ1355" s="6"/>
      <c r="BA1355" s="6"/>
      <c r="BB1355" s="24"/>
      <c r="BD1355" s="6"/>
      <c r="BE1355" s="6"/>
      <c r="BF1355" s="6"/>
      <c r="BH1355" s="6"/>
      <c r="BI1355" s="6"/>
      <c r="BJ1355" s="6"/>
      <c r="BK1355" s="6"/>
      <c r="BL1355" s="6"/>
      <c r="BM1355" s="6"/>
    </row>
    <row r="1356" spans="1:65" x14ac:dyDescent="0.25">
      <c r="A1356" s="6"/>
      <c r="B1356" s="6"/>
      <c r="C1356" s="6"/>
      <c r="D1356" s="6"/>
      <c r="E1356" s="6"/>
      <c r="F1356" s="21"/>
      <c r="G1356" s="10"/>
      <c r="H1356" s="7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  <c r="AB1356" s="6"/>
      <c r="AC1356" s="6"/>
      <c r="AD1356" s="6"/>
      <c r="AE1356" s="6"/>
      <c r="AF1356" s="25"/>
      <c r="AG1356" s="7"/>
      <c r="AH1356" s="7"/>
      <c r="AI1356" s="7"/>
      <c r="AJ1356" s="6"/>
      <c r="AK1356" s="6"/>
      <c r="AL1356" s="6"/>
      <c r="AM1356" s="6"/>
      <c r="AN1356" s="6"/>
      <c r="AO1356" s="26"/>
      <c r="AP1356" s="11"/>
      <c r="AQ1356" s="7"/>
      <c r="AS1356" s="11"/>
      <c r="AT1356" s="6"/>
      <c r="AU1356" s="6"/>
      <c r="AV1356" s="6"/>
      <c r="AW1356" s="7"/>
      <c r="AX1356" s="6"/>
      <c r="AY1356" s="6"/>
      <c r="AZ1356" s="6"/>
      <c r="BA1356" s="6"/>
      <c r="BB1356" s="24"/>
      <c r="BD1356" s="6"/>
      <c r="BE1356" s="6"/>
      <c r="BF1356" s="6"/>
      <c r="BH1356" s="6"/>
      <c r="BI1356" s="6"/>
      <c r="BJ1356" s="6"/>
      <c r="BK1356" s="6"/>
      <c r="BL1356" s="6"/>
      <c r="BM1356" s="6"/>
    </row>
    <row r="1359" spans="1:65" x14ac:dyDescent="0.25">
      <c r="A1359" s="6"/>
      <c r="B1359" s="6"/>
      <c r="C1359" s="6"/>
      <c r="D1359" s="6"/>
      <c r="E1359" s="6"/>
      <c r="F1359" s="21"/>
      <c r="G1359" s="10"/>
      <c r="H1359" s="7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  <c r="AB1359" s="6"/>
      <c r="AC1359" s="6"/>
      <c r="AD1359" s="6"/>
      <c r="AE1359" s="6"/>
      <c r="AF1359" s="25"/>
      <c r="AG1359" s="7"/>
      <c r="AH1359" s="7"/>
      <c r="AI1359" s="7"/>
      <c r="AJ1359" s="6"/>
      <c r="AK1359" s="6"/>
      <c r="AL1359" s="6"/>
      <c r="AM1359" s="6"/>
      <c r="AN1359" s="6"/>
      <c r="AO1359" s="26"/>
      <c r="AP1359" s="11"/>
      <c r="AQ1359" s="7"/>
      <c r="AS1359" s="11"/>
      <c r="AT1359" s="6"/>
      <c r="AU1359" s="6"/>
      <c r="AV1359" s="6"/>
      <c r="AW1359" s="7"/>
      <c r="AX1359" s="6"/>
      <c r="AY1359" s="6"/>
      <c r="AZ1359" s="6"/>
      <c r="BA1359" s="6"/>
      <c r="BB1359" s="24"/>
      <c r="BD1359" s="6"/>
      <c r="BE1359" s="6"/>
      <c r="BF1359" s="6"/>
      <c r="BH1359" s="6"/>
      <c r="BI1359" s="6"/>
      <c r="BJ1359" s="6"/>
      <c r="BK1359" s="6"/>
      <c r="BL1359" s="6"/>
      <c r="BM1359" s="6"/>
    </row>
    <row r="1360" spans="1:65" x14ac:dyDescent="0.25">
      <c r="I1360" s="7"/>
      <c r="AH1360" s="7"/>
      <c r="AV1360" s="6"/>
    </row>
    <row r="1361" spans="1:65" x14ac:dyDescent="0.25">
      <c r="A1361" s="6"/>
      <c r="B1361" s="6"/>
      <c r="C1361" s="6"/>
      <c r="D1361" s="6"/>
      <c r="E1361" s="6"/>
      <c r="F1361" s="21"/>
      <c r="G1361" s="10"/>
      <c r="H1361" s="7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  <c r="AB1361" s="6"/>
      <c r="AC1361" s="6"/>
      <c r="AD1361" s="6"/>
      <c r="AE1361" s="6"/>
      <c r="AF1361" s="25"/>
      <c r="AG1361" s="7"/>
      <c r="AH1361" s="7"/>
      <c r="AI1361" s="7"/>
      <c r="AJ1361" s="6"/>
      <c r="AK1361" s="6"/>
      <c r="AL1361" s="6"/>
      <c r="AM1361" s="6"/>
      <c r="AN1361" s="6"/>
      <c r="AO1361" s="26"/>
      <c r="AP1361" s="11"/>
      <c r="AQ1361" s="7"/>
      <c r="AS1361" s="11"/>
      <c r="AT1361" s="6"/>
      <c r="AU1361" s="6"/>
      <c r="AW1361" s="7"/>
      <c r="AX1361" s="6"/>
      <c r="AY1361" s="6"/>
      <c r="AZ1361" s="6"/>
      <c r="BA1361" s="6"/>
      <c r="BB1361" s="24"/>
      <c r="BD1361" s="6"/>
      <c r="BE1361" s="6"/>
      <c r="BF1361" s="6"/>
      <c r="BH1361" s="6"/>
      <c r="BI1361" s="6"/>
      <c r="BJ1361" s="6"/>
      <c r="BK1361" s="6"/>
      <c r="BL1361" s="6"/>
      <c r="BM1361" s="6"/>
    </row>
    <row r="1362" spans="1:65" x14ac:dyDescent="0.25">
      <c r="AV1362" s="6"/>
    </row>
    <row r="1363" spans="1:65" x14ac:dyDescent="0.25">
      <c r="I1363" s="7"/>
      <c r="AH1363" s="7"/>
      <c r="AV1363" s="6"/>
    </row>
    <row r="1364" spans="1:65" x14ac:dyDescent="0.25">
      <c r="A1364" s="6"/>
      <c r="B1364" s="6"/>
      <c r="C1364" s="6"/>
      <c r="D1364" s="6"/>
      <c r="E1364" s="6"/>
      <c r="F1364" s="21"/>
      <c r="G1364" s="10"/>
      <c r="H1364" s="7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6"/>
      <c r="AB1364" s="6"/>
      <c r="AC1364" s="6"/>
      <c r="AD1364" s="6"/>
      <c r="AE1364" s="6"/>
      <c r="AF1364" s="25"/>
      <c r="AG1364" s="7"/>
      <c r="AH1364" s="7"/>
      <c r="AI1364" s="7"/>
      <c r="AJ1364" s="6"/>
      <c r="AK1364" s="6"/>
      <c r="AL1364" s="6"/>
      <c r="AM1364" s="6"/>
      <c r="AN1364" s="6"/>
      <c r="AO1364" s="26"/>
      <c r="AP1364" s="11"/>
      <c r="AQ1364" s="7"/>
      <c r="AS1364" s="11"/>
      <c r="AT1364" s="6"/>
      <c r="AU1364" s="6"/>
      <c r="AW1364" s="7"/>
      <c r="AX1364" s="6"/>
      <c r="AY1364" s="6"/>
      <c r="AZ1364" s="6"/>
      <c r="BA1364" s="6"/>
      <c r="BB1364" s="24"/>
      <c r="BD1364" s="6"/>
      <c r="BE1364" s="6"/>
      <c r="BF1364" s="6"/>
      <c r="BH1364" s="6"/>
      <c r="BI1364" s="6"/>
      <c r="BJ1364" s="6"/>
      <c r="BK1364" s="6"/>
      <c r="BL1364" s="6"/>
      <c r="BM1364" s="6"/>
    </row>
    <row r="1365" spans="1:65" x14ac:dyDescent="0.25">
      <c r="A1365" s="6"/>
      <c r="B1365" s="6"/>
      <c r="C1365" s="6"/>
      <c r="D1365" s="6"/>
      <c r="E1365" s="6"/>
      <c r="F1365" s="6"/>
      <c r="G1365" s="6"/>
      <c r="H1365" s="7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  <c r="AA1365" s="6"/>
      <c r="AB1365" s="6"/>
      <c r="AC1365" s="6"/>
      <c r="AD1365" s="6"/>
      <c r="AE1365" s="6"/>
      <c r="AF1365" s="6"/>
      <c r="AG1365" s="7"/>
      <c r="AH1365" s="7"/>
      <c r="AI1365" s="7"/>
      <c r="AJ1365" s="6"/>
      <c r="AK1365" s="6"/>
      <c r="AL1365" s="6"/>
      <c r="AM1365" s="6"/>
      <c r="AN1365" s="6"/>
      <c r="AO1365" s="6"/>
      <c r="AP1365" s="6"/>
      <c r="AQ1365" s="7"/>
      <c r="AS1365" s="6"/>
      <c r="AT1365" s="6"/>
      <c r="AU1365" s="6"/>
      <c r="AV1365" s="6"/>
      <c r="AW1365" s="7"/>
      <c r="AX1365" s="6"/>
      <c r="AY1365" s="6"/>
      <c r="AZ1365" s="6"/>
      <c r="BA1365" s="6"/>
      <c r="BB1365" s="6"/>
      <c r="BD1365" s="6"/>
      <c r="BE1365" s="6"/>
      <c r="BF1365" s="6"/>
      <c r="BH1365" s="6"/>
      <c r="BI1365" s="6"/>
      <c r="BJ1365" s="6"/>
      <c r="BK1365" s="6"/>
      <c r="BL1365" s="6"/>
      <c r="BM1365" s="6"/>
    </row>
    <row r="1368" spans="1:65" x14ac:dyDescent="0.25">
      <c r="A1368" s="6"/>
      <c r="B1368" s="6"/>
      <c r="C1368" s="6"/>
      <c r="D1368" s="6"/>
      <c r="E1368" s="6"/>
      <c r="F1368" s="21"/>
      <c r="G1368" s="10"/>
      <c r="H1368" s="7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  <c r="AB1368" s="6"/>
      <c r="AC1368" s="6"/>
      <c r="AD1368" s="6"/>
      <c r="AE1368" s="6"/>
      <c r="AF1368" s="25"/>
      <c r="AG1368" s="7"/>
      <c r="AH1368" s="7"/>
      <c r="AI1368" s="7"/>
      <c r="AJ1368" s="6"/>
      <c r="AK1368" s="6"/>
      <c r="AL1368" s="6"/>
      <c r="AM1368" s="6"/>
      <c r="AN1368" s="6"/>
      <c r="AO1368" s="26"/>
      <c r="AP1368" s="11"/>
      <c r="AQ1368" s="7"/>
      <c r="AS1368" s="11"/>
      <c r="AT1368" s="6"/>
      <c r="AU1368" s="6"/>
      <c r="AV1368" s="6"/>
      <c r="AW1368" s="7"/>
      <c r="AX1368" s="6"/>
      <c r="AY1368" s="6"/>
      <c r="AZ1368" s="6"/>
      <c r="BA1368" s="6"/>
      <c r="BB1368" s="24"/>
      <c r="BD1368" s="6"/>
      <c r="BE1368" s="6"/>
      <c r="BF1368" s="6"/>
      <c r="BH1368" s="6"/>
      <c r="BI1368" s="6"/>
      <c r="BJ1368" s="6"/>
      <c r="BK1368" s="6"/>
      <c r="BL1368" s="6"/>
      <c r="BM1368" s="6"/>
    </row>
    <row r="1369" spans="1:65" x14ac:dyDescent="0.25">
      <c r="I1369" s="7"/>
      <c r="AH1369" s="7"/>
      <c r="AV1369" s="6"/>
    </row>
    <row r="1370" spans="1:65" x14ac:dyDescent="0.25">
      <c r="A1370" s="6"/>
      <c r="B1370" s="6"/>
      <c r="C1370" s="6"/>
      <c r="D1370" s="6"/>
      <c r="E1370" s="6"/>
      <c r="F1370" s="21"/>
      <c r="G1370" s="10"/>
      <c r="H1370" s="7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  <c r="AB1370" s="6"/>
      <c r="AC1370" s="6"/>
      <c r="AD1370" s="6"/>
      <c r="AE1370" s="6"/>
      <c r="AF1370" s="25"/>
      <c r="AG1370" s="7"/>
      <c r="AH1370" s="7"/>
      <c r="AI1370" s="7"/>
      <c r="AJ1370" s="6"/>
      <c r="AK1370" s="6"/>
      <c r="AL1370" s="6"/>
      <c r="AM1370" s="6"/>
      <c r="AN1370" s="6"/>
      <c r="AO1370" s="26"/>
      <c r="AP1370" s="11"/>
      <c r="AQ1370" s="7"/>
      <c r="AS1370" s="11"/>
      <c r="AT1370" s="6"/>
      <c r="AU1370" s="6"/>
      <c r="AW1370" s="7"/>
      <c r="AX1370" s="6"/>
      <c r="AY1370" s="6"/>
      <c r="AZ1370" s="6"/>
      <c r="BA1370" s="6"/>
      <c r="BB1370" s="24"/>
      <c r="BD1370" s="6"/>
      <c r="BE1370" s="6"/>
      <c r="BF1370" s="6"/>
      <c r="BH1370" s="6"/>
      <c r="BI1370" s="6"/>
      <c r="BJ1370" s="6"/>
      <c r="BK1370" s="6"/>
      <c r="BL1370" s="6"/>
      <c r="BM1370" s="6"/>
    </row>
    <row r="1371" spans="1:65" x14ac:dyDescent="0.25">
      <c r="AV1371" s="6"/>
    </row>
    <row r="1372" spans="1:65" x14ac:dyDescent="0.25">
      <c r="I1372" s="7"/>
      <c r="AH1372" s="7"/>
      <c r="AV1372" s="6"/>
    </row>
    <row r="1373" spans="1:65" x14ac:dyDescent="0.25">
      <c r="A1373" s="6"/>
      <c r="B1373" s="6"/>
      <c r="C1373" s="6"/>
      <c r="D1373" s="6"/>
      <c r="E1373" s="6"/>
      <c r="F1373" s="21"/>
      <c r="G1373" s="10"/>
      <c r="H1373" s="7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  <c r="AB1373" s="6"/>
      <c r="AC1373" s="6"/>
      <c r="AD1373" s="6"/>
      <c r="AE1373" s="6"/>
      <c r="AF1373" s="25"/>
      <c r="AG1373" s="7"/>
      <c r="AH1373" s="7"/>
      <c r="AI1373" s="7"/>
      <c r="AJ1373" s="6"/>
      <c r="AK1373" s="6"/>
      <c r="AL1373" s="6"/>
      <c r="AM1373" s="6"/>
      <c r="AN1373" s="6"/>
      <c r="AO1373" s="26"/>
      <c r="AP1373" s="11"/>
      <c r="AQ1373" s="7"/>
      <c r="AS1373" s="11"/>
      <c r="AT1373" s="6"/>
      <c r="AU1373" s="6"/>
      <c r="AW1373" s="7"/>
      <c r="AX1373" s="6"/>
      <c r="AY1373" s="6"/>
      <c r="AZ1373" s="6"/>
      <c r="BA1373" s="6"/>
      <c r="BB1373" s="24"/>
      <c r="BD1373" s="6"/>
      <c r="BE1373" s="6"/>
      <c r="BF1373" s="6"/>
      <c r="BH1373" s="6"/>
      <c r="BI1373" s="6"/>
      <c r="BJ1373" s="6"/>
      <c r="BK1373" s="6"/>
      <c r="BL1373" s="6"/>
      <c r="BM1373" s="6"/>
    </row>
    <row r="1374" spans="1:65" x14ac:dyDescent="0.25">
      <c r="A1374" s="6"/>
      <c r="B1374" s="6"/>
      <c r="C1374" s="6"/>
      <c r="D1374" s="6"/>
      <c r="E1374" s="6"/>
      <c r="F1374" s="21"/>
      <c r="G1374" s="10"/>
      <c r="H1374" s="7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  <c r="AB1374" s="6"/>
      <c r="AC1374" s="6"/>
      <c r="AD1374" s="6"/>
      <c r="AE1374" s="6"/>
      <c r="AF1374" s="25"/>
      <c r="AG1374" s="7"/>
      <c r="AH1374" s="7"/>
      <c r="AI1374" s="7"/>
      <c r="AJ1374" s="6"/>
      <c r="AK1374" s="6"/>
      <c r="AL1374" s="6"/>
      <c r="AM1374" s="6"/>
      <c r="AN1374" s="6"/>
      <c r="AO1374" s="26"/>
      <c r="AP1374" s="11"/>
      <c r="AQ1374" s="7"/>
      <c r="AS1374" s="11"/>
      <c r="AT1374" s="6"/>
      <c r="AU1374" s="6"/>
      <c r="AV1374" s="6"/>
      <c r="AW1374" s="7"/>
      <c r="AX1374" s="6"/>
      <c r="AY1374" s="6"/>
      <c r="AZ1374" s="6"/>
      <c r="BA1374" s="6"/>
      <c r="BB1374" s="24"/>
      <c r="BD1374" s="6"/>
      <c r="BE1374" s="6"/>
      <c r="BF1374" s="6"/>
      <c r="BH1374" s="6"/>
      <c r="BI1374" s="6"/>
      <c r="BJ1374" s="6"/>
      <c r="BK1374" s="6"/>
      <c r="BL1374" s="6"/>
      <c r="BM1374" s="6"/>
    </row>
    <row r="1377" spans="1:65" x14ac:dyDescent="0.25">
      <c r="A1377" s="6"/>
      <c r="B1377" s="6"/>
      <c r="C1377" s="6"/>
      <c r="D1377" s="6"/>
      <c r="E1377" s="6"/>
      <c r="F1377" s="21"/>
      <c r="G1377" s="10"/>
      <c r="H1377" s="7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  <c r="AB1377" s="6"/>
      <c r="AC1377" s="6"/>
      <c r="AD1377" s="6"/>
      <c r="AE1377" s="6"/>
      <c r="AF1377" s="25"/>
      <c r="AG1377" s="7"/>
      <c r="AH1377" s="7"/>
      <c r="AI1377" s="7"/>
      <c r="AJ1377" s="6"/>
      <c r="AK1377" s="6"/>
      <c r="AL1377" s="6"/>
      <c r="AM1377" s="6"/>
      <c r="AN1377" s="6"/>
      <c r="AO1377" s="26"/>
      <c r="AP1377" s="11"/>
      <c r="AQ1377" s="7"/>
      <c r="AS1377" s="11"/>
      <c r="AT1377" s="6"/>
      <c r="AU1377" s="6"/>
      <c r="AV1377" s="6"/>
      <c r="AW1377" s="7"/>
      <c r="AX1377" s="6"/>
      <c r="AY1377" s="6"/>
      <c r="AZ1377" s="6"/>
      <c r="BA1377" s="6"/>
      <c r="BB1377" s="24"/>
      <c r="BD1377" s="6"/>
      <c r="BE1377" s="6"/>
      <c r="BF1377" s="6"/>
      <c r="BH1377" s="6"/>
      <c r="BI1377" s="6"/>
      <c r="BJ1377" s="6"/>
      <c r="BK1377" s="6"/>
      <c r="BL1377" s="6"/>
      <c r="BM1377" s="6"/>
    </row>
    <row r="1378" spans="1:65" x14ac:dyDescent="0.25">
      <c r="I1378" s="7"/>
      <c r="AH1378" s="7"/>
      <c r="AV1378" s="6"/>
    </row>
    <row r="1379" spans="1:65" x14ac:dyDescent="0.25">
      <c r="A1379" s="6"/>
      <c r="B1379" s="6"/>
      <c r="C1379" s="6"/>
      <c r="D1379" s="6"/>
      <c r="E1379" s="6"/>
      <c r="F1379" s="21"/>
      <c r="G1379" s="10"/>
      <c r="H1379" s="7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  <c r="AB1379" s="6"/>
      <c r="AC1379" s="6"/>
      <c r="AD1379" s="6"/>
      <c r="AE1379" s="6"/>
      <c r="AF1379" s="25"/>
      <c r="AG1379" s="7"/>
      <c r="AH1379" s="7"/>
      <c r="AI1379" s="7"/>
      <c r="AJ1379" s="6"/>
      <c r="AK1379" s="6"/>
      <c r="AL1379" s="6"/>
      <c r="AM1379" s="6"/>
      <c r="AN1379" s="6"/>
      <c r="AO1379" s="26"/>
      <c r="AP1379" s="11"/>
      <c r="AQ1379" s="7"/>
      <c r="AS1379" s="11"/>
      <c r="AT1379" s="6"/>
      <c r="AU1379" s="6"/>
      <c r="AW1379" s="7"/>
      <c r="AX1379" s="6"/>
      <c r="AY1379" s="6"/>
      <c r="AZ1379" s="6"/>
      <c r="BA1379" s="6"/>
      <c r="BB1379" s="24"/>
      <c r="BD1379" s="6"/>
      <c r="BE1379" s="6"/>
      <c r="BF1379" s="6"/>
      <c r="BH1379" s="6"/>
      <c r="BI1379" s="6"/>
      <c r="BJ1379" s="6"/>
      <c r="BK1379" s="6"/>
      <c r="BL1379" s="6"/>
      <c r="BM1379" s="6"/>
    </row>
    <row r="1380" spans="1:65" x14ac:dyDescent="0.25">
      <c r="AV1380" s="6"/>
    </row>
    <row r="1381" spans="1:65" x14ac:dyDescent="0.25">
      <c r="I1381" s="7"/>
      <c r="AH1381" s="7"/>
      <c r="AV1381" s="6"/>
    </row>
    <row r="1382" spans="1:65" x14ac:dyDescent="0.25">
      <c r="A1382" s="6"/>
      <c r="B1382" s="6"/>
      <c r="C1382" s="6"/>
      <c r="D1382" s="6"/>
      <c r="E1382" s="6"/>
      <c r="F1382" s="21"/>
      <c r="G1382" s="10"/>
      <c r="H1382" s="7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  <c r="AB1382" s="6"/>
      <c r="AC1382" s="6"/>
      <c r="AD1382" s="6"/>
      <c r="AE1382" s="6"/>
      <c r="AF1382" s="25"/>
      <c r="AG1382" s="7"/>
      <c r="AH1382" s="7"/>
      <c r="AI1382" s="7"/>
      <c r="AJ1382" s="6"/>
      <c r="AK1382" s="6"/>
      <c r="AL1382" s="6"/>
      <c r="AM1382" s="6"/>
      <c r="AN1382" s="6"/>
      <c r="AO1382" s="26"/>
      <c r="AP1382" s="11"/>
      <c r="AQ1382" s="7"/>
      <c r="AS1382" s="11"/>
      <c r="AT1382" s="6"/>
      <c r="AU1382" s="6"/>
      <c r="AW1382" s="7"/>
      <c r="AX1382" s="6"/>
      <c r="AY1382" s="6"/>
      <c r="AZ1382" s="6"/>
      <c r="BA1382" s="6"/>
      <c r="BB1382" s="24"/>
      <c r="BD1382" s="6"/>
      <c r="BE1382" s="6"/>
      <c r="BF1382" s="6"/>
      <c r="BH1382" s="6"/>
      <c r="BI1382" s="6"/>
      <c r="BJ1382" s="6"/>
      <c r="BK1382" s="6"/>
      <c r="BL1382" s="6"/>
      <c r="BM1382" s="6"/>
    </row>
    <row r="1383" spans="1:65" x14ac:dyDescent="0.25">
      <c r="A1383" s="6"/>
      <c r="B1383" s="6"/>
      <c r="C1383" s="6"/>
      <c r="D1383" s="6"/>
      <c r="E1383" s="6"/>
      <c r="F1383" s="21"/>
      <c r="G1383" s="10"/>
      <c r="H1383" s="7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  <c r="AB1383" s="6"/>
      <c r="AC1383" s="6"/>
      <c r="AD1383" s="6"/>
      <c r="AE1383" s="6"/>
      <c r="AF1383" s="25"/>
      <c r="AG1383" s="7"/>
      <c r="AH1383" s="7"/>
      <c r="AI1383" s="7"/>
      <c r="AJ1383" s="6"/>
      <c r="AK1383" s="6"/>
      <c r="AL1383" s="6"/>
      <c r="AM1383" s="6"/>
      <c r="AN1383" s="6"/>
      <c r="AO1383" s="26"/>
      <c r="AP1383" s="11"/>
      <c r="AQ1383" s="7"/>
      <c r="AS1383" s="11"/>
      <c r="AT1383" s="6"/>
      <c r="AU1383" s="6"/>
      <c r="AV1383" s="6"/>
      <c r="AW1383" s="7"/>
      <c r="AX1383" s="6"/>
      <c r="AY1383" s="6"/>
      <c r="AZ1383" s="6"/>
      <c r="BA1383" s="6"/>
      <c r="BB1383" s="24"/>
      <c r="BD1383" s="6"/>
      <c r="BE1383" s="6"/>
      <c r="BF1383" s="6"/>
      <c r="BH1383" s="6"/>
      <c r="BI1383" s="6"/>
      <c r="BJ1383" s="6"/>
      <c r="BK1383" s="6"/>
      <c r="BL1383" s="6"/>
      <c r="BM1383" s="6"/>
    </row>
    <row r="1386" spans="1:65" x14ac:dyDescent="0.25">
      <c r="A1386" s="6"/>
      <c r="B1386" s="6"/>
      <c r="C1386" s="6"/>
      <c r="D1386" s="6"/>
      <c r="E1386" s="6"/>
      <c r="F1386" s="21"/>
      <c r="G1386" s="10"/>
      <c r="H1386" s="7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  <c r="AB1386" s="6"/>
      <c r="AC1386" s="6"/>
      <c r="AD1386" s="6"/>
      <c r="AE1386" s="6"/>
      <c r="AF1386" s="25"/>
      <c r="AG1386" s="7"/>
      <c r="AH1386" s="7"/>
      <c r="AI1386" s="7"/>
      <c r="AJ1386" s="6"/>
      <c r="AK1386" s="6"/>
      <c r="AL1386" s="6"/>
      <c r="AM1386" s="6"/>
      <c r="AN1386" s="6"/>
      <c r="AO1386" s="26"/>
      <c r="AP1386" s="11"/>
      <c r="AQ1386" s="7"/>
      <c r="AS1386" s="11"/>
      <c r="AT1386" s="6"/>
      <c r="AU1386" s="6"/>
      <c r="AV1386" s="6"/>
      <c r="AW1386" s="7"/>
      <c r="AX1386" s="6"/>
      <c r="AY1386" s="6"/>
      <c r="AZ1386" s="6"/>
      <c r="BA1386" s="6"/>
      <c r="BB1386" s="24"/>
      <c r="BD1386" s="6"/>
      <c r="BE1386" s="6"/>
      <c r="BF1386" s="6"/>
      <c r="BH1386" s="6"/>
      <c r="BI1386" s="6"/>
      <c r="BJ1386" s="6"/>
      <c r="BK1386" s="6"/>
      <c r="BL1386" s="6"/>
      <c r="BM1386" s="6"/>
    </row>
    <row r="1387" spans="1:65" x14ac:dyDescent="0.25">
      <c r="I1387" s="7"/>
      <c r="AH1387" s="7"/>
      <c r="AV1387" s="6"/>
    </row>
    <row r="1388" spans="1:65" x14ac:dyDescent="0.25">
      <c r="A1388" s="6"/>
      <c r="B1388" s="6"/>
      <c r="C1388" s="6"/>
      <c r="D1388" s="6"/>
      <c r="E1388" s="6"/>
      <c r="F1388" s="21"/>
      <c r="G1388" s="10"/>
      <c r="H1388" s="7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  <c r="AB1388" s="6"/>
      <c r="AC1388" s="6"/>
      <c r="AD1388" s="6"/>
      <c r="AE1388" s="6"/>
      <c r="AF1388" s="25"/>
      <c r="AG1388" s="7"/>
      <c r="AH1388" s="7"/>
      <c r="AI1388" s="7"/>
      <c r="AJ1388" s="6"/>
      <c r="AK1388" s="6"/>
      <c r="AL1388" s="6"/>
      <c r="AM1388" s="6"/>
      <c r="AN1388" s="6"/>
      <c r="AO1388" s="26"/>
      <c r="AP1388" s="11"/>
      <c r="AQ1388" s="7"/>
      <c r="AS1388" s="11"/>
      <c r="AT1388" s="6"/>
      <c r="AU1388" s="6"/>
      <c r="AW1388" s="7"/>
      <c r="AX1388" s="6"/>
      <c r="AY1388" s="6"/>
      <c r="AZ1388" s="6"/>
      <c r="BA1388" s="6"/>
      <c r="BB1388" s="24"/>
      <c r="BD1388" s="6"/>
      <c r="BE1388" s="6"/>
      <c r="BF1388" s="6"/>
      <c r="BH1388" s="6"/>
      <c r="BI1388" s="6"/>
      <c r="BJ1388" s="6"/>
      <c r="BK1388" s="6"/>
      <c r="BL1388" s="6"/>
      <c r="BM1388" s="6"/>
    </row>
    <row r="1389" spans="1:65" x14ac:dyDescent="0.25">
      <c r="AV1389" s="6"/>
    </row>
    <row r="1390" spans="1:65" x14ac:dyDescent="0.25">
      <c r="I1390" s="7"/>
      <c r="AH1390" s="7"/>
      <c r="AV1390" s="6"/>
    </row>
    <row r="1391" spans="1:65" x14ac:dyDescent="0.25">
      <c r="A1391" s="6"/>
      <c r="B1391" s="6"/>
      <c r="C1391" s="6"/>
      <c r="D1391" s="6"/>
      <c r="E1391" s="6"/>
      <c r="F1391" s="21"/>
      <c r="G1391" s="10"/>
      <c r="H1391" s="7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  <c r="AB1391" s="6"/>
      <c r="AC1391" s="6"/>
      <c r="AD1391" s="6"/>
      <c r="AE1391" s="6"/>
      <c r="AF1391" s="25"/>
      <c r="AG1391" s="7"/>
      <c r="AH1391" s="7"/>
      <c r="AI1391" s="7"/>
      <c r="AJ1391" s="6"/>
      <c r="AK1391" s="6"/>
      <c r="AL1391" s="6"/>
      <c r="AM1391" s="6"/>
      <c r="AN1391" s="6"/>
      <c r="AO1391" s="26"/>
      <c r="AP1391" s="11"/>
      <c r="AQ1391" s="7"/>
      <c r="AS1391" s="11"/>
      <c r="AT1391" s="6"/>
      <c r="AU1391" s="6"/>
      <c r="AW1391" s="7"/>
      <c r="AX1391" s="6"/>
      <c r="AY1391" s="6"/>
      <c r="AZ1391" s="6"/>
      <c r="BA1391" s="6"/>
      <c r="BB1391" s="24"/>
      <c r="BD1391" s="6"/>
      <c r="BE1391" s="6"/>
      <c r="BF1391" s="6"/>
      <c r="BH1391" s="6"/>
      <c r="BI1391" s="6"/>
      <c r="BJ1391" s="6"/>
      <c r="BK1391" s="6"/>
      <c r="BL1391" s="6"/>
      <c r="BM1391" s="6"/>
    </row>
    <row r="1392" spans="1:65" x14ac:dyDescent="0.25">
      <c r="A1392" s="6"/>
      <c r="B1392" s="6"/>
      <c r="C1392" s="6"/>
      <c r="D1392" s="6"/>
      <c r="E1392" s="6"/>
      <c r="F1392" s="21"/>
      <c r="G1392" s="10"/>
      <c r="H1392" s="7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  <c r="AB1392" s="6"/>
      <c r="AC1392" s="6"/>
      <c r="AD1392" s="6"/>
      <c r="AE1392" s="6"/>
      <c r="AF1392" s="25"/>
      <c r="AG1392" s="7"/>
      <c r="AH1392" s="7"/>
      <c r="AI1392" s="7"/>
      <c r="AJ1392" s="6"/>
      <c r="AK1392" s="6"/>
      <c r="AL1392" s="6"/>
      <c r="AM1392" s="6"/>
      <c r="AN1392" s="6"/>
      <c r="AO1392" s="26"/>
      <c r="AP1392" s="11"/>
      <c r="AQ1392" s="7"/>
      <c r="AS1392" s="11"/>
      <c r="AT1392" s="6"/>
      <c r="AU1392" s="6"/>
      <c r="AV1392" s="6"/>
      <c r="AW1392" s="7"/>
      <c r="AX1392" s="6"/>
      <c r="AY1392" s="6"/>
      <c r="AZ1392" s="6"/>
      <c r="BA1392" s="6"/>
      <c r="BB1392" s="24"/>
      <c r="BD1392" s="6"/>
      <c r="BE1392" s="6"/>
      <c r="BF1392" s="6"/>
      <c r="BH1392" s="6"/>
      <c r="BI1392" s="6"/>
      <c r="BJ1392" s="6"/>
      <c r="BK1392" s="6"/>
      <c r="BL1392" s="6"/>
      <c r="BM1392" s="6"/>
    </row>
    <row r="1395" spans="1:65" x14ac:dyDescent="0.25">
      <c r="A1395" s="6"/>
      <c r="B1395" s="6"/>
      <c r="C1395" s="6"/>
      <c r="D1395" s="6"/>
      <c r="E1395" s="6"/>
      <c r="F1395" s="21"/>
      <c r="G1395" s="10"/>
      <c r="H1395" s="7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  <c r="AB1395" s="6"/>
      <c r="AC1395" s="6"/>
      <c r="AD1395" s="6"/>
      <c r="AE1395" s="6"/>
      <c r="AF1395" s="25"/>
      <c r="AG1395" s="7"/>
      <c r="AH1395" s="7"/>
      <c r="AI1395" s="7"/>
      <c r="AJ1395" s="6"/>
      <c r="AK1395" s="6"/>
      <c r="AL1395" s="6"/>
      <c r="AM1395" s="6"/>
      <c r="AN1395" s="6"/>
      <c r="AO1395" s="26"/>
      <c r="AP1395" s="11"/>
      <c r="AQ1395" s="7"/>
      <c r="AS1395" s="11"/>
      <c r="AT1395" s="6"/>
      <c r="AU1395" s="6"/>
      <c r="AV1395" s="6"/>
      <c r="AW1395" s="7"/>
      <c r="AX1395" s="6"/>
      <c r="AY1395" s="6"/>
      <c r="AZ1395" s="6"/>
      <c r="BA1395" s="6"/>
      <c r="BB1395" s="24"/>
      <c r="BD1395" s="6"/>
      <c r="BE1395" s="6"/>
      <c r="BF1395" s="6"/>
      <c r="BH1395" s="6"/>
      <c r="BI1395" s="6"/>
      <c r="BJ1395" s="6"/>
      <c r="BK1395" s="6"/>
      <c r="BL1395" s="6"/>
      <c r="BM1395" s="6"/>
    </row>
    <row r="1396" spans="1:65" x14ac:dyDescent="0.25">
      <c r="I1396" s="7"/>
      <c r="AH1396" s="7"/>
      <c r="AV1396" s="6"/>
    </row>
    <row r="1397" spans="1:65" x14ac:dyDescent="0.25">
      <c r="A1397" s="6"/>
      <c r="B1397" s="6"/>
      <c r="C1397" s="6"/>
      <c r="D1397" s="6"/>
      <c r="E1397" s="6"/>
      <c r="F1397" s="21"/>
      <c r="G1397" s="10"/>
      <c r="H1397" s="7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  <c r="AB1397" s="6"/>
      <c r="AC1397" s="6"/>
      <c r="AD1397" s="6"/>
      <c r="AE1397" s="6"/>
      <c r="AF1397" s="25"/>
      <c r="AG1397" s="7"/>
      <c r="AH1397" s="7"/>
      <c r="AI1397" s="7"/>
      <c r="AJ1397" s="6"/>
      <c r="AK1397" s="6"/>
      <c r="AL1397" s="6"/>
      <c r="AM1397" s="6"/>
      <c r="AN1397" s="6"/>
      <c r="AO1397" s="26"/>
      <c r="AP1397" s="11"/>
      <c r="AQ1397" s="7"/>
      <c r="AS1397" s="11"/>
      <c r="AT1397" s="6"/>
      <c r="AU1397" s="6"/>
      <c r="AW1397" s="7"/>
      <c r="AX1397" s="6"/>
      <c r="AY1397" s="6"/>
      <c r="AZ1397" s="6"/>
      <c r="BA1397" s="6"/>
      <c r="BB1397" s="24"/>
      <c r="BD1397" s="6"/>
      <c r="BE1397" s="6"/>
      <c r="BF1397" s="6"/>
      <c r="BH1397" s="6"/>
      <c r="BI1397" s="6"/>
      <c r="BJ1397" s="6"/>
      <c r="BK1397" s="6"/>
      <c r="BL1397" s="6"/>
      <c r="BM1397" s="6"/>
    </row>
    <row r="1398" spans="1:65" x14ac:dyDescent="0.25">
      <c r="AV1398" s="6"/>
    </row>
    <row r="1399" spans="1:65" x14ac:dyDescent="0.25">
      <c r="I1399" s="7"/>
      <c r="AH1399" s="7"/>
      <c r="AV1399" s="6"/>
    </row>
    <row r="1400" spans="1:65" x14ac:dyDescent="0.25">
      <c r="A1400" s="6"/>
      <c r="B1400" s="6"/>
      <c r="C1400" s="6"/>
      <c r="D1400" s="6"/>
      <c r="E1400" s="6"/>
      <c r="F1400" s="21"/>
      <c r="G1400" s="10"/>
      <c r="H1400" s="7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  <c r="AB1400" s="6"/>
      <c r="AC1400" s="6"/>
      <c r="AD1400" s="6"/>
      <c r="AE1400" s="6"/>
      <c r="AF1400" s="25"/>
      <c r="AG1400" s="7"/>
      <c r="AH1400" s="7"/>
      <c r="AI1400" s="7"/>
      <c r="AJ1400" s="6"/>
      <c r="AK1400" s="6"/>
      <c r="AL1400" s="6"/>
      <c r="AM1400" s="6"/>
      <c r="AN1400" s="6"/>
      <c r="AO1400" s="26"/>
      <c r="AP1400" s="11"/>
      <c r="AQ1400" s="7"/>
      <c r="AS1400" s="11"/>
      <c r="AT1400" s="6"/>
      <c r="AU1400" s="6"/>
      <c r="AW1400" s="7"/>
      <c r="AX1400" s="6"/>
      <c r="AY1400" s="6"/>
      <c r="AZ1400" s="6"/>
      <c r="BA1400" s="6"/>
      <c r="BB1400" s="24"/>
      <c r="BD1400" s="6"/>
      <c r="BE1400" s="6"/>
      <c r="BF1400" s="6"/>
      <c r="BH1400" s="6"/>
      <c r="BI1400" s="6"/>
      <c r="BJ1400" s="6"/>
      <c r="BK1400" s="6"/>
      <c r="BL1400" s="6"/>
      <c r="BM1400" s="6"/>
    </row>
    <row r="1401" spans="1:65" x14ac:dyDescent="0.25">
      <c r="A1401" s="6"/>
      <c r="B1401" s="6"/>
      <c r="C1401" s="6"/>
      <c r="D1401" s="6"/>
      <c r="E1401" s="6"/>
      <c r="F1401" s="21"/>
      <c r="G1401" s="10"/>
      <c r="H1401" s="7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  <c r="AB1401" s="6"/>
      <c r="AC1401" s="6"/>
      <c r="AD1401" s="6"/>
      <c r="AE1401" s="6"/>
      <c r="AF1401" s="25"/>
      <c r="AG1401" s="7"/>
      <c r="AH1401" s="7"/>
      <c r="AI1401" s="7"/>
      <c r="AJ1401" s="6"/>
      <c r="AK1401" s="6"/>
      <c r="AL1401" s="6"/>
      <c r="AM1401" s="6"/>
      <c r="AN1401" s="6"/>
      <c r="AO1401" s="26"/>
      <c r="AP1401" s="11"/>
      <c r="AQ1401" s="7"/>
      <c r="AS1401" s="11"/>
      <c r="AT1401" s="6"/>
      <c r="AU1401" s="6"/>
      <c r="AV1401" s="6"/>
      <c r="AW1401" s="7"/>
      <c r="AX1401" s="6"/>
      <c r="AY1401" s="6"/>
      <c r="AZ1401" s="6"/>
      <c r="BA1401" s="6"/>
      <c r="BB1401" s="24"/>
      <c r="BD1401" s="6"/>
      <c r="BE1401" s="6"/>
      <c r="BF1401" s="6"/>
      <c r="BH1401" s="6"/>
      <c r="BI1401" s="6"/>
      <c r="BJ1401" s="6"/>
      <c r="BK1401" s="6"/>
      <c r="BL1401" s="6"/>
      <c r="BM1401" s="6"/>
    </row>
    <row r="1404" spans="1:65" x14ac:dyDescent="0.25">
      <c r="A1404" s="6"/>
      <c r="B1404" s="6"/>
      <c r="C1404" s="6"/>
      <c r="D1404" s="6"/>
      <c r="E1404" s="6"/>
      <c r="F1404" s="21"/>
      <c r="G1404" s="10"/>
      <c r="H1404" s="7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  <c r="AB1404" s="6"/>
      <c r="AC1404" s="6"/>
      <c r="AD1404" s="6"/>
      <c r="AE1404" s="6"/>
      <c r="AF1404" s="25"/>
      <c r="AG1404" s="7"/>
      <c r="AH1404" s="7"/>
      <c r="AI1404" s="7"/>
      <c r="AJ1404" s="6"/>
      <c r="AK1404" s="6"/>
      <c r="AL1404" s="6"/>
      <c r="AM1404" s="6"/>
      <c r="AN1404" s="6"/>
      <c r="AO1404" s="26"/>
      <c r="AP1404" s="11"/>
      <c r="AQ1404" s="7"/>
      <c r="AS1404" s="11"/>
      <c r="AT1404" s="6"/>
      <c r="AU1404" s="6"/>
      <c r="AV1404" s="6"/>
      <c r="AW1404" s="7"/>
      <c r="AX1404" s="6"/>
      <c r="AY1404" s="6"/>
      <c r="AZ1404" s="6"/>
      <c r="BA1404" s="6"/>
      <c r="BB1404" s="24"/>
      <c r="BD1404" s="6"/>
      <c r="BE1404" s="6"/>
      <c r="BF1404" s="6"/>
      <c r="BH1404" s="6"/>
      <c r="BI1404" s="6"/>
      <c r="BJ1404" s="6"/>
      <c r="BK1404" s="6"/>
      <c r="BL1404" s="6"/>
      <c r="BM1404" s="6"/>
    </row>
    <row r="1405" spans="1:65" x14ac:dyDescent="0.25">
      <c r="I1405" s="7"/>
      <c r="AH1405" s="7"/>
      <c r="AV1405" s="6"/>
    </row>
    <row r="1406" spans="1:65" x14ac:dyDescent="0.25">
      <c r="A1406" s="6"/>
      <c r="B1406" s="6"/>
      <c r="C1406" s="6"/>
      <c r="D1406" s="6"/>
      <c r="E1406" s="6"/>
      <c r="F1406" s="21"/>
      <c r="G1406" s="10"/>
      <c r="H1406" s="7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  <c r="AA1406" s="6"/>
      <c r="AB1406" s="6"/>
      <c r="AC1406" s="6"/>
      <c r="AD1406" s="6"/>
      <c r="AE1406" s="6"/>
      <c r="AF1406" s="25"/>
      <c r="AG1406" s="7"/>
      <c r="AH1406" s="7"/>
      <c r="AI1406" s="7"/>
      <c r="AJ1406" s="6"/>
      <c r="AK1406" s="6"/>
      <c r="AL1406" s="6"/>
      <c r="AM1406" s="6"/>
      <c r="AN1406" s="6"/>
      <c r="AO1406" s="26"/>
      <c r="AP1406" s="11"/>
      <c r="AQ1406" s="7"/>
      <c r="AS1406" s="11"/>
      <c r="AT1406" s="6"/>
      <c r="AU1406" s="6"/>
      <c r="AW1406" s="7"/>
      <c r="AX1406" s="6"/>
      <c r="AY1406" s="6"/>
      <c r="AZ1406" s="6"/>
      <c r="BA1406" s="6"/>
      <c r="BB1406" s="24"/>
      <c r="BD1406" s="6"/>
      <c r="BE1406" s="6"/>
      <c r="BF1406" s="6"/>
      <c r="BH1406" s="6"/>
      <c r="BI1406" s="6"/>
      <c r="BJ1406" s="6"/>
      <c r="BK1406" s="6"/>
      <c r="BL1406" s="6"/>
      <c r="BM1406" s="6"/>
    </row>
    <row r="1407" spans="1:65" x14ac:dyDescent="0.25">
      <c r="AV1407" s="6"/>
    </row>
    <row r="1408" spans="1:65" x14ac:dyDescent="0.25">
      <c r="I1408" s="7"/>
      <c r="AH1408" s="7"/>
      <c r="AV1408" s="6"/>
    </row>
    <row r="1409" spans="1:65" x14ac:dyDescent="0.25">
      <c r="A1409" s="6"/>
      <c r="B1409" s="6"/>
      <c r="C1409" s="6"/>
      <c r="D1409" s="6"/>
      <c r="E1409" s="6"/>
      <c r="F1409" s="21"/>
      <c r="G1409" s="10"/>
      <c r="H1409" s="7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  <c r="AA1409" s="6"/>
      <c r="AB1409" s="6"/>
      <c r="AC1409" s="6"/>
      <c r="AD1409" s="6"/>
      <c r="AE1409" s="6"/>
      <c r="AF1409" s="25"/>
      <c r="AG1409" s="7"/>
      <c r="AH1409" s="7"/>
      <c r="AI1409" s="7"/>
      <c r="AJ1409" s="6"/>
      <c r="AK1409" s="6"/>
      <c r="AL1409" s="6"/>
      <c r="AM1409" s="6"/>
      <c r="AN1409" s="6"/>
      <c r="AO1409" s="26"/>
      <c r="AP1409" s="11"/>
      <c r="AQ1409" s="7"/>
      <c r="AS1409" s="11"/>
      <c r="AT1409" s="6"/>
      <c r="AU1409" s="6"/>
      <c r="AW1409" s="7"/>
      <c r="AX1409" s="6"/>
      <c r="AY1409" s="6"/>
      <c r="AZ1409" s="6"/>
      <c r="BA1409" s="6"/>
      <c r="BB1409" s="24"/>
      <c r="BD1409" s="6"/>
      <c r="BE1409" s="6"/>
      <c r="BF1409" s="6"/>
      <c r="BH1409" s="6"/>
      <c r="BI1409" s="6"/>
      <c r="BJ1409" s="6"/>
      <c r="BK1409" s="6"/>
      <c r="BL1409" s="6"/>
      <c r="BM1409" s="6"/>
    </row>
    <row r="1410" spans="1:65" x14ac:dyDescent="0.25">
      <c r="A1410" s="6"/>
      <c r="B1410" s="6"/>
      <c r="C1410" s="6"/>
      <c r="D1410" s="6"/>
      <c r="E1410" s="6"/>
      <c r="F1410" s="21"/>
      <c r="G1410" s="10"/>
      <c r="H1410" s="7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  <c r="AA1410" s="6"/>
      <c r="AB1410" s="6"/>
      <c r="AC1410" s="6"/>
      <c r="AD1410" s="6"/>
      <c r="AE1410" s="6"/>
      <c r="AF1410" s="25"/>
      <c r="AG1410" s="7"/>
      <c r="AH1410" s="7"/>
      <c r="AI1410" s="7"/>
      <c r="AJ1410" s="6"/>
      <c r="AK1410" s="6"/>
      <c r="AL1410" s="6"/>
      <c r="AM1410" s="6"/>
      <c r="AN1410" s="6"/>
      <c r="AO1410" s="26"/>
      <c r="AP1410" s="11"/>
      <c r="AQ1410" s="7"/>
      <c r="AS1410" s="11"/>
      <c r="AT1410" s="6"/>
      <c r="AU1410" s="6"/>
      <c r="AV1410" s="6"/>
      <c r="AW1410" s="7"/>
      <c r="AX1410" s="6"/>
      <c r="AY1410" s="6"/>
      <c r="AZ1410" s="6"/>
      <c r="BA1410" s="6"/>
      <c r="BB1410" s="24"/>
      <c r="BD1410" s="6"/>
      <c r="BE1410" s="6"/>
      <c r="BF1410" s="6"/>
      <c r="BH1410" s="6"/>
      <c r="BI1410" s="6"/>
      <c r="BJ1410" s="6"/>
      <c r="BK1410" s="6"/>
      <c r="BL1410" s="6"/>
      <c r="BM1410" s="6"/>
    </row>
    <row r="1413" spans="1:65" x14ac:dyDescent="0.25">
      <c r="A1413" s="6"/>
      <c r="B1413" s="6"/>
      <c r="C1413" s="6"/>
      <c r="D1413" s="6"/>
      <c r="E1413" s="6"/>
      <c r="F1413" s="21"/>
      <c r="G1413" s="10"/>
      <c r="H1413" s="7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  <c r="AB1413" s="6"/>
      <c r="AC1413" s="6"/>
      <c r="AD1413" s="6"/>
      <c r="AE1413" s="6"/>
      <c r="AF1413" s="25"/>
      <c r="AG1413" s="7"/>
      <c r="AH1413" s="7"/>
      <c r="AI1413" s="7"/>
      <c r="AJ1413" s="6"/>
      <c r="AK1413" s="6"/>
      <c r="AL1413" s="6"/>
      <c r="AM1413" s="6"/>
      <c r="AN1413" s="6"/>
      <c r="AO1413" s="26"/>
      <c r="AP1413" s="11"/>
      <c r="AQ1413" s="7"/>
      <c r="AS1413" s="11"/>
      <c r="AT1413" s="6"/>
      <c r="AU1413" s="6"/>
      <c r="AV1413" s="6"/>
      <c r="AW1413" s="7"/>
      <c r="AX1413" s="6"/>
      <c r="AY1413" s="6"/>
      <c r="AZ1413" s="6"/>
      <c r="BA1413" s="6"/>
      <c r="BB1413" s="24"/>
      <c r="BD1413" s="6"/>
      <c r="BE1413" s="6"/>
      <c r="BF1413" s="6"/>
      <c r="BH1413" s="6"/>
      <c r="BI1413" s="6"/>
      <c r="BJ1413" s="6"/>
      <c r="BK1413" s="6"/>
      <c r="BL1413" s="6"/>
      <c r="BM1413" s="6"/>
    </row>
    <row r="1414" spans="1:65" x14ac:dyDescent="0.25">
      <c r="I1414" s="7"/>
      <c r="AH1414" s="7"/>
      <c r="AV1414" s="6"/>
    </row>
    <row r="1415" spans="1:65" x14ac:dyDescent="0.25">
      <c r="A1415" s="6"/>
      <c r="B1415" s="6"/>
      <c r="C1415" s="6"/>
      <c r="D1415" s="6"/>
      <c r="E1415" s="6"/>
      <c r="F1415" s="21"/>
      <c r="G1415" s="10"/>
      <c r="H1415" s="7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  <c r="AB1415" s="6"/>
      <c r="AC1415" s="6"/>
      <c r="AD1415" s="6"/>
      <c r="AE1415" s="6"/>
      <c r="AF1415" s="25"/>
      <c r="AG1415" s="7"/>
      <c r="AH1415" s="7"/>
      <c r="AI1415" s="7"/>
      <c r="AJ1415" s="6"/>
      <c r="AK1415" s="6"/>
      <c r="AL1415" s="6"/>
      <c r="AM1415" s="6"/>
      <c r="AN1415" s="6"/>
      <c r="AO1415" s="26"/>
      <c r="AP1415" s="11"/>
      <c r="AQ1415" s="7"/>
      <c r="AS1415" s="11"/>
      <c r="AT1415" s="6"/>
      <c r="AU1415" s="6"/>
      <c r="AW1415" s="7"/>
      <c r="AX1415" s="6"/>
      <c r="AY1415" s="6"/>
      <c r="AZ1415" s="6"/>
      <c r="BA1415" s="6"/>
      <c r="BB1415" s="24"/>
      <c r="BD1415" s="6"/>
      <c r="BE1415" s="6"/>
      <c r="BF1415" s="6"/>
      <c r="BH1415" s="6"/>
      <c r="BI1415" s="6"/>
      <c r="BJ1415" s="6"/>
      <c r="BK1415" s="6"/>
      <c r="BL1415" s="6"/>
      <c r="BM1415" s="6"/>
    </row>
    <row r="1416" spans="1:65" x14ac:dyDescent="0.25">
      <c r="AV1416" s="6"/>
    </row>
    <row r="1417" spans="1:65" x14ac:dyDescent="0.25">
      <c r="I1417" s="7"/>
      <c r="AH1417" s="7"/>
      <c r="AV1417" s="6"/>
    </row>
    <row r="1418" spans="1:65" x14ac:dyDescent="0.25">
      <c r="A1418" s="6"/>
      <c r="B1418" s="6"/>
      <c r="C1418" s="6"/>
      <c r="D1418" s="6"/>
      <c r="E1418" s="6"/>
      <c r="F1418" s="21"/>
      <c r="G1418" s="10"/>
      <c r="H1418" s="7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  <c r="AA1418" s="6"/>
      <c r="AB1418" s="6"/>
      <c r="AC1418" s="6"/>
      <c r="AD1418" s="6"/>
      <c r="AE1418" s="6"/>
      <c r="AF1418" s="25"/>
      <c r="AG1418" s="7"/>
      <c r="AH1418" s="7"/>
      <c r="AI1418" s="7"/>
      <c r="AJ1418" s="6"/>
      <c r="AK1418" s="6"/>
      <c r="AL1418" s="6"/>
      <c r="AM1418" s="6"/>
      <c r="AN1418" s="6"/>
      <c r="AO1418" s="26"/>
      <c r="AP1418" s="11"/>
      <c r="AQ1418" s="7"/>
      <c r="AS1418" s="11"/>
      <c r="AT1418" s="6"/>
      <c r="AU1418" s="6"/>
      <c r="AW1418" s="7"/>
      <c r="AX1418" s="6"/>
      <c r="AY1418" s="6"/>
      <c r="AZ1418" s="6"/>
      <c r="BA1418" s="6"/>
      <c r="BB1418" s="24"/>
      <c r="BD1418" s="6"/>
      <c r="BE1418" s="6"/>
      <c r="BF1418" s="6"/>
      <c r="BH1418" s="6"/>
      <c r="BI1418" s="6"/>
      <c r="BJ1418" s="6"/>
      <c r="BK1418" s="6"/>
      <c r="BL1418" s="6"/>
      <c r="BM1418" s="6"/>
    </row>
    <row r="1419" spans="1:65" x14ac:dyDescent="0.25">
      <c r="A1419" s="6"/>
      <c r="B1419" s="6"/>
      <c r="C1419" s="6"/>
      <c r="D1419" s="6"/>
      <c r="E1419" s="6"/>
      <c r="F1419" s="21"/>
      <c r="G1419" s="10"/>
      <c r="H1419" s="7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  <c r="AB1419" s="6"/>
      <c r="AC1419" s="6"/>
      <c r="AD1419" s="6"/>
      <c r="AE1419" s="6"/>
      <c r="AF1419" s="25"/>
      <c r="AG1419" s="7"/>
      <c r="AH1419" s="7"/>
      <c r="AI1419" s="7"/>
      <c r="AJ1419" s="6"/>
      <c r="AK1419" s="6"/>
      <c r="AL1419" s="6"/>
      <c r="AM1419" s="6"/>
      <c r="AN1419" s="6"/>
      <c r="AO1419" s="26"/>
      <c r="AP1419" s="11"/>
      <c r="AQ1419" s="7"/>
      <c r="AS1419" s="11"/>
      <c r="AT1419" s="6"/>
      <c r="AU1419" s="6"/>
      <c r="AV1419" s="6"/>
      <c r="AW1419" s="7"/>
      <c r="AX1419" s="6"/>
      <c r="AY1419" s="6"/>
      <c r="AZ1419" s="6"/>
      <c r="BA1419" s="6"/>
      <c r="BB1419" s="24"/>
      <c r="BD1419" s="6"/>
      <c r="BE1419" s="6"/>
      <c r="BF1419" s="6"/>
      <c r="BH1419" s="6"/>
      <c r="BI1419" s="6"/>
      <c r="BJ1419" s="6"/>
      <c r="BK1419" s="6"/>
      <c r="BL1419" s="6"/>
      <c r="BM1419" s="6"/>
    </row>
    <row r="1422" spans="1:65" x14ac:dyDescent="0.25">
      <c r="A1422" s="6"/>
      <c r="B1422" s="6"/>
      <c r="C1422" s="6"/>
      <c r="D1422" s="6"/>
      <c r="E1422" s="6"/>
      <c r="F1422" s="21"/>
      <c r="G1422" s="10"/>
      <c r="H1422" s="7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  <c r="AB1422" s="6"/>
      <c r="AC1422" s="6"/>
      <c r="AD1422" s="6"/>
      <c r="AE1422" s="6"/>
      <c r="AF1422" s="25"/>
      <c r="AG1422" s="7"/>
      <c r="AH1422" s="7"/>
      <c r="AI1422" s="7"/>
      <c r="AJ1422" s="6"/>
      <c r="AK1422" s="6"/>
      <c r="AL1422" s="6"/>
      <c r="AM1422" s="6"/>
      <c r="AN1422" s="6"/>
      <c r="AO1422" s="26"/>
      <c r="AP1422" s="11"/>
      <c r="AQ1422" s="7"/>
      <c r="AS1422" s="11"/>
      <c r="AT1422" s="6"/>
      <c r="AU1422" s="6"/>
      <c r="AV1422" s="6"/>
      <c r="AW1422" s="7"/>
      <c r="AX1422" s="6"/>
      <c r="AY1422" s="6"/>
      <c r="AZ1422" s="6"/>
      <c r="BA1422" s="6"/>
      <c r="BB1422" s="24"/>
      <c r="BD1422" s="6"/>
      <c r="BE1422" s="6"/>
      <c r="BF1422" s="6"/>
      <c r="BH1422" s="6"/>
      <c r="BI1422" s="6"/>
      <c r="BJ1422" s="6"/>
      <c r="BK1422" s="6"/>
      <c r="BL1422" s="6"/>
      <c r="BM1422" s="6"/>
    </row>
    <row r="1423" spans="1:65" x14ac:dyDescent="0.25">
      <c r="I1423" s="7"/>
      <c r="AH1423" s="7"/>
      <c r="AV1423" s="6"/>
    </row>
    <row r="1424" spans="1:65" x14ac:dyDescent="0.25">
      <c r="A1424" s="6"/>
      <c r="B1424" s="6"/>
      <c r="C1424" s="6"/>
      <c r="D1424" s="6"/>
      <c r="E1424" s="6"/>
      <c r="F1424" s="21"/>
      <c r="G1424" s="10"/>
      <c r="H1424" s="7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  <c r="AB1424" s="6"/>
      <c r="AC1424" s="6"/>
      <c r="AD1424" s="6"/>
      <c r="AE1424" s="6"/>
      <c r="AF1424" s="25"/>
      <c r="AG1424" s="7"/>
      <c r="AH1424" s="7"/>
      <c r="AI1424" s="7"/>
      <c r="AJ1424" s="6"/>
      <c r="AK1424" s="6"/>
      <c r="AL1424" s="6"/>
      <c r="AM1424" s="6"/>
      <c r="AN1424" s="6"/>
      <c r="AO1424" s="26"/>
      <c r="AP1424" s="11"/>
      <c r="AQ1424" s="7"/>
      <c r="AS1424" s="11"/>
      <c r="AT1424" s="6"/>
      <c r="AU1424" s="6"/>
      <c r="AW1424" s="7"/>
      <c r="AX1424" s="6"/>
      <c r="AY1424" s="6"/>
      <c r="AZ1424" s="6"/>
      <c r="BA1424" s="6"/>
      <c r="BB1424" s="24"/>
      <c r="BD1424" s="6"/>
      <c r="BE1424" s="6"/>
      <c r="BF1424" s="6"/>
      <c r="BH1424" s="6"/>
      <c r="BI1424" s="6"/>
      <c r="BJ1424" s="6"/>
      <c r="BK1424" s="6"/>
      <c r="BL1424" s="6"/>
      <c r="BM1424" s="6"/>
    </row>
    <row r="1425" spans="1:65" x14ac:dyDescent="0.25">
      <c r="AV1425" s="6"/>
    </row>
    <row r="1426" spans="1:65" x14ac:dyDescent="0.25">
      <c r="I1426" s="7"/>
      <c r="AH1426" s="7"/>
      <c r="AV1426" s="6"/>
    </row>
    <row r="1427" spans="1:65" x14ac:dyDescent="0.25">
      <c r="A1427" s="6"/>
      <c r="B1427" s="6"/>
      <c r="C1427" s="6"/>
      <c r="D1427" s="6"/>
      <c r="E1427" s="6"/>
      <c r="F1427" s="21"/>
      <c r="G1427" s="10"/>
      <c r="H1427" s="7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  <c r="AB1427" s="6"/>
      <c r="AC1427" s="6"/>
      <c r="AD1427" s="6"/>
      <c r="AE1427" s="6"/>
      <c r="AF1427" s="25"/>
      <c r="AG1427" s="7"/>
      <c r="AH1427" s="7"/>
      <c r="AI1427" s="7"/>
      <c r="AJ1427" s="6"/>
      <c r="AK1427" s="6"/>
      <c r="AL1427" s="6"/>
      <c r="AM1427" s="6"/>
      <c r="AN1427" s="6"/>
      <c r="AO1427" s="26"/>
      <c r="AP1427" s="11"/>
      <c r="AQ1427" s="7"/>
      <c r="AS1427" s="11"/>
      <c r="AT1427" s="6"/>
      <c r="AU1427" s="6"/>
      <c r="AW1427" s="7"/>
      <c r="AX1427" s="6"/>
      <c r="AY1427" s="6"/>
      <c r="AZ1427" s="6"/>
      <c r="BA1427" s="6"/>
      <c r="BB1427" s="24"/>
      <c r="BD1427" s="6"/>
      <c r="BE1427" s="6"/>
      <c r="BF1427" s="6"/>
      <c r="BH1427" s="6"/>
      <c r="BI1427" s="6"/>
      <c r="BJ1427" s="6"/>
      <c r="BK1427" s="6"/>
      <c r="BL1427" s="6"/>
      <c r="BM1427" s="6"/>
    </row>
    <row r="1428" spans="1:65" x14ac:dyDescent="0.25">
      <c r="A1428" s="6"/>
      <c r="B1428" s="6"/>
      <c r="C1428" s="6"/>
      <c r="D1428" s="6"/>
      <c r="E1428" s="6"/>
      <c r="F1428" s="21"/>
      <c r="G1428" s="10"/>
      <c r="H1428" s="7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  <c r="AB1428" s="6"/>
      <c r="AC1428" s="6"/>
      <c r="AD1428" s="6"/>
      <c r="AE1428" s="6"/>
      <c r="AF1428" s="25"/>
      <c r="AG1428" s="7"/>
      <c r="AH1428" s="7"/>
      <c r="AI1428" s="7"/>
      <c r="AJ1428" s="6"/>
      <c r="AK1428" s="6"/>
      <c r="AL1428" s="6"/>
      <c r="AM1428" s="6"/>
      <c r="AN1428" s="6"/>
      <c r="AO1428" s="26"/>
      <c r="AP1428" s="11"/>
      <c r="AQ1428" s="7"/>
      <c r="AS1428" s="11"/>
      <c r="AT1428" s="6"/>
      <c r="AU1428" s="6"/>
      <c r="AV1428" s="6"/>
      <c r="AW1428" s="7"/>
      <c r="AX1428" s="6"/>
      <c r="AY1428" s="6"/>
      <c r="AZ1428" s="6"/>
      <c r="BA1428" s="6"/>
      <c r="BB1428" s="24"/>
      <c r="BD1428" s="6"/>
      <c r="BE1428" s="6"/>
      <c r="BF1428" s="6"/>
      <c r="BH1428" s="6"/>
      <c r="BI1428" s="6"/>
      <c r="BJ1428" s="6"/>
      <c r="BK1428" s="6"/>
      <c r="BL1428" s="6"/>
      <c r="BM1428" s="6"/>
    </row>
    <row r="1431" spans="1:65" x14ac:dyDescent="0.25">
      <c r="A1431" s="6"/>
      <c r="B1431" s="6"/>
      <c r="C1431" s="6"/>
      <c r="D1431" s="6"/>
      <c r="E1431" s="6"/>
      <c r="F1431" s="21"/>
      <c r="G1431" s="10"/>
      <c r="H1431" s="7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  <c r="AB1431" s="6"/>
      <c r="AC1431" s="6"/>
      <c r="AD1431" s="6"/>
      <c r="AE1431" s="6"/>
      <c r="AF1431" s="25"/>
      <c r="AG1431" s="7"/>
      <c r="AH1431" s="7"/>
      <c r="AI1431" s="7"/>
      <c r="AJ1431" s="6"/>
      <c r="AK1431" s="6"/>
      <c r="AL1431" s="6"/>
      <c r="AM1431" s="6"/>
      <c r="AN1431" s="6"/>
      <c r="AO1431" s="26"/>
      <c r="AP1431" s="11"/>
      <c r="AQ1431" s="7"/>
      <c r="AS1431" s="11"/>
      <c r="AT1431" s="6"/>
      <c r="AU1431" s="6"/>
      <c r="AV1431" s="6"/>
      <c r="AW1431" s="7"/>
      <c r="AX1431" s="6"/>
      <c r="AY1431" s="6"/>
      <c r="AZ1431" s="6"/>
      <c r="BA1431" s="6"/>
      <c r="BB1431" s="24"/>
      <c r="BD1431" s="6"/>
      <c r="BE1431" s="6"/>
      <c r="BF1431" s="6"/>
      <c r="BH1431" s="6"/>
      <c r="BI1431" s="6"/>
      <c r="BJ1431" s="6"/>
      <c r="BK1431" s="6"/>
      <c r="BL1431" s="6"/>
      <c r="BM1431" s="6"/>
    </row>
    <row r="1432" spans="1:65" x14ac:dyDescent="0.25">
      <c r="I1432" s="7"/>
      <c r="AH1432" s="7"/>
      <c r="AV1432" s="6"/>
    </row>
    <row r="1433" spans="1:65" x14ac:dyDescent="0.25">
      <c r="A1433" s="6"/>
      <c r="B1433" s="6"/>
      <c r="C1433" s="6"/>
      <c r="D1433" s="6"/>
      <c r="E1433" s="6"/>
      <c r="F1433" s="21"/>
      <c r="G1433" s="10"/>
      <c r="H1433" s="7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  <c r="AB1433" s="6"/>
      <c r="AC1433" s="6"/>
      <c r="AD1433" s="6"/>
      <c r="AE1433" s="6"/>
      <c r="AF1433" s="25"/>
      <c r="AG1433" s="7"/>
      <c r="AH1433" s="7"/>
      <c r="AI1433" s="7"/>
      <c r="AJ1433" s="6"/>
      <c r="AK1433" s="6"/>
      <c r="AL1433" s="6"/>
      <c r="AM1433" s="6"/>
      <c r="AN1433" s="6"/>
      <c r="AO1433" s="26"/>
      <c r="AP1433" s="11"/>
      <c r="AQ1433" s="7"/>
      <c r="AS1433" s="11"/>
      <c r="AT1433" s="6"/>
      <c r="AU1433" s="6"/>
      <c r="AW1433" s="7"/>
      <c r="AX1433" s="6"/>
      <c r="AY1433" s="6"/>
      <c r="AZ1433" s="6"/>
      <c r="BA1433" s="6"/>
      <c r="BB1433" s="24"/>
      <c r="BD1433" s="6"/>
      <c r="BE1433" s="6"/>
      <c r="BF1433" s="6"/>
      <c r="BH1433" s="6"/>
      <c r="BI1433" s="6"/>
      <c r="BJ1433" s="6"/>
      <c r="BK1433" s="6"/>
      <c r="BL1433" s="6"/>
      <c r="BM1433" s="6"/>
    </row>
    <row r="1434" spans="1:65" x14ac:dyDescent="0.25">
      <c r="AV1434" s="6"/>
    </row>
    <row r="1435" spans="1:65" x14ac:dyDescent="0.25">
      <c r="I1435" s="7"/>
      <c r="AH1435" s="7"/>
      <c r="AV1435" s="6"/>
    </row>
    <row r="1436" spans="1:65" x14ac:dyDescent="0.25">
      <c r="A1436" s="6"/>
      <c r="B1436" s="6"/>
      <c r="C1436" s="6"/>
      <c r="D1436" s="6"/>
      <c r="E1436" s="6"/>
      <c r="F1436" s="21"/>
      <c r="G1436" s="10"/>
      <c r="H1436" s="7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  <c r="AB1436" s="6"/>
      <c r="AC1436" s="6"/>
      <c r="AD1436" s="6"/>
      <c r="AE1436" s="6"/>
      <c r="AF1436" s="25"/>
      <c r="AG1436" s="7"/>
      <c r="AH1436" s="7"/>
      <c r="AI1436" s="7"/>
      <c r="AJ1436" s="6"/>
      <c r="AK1436" s="6"/>
      <c r="AL1436" s="6"/>
      <c r="AM1436" s="6"/>
      <c r="AN1436" s="6"/>
      <c r="AO1436" s="26"/>
      <c r="AP1436" s="11"/>
      <c r="AQ1436" s="7"/>
      <c r="AS1436" s="11"/>
      <c r="AT1436" s="6"/>
      <c r="AU1436" s="6"/>
      <c r="AW1436" s="7"/>
      <c r="AX1436" s="6"/>
      <c r="AY1436" s="6"/>
      <c r="AZ1436" s="6"/>
      <c r="BA1436" s="6"/>
      <c r="BB1436" s="24"/>
      <c r="BD1436" s="6"/>
      <c r="BE1436" s="6"/>
      <c r="BF1436" s="6"/>
      <c r="BH1436" s="6"/>
      <c r="BI1436" s="6"/>
      <c r="BJ1436" s="6"/>
      <c r="BK1436" s="6"/>
      <c r="BL1436" s="6"/>
      <c r="BM1436" s="6"/>
    </row>
    <row r="1437" spans="1:65" x14ac:dyDescent="0.25">
      <c r="A1437" s="6"/>
      <c r="B1437" s="6"/>
      <c r="C1437" s="6"/>
      <c r="D1437" s="6"/>
      <c r="E1437" s="6"/>
      <c r="F1437" s="21"/>
      <c r="G1437" s="10"/>
      <c r="H1437" s="7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  <c r="AB1437" s="6"/>
      <c r="AC1437" s="6"/>
      <c r="AD1437" s="6"/>
      <c r="AE1437" s="6"/>
      <c r="AF1437" s="25"/>
      <c r="AG1437" s="7"/>
      <c r="AH1437" s="7"/>
      <c r="AI1437" s="7"/>
      <c r="AJ1437" s="6"/>
      <c r="AK1437" s="6"/>
      <c r="AL1437" s="6"/>
      <c r="AM1437" s="6"/>
      <c r="AN1437" s="6"/>
      <c r="AO1437" s="26"/>
      <c r="AP1437" s="11"/>
      <c r="AQ1437" s="7"/>
      <c r="AS1437" s="11"/>
      <c r="AT1437" s="6"/>
      <c r="AU1437" s="6"/>
      <c r="AV1437" s="6"/>
      <c r="AW1437" s="7"/>
      <c r="AX1437" s="6"/>
      <c r="AY1437" s="6"/>
      <c r="AZ1437" s="6"/>
      <c r="BA1437" s="6"/>
      <c r="BB1437" s="24"/>
      <c r="BD1437" s="6"/>
      <c r="BE1437" s="6"/>
      <c r="BF1437" s="6"/>
      <c r="BH1437" s="6"/>
      <c r="BI1437" s="6"/>
      <c r="BJ1437" s="6"/>
      <c r="BK1437" s="6"/>
      <c r="BL1437" s="6"/>
      <c r="BM1437" s="6"/>
    </row>
    <row r="1440" spans="1:65" x14ac:dyDescent="0.25">
      <c r="A1440" s="6"/>
      <c r="B1440" s="6"/>
      <c r="C1440" s="6"/>
      <c r="D1440" s="6"/>
      <c r="E1440" s="6"/>
      <c r="F1440" s="21"/>
      <c r="G1440" s="10"/>
      <c r="H1440" s="7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  <c r="AB1440" s="6"/>
      <c r="AC1440" s="6"/>
      <c r="AD1440" s="6"/>
      <c r="AE1440" s="6"/>
      <c r="AF1440" s="25"/>
      <c r="AG1440" s="7"/>
      <c r="AH1440" s="7"/>
      <c r="AI1440" s="7"/>
      <c r="AJ1440" s="6"/>
      <c r="AK1440" s="6"/>
      <c r="AL1440" s="6"/>
      <c r="AM1440" s="6"/>
      <c r="AN1440" s="6"/>
      <c r="AO1440" s="26"/>
      <c r="AP1440" s="11"/>
      <c r="AQ1440" s="7"/>
      <c r="AS1440" s="11"/>
      <c r="AT1440" s="6"/>
      <c r="AU1440" s="6"/>
      <c r="AV1440" s="6"/>
      <c r="AW1440" s="7"/>
      <c r="AX1440" s="6"/>
      <c r="AY1440" s="6"/>
      <c r="AZ1440" s="6"/>
      <c r="BA1440" s="6"/>
      <c r="BB1440" s="24"/>
      <c r="BD1440" s="6"/>
      <c r="BE1440" s="6"/>
      <c r="BF1440" s="6"/>
      <c r="BH1440" s="6"/>
      <c r="BI1440" s="6"/>
      <c r="BJ1440" s="6"/>
      <c r="BK1440" s="6"/>
      <c r="BL1440" s="6"/>
      <c r="BM1440" s="6"/>
    </row>
    <row r="1441" spans="1:65" x14ac:dyDescent="0.25">
      <c r="I1441" s="7"/>
      <c r="AH1441" s="7"/>
      <c r="AV1441" s="6"/>
    </row>
    <row r="1442" spans="1:65" x14ac:dyDescent="0.25">
      <c r="A1442" s="6"/>
      <c r="B1442" s="6"/>
      <c r="C1442" s="6"/>
      <c r="D1442" s="6"/>
      <c r="E1442" s="6"/>
      <c r="F1442" s="21"/>
      <c r="G1442" s="10"/>
      <c r="H1442" s="7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  <c r="AB1442" s="6"/>
      <c r="AC1442" s="6"/>
      <c r="AD1442" s="6"/>
      <c r="AE1442" s="6"/>
      <c r="AF1442" s="25"/>
      <c r="AG1442" s="7"/>
      <c r="AH1442" s="7"/>
      <c r="AI1442" s="7"/>
      <c r="AJ1442" s="6"/>
      <c r="AK1442" s="6"/>
      <c r="AL1442" s="6"/>
      <c r="AM1442" s="6"/>
      <c r="AN1442" s="6"/>
      <c r="AO1442" s="26"/>
      <c r="AP1442" s="11"/>
      <c r="AQ1442" s="7"/>
      <c r="AS1442" s="11"/>
      <c r="AT1442" s="6"/>
      <c r="AU1442" s="6"/>
      <c r="AW1442" s="7"/>
      <c r="AX1442" s="6"/>
      <c r="AY1442" s="6"/>
      <c r="AZ1442" s="6"/>
      <c r="BA1442" s="6"/>
      <c r="BB1442" s="24"/>
      <c r="BD1442" s="6"/>
      <c r="BE1442" s="6"/>
      <c r="BF1442" s="6"/>
      <c r="BH1442" s="6"/>
      <c r="BI1442" s="6"/>
      <c r="BJ1442" s="6"/>
      <c r="BK1442" s="6"/>
      <c r="BL1442" s="6"/>
      <c r="BM1442" s="6"/>
    </row>
    <row r="1443" spans="1:65" x14ac:dyDescent="0.25">
      <c r="AV1443" s="6"/>
    </row>
    <row r="1444" spans="1:65" x14ac:dyDescent="0.25">
      <c r="I1444" s="7"/>
      <c r="AH1444" s="7"/>
      <c r="AV1444" s="6"/>
    </row>
    <row r="1445" spans="1:65" x14ac:dyDescent="0.25">
      <c r="A1445" s="6"/>
      <c r="B1445" s="6"/>
      <c r="C1445" s="6"/>
      <c r="D1445" s="6"/>
      <c r="E1445" s="6"/>
      <c r="F1445" s="21"/>
      <c r="G1445" s="10"/>
      <c r="H1445" s="7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  <c r="AB1445" s="6"/>
      <c r="AC1445" s="6"/>
      <c r="AD1445" s="6"/>
      <c r="AE1445" s="6"/>
      <c r="AF1445" s="25"/>
      <c r="AG1445" s="7"/>
      <c r="AH1445" s="7"/>
      <c r="AI1445" s="7"/>
      <c r="AJ1445" s="6"/>
      <c r="AK1445" s="6"/>
      <c r="AL1445" s="6"/>
      <c r="AM1445" s="6"/>
      <c r="AN1445" s="6"/>
      <c r="AO1445" s="26"/>
      <c r="AP1445" s="11"/>
      <c r="AQ1445" s="7"/>
      <c r="AS1445" s="11"/>
      <c r="AT1445" s="6"/>
      <c r="AU1445" s="6"/>
      <c r="AW1445" s="7"/>
      <c r="AX1445" s="6"/>
      <c r="AY1445" s="6"/>
      <c r="AZ1445" s="6"/>
      <c r="BA1445" s="6"/>
      <c r="BB1445" s="24"/>
      <c r="BD1445" s="6"/>
      <c r="BE1445" s="6"/>
      <c r="BF1445" s="6"/>
      <c r="BH1445" s="6"/>
      <c r="BI1445" s="6"/>
      <c r="BJ1445" s="6"/>
      <c r="BK1445" s="6"/>
      <c r="BL1445" s="6"/>
      <c r="BM1445" s="6"/>
    </row>
    <row r="1446" spans="1:65" x14ac:dyDescent="0.25">
      <c r="A1446" s="6"/>
      <c r="B1446" s="6"/>
      <c r="C1446" s="6"/>
      <c r="D1446" s="6"/>
      <c r="E1446" s="6"/>
      <c r="F1446" s="21"/>
      <c r="G1446" s="10"/>
      <c r="H1446" s="7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  <c r="AB1446" s="6"/>
      <c r="AC1446" s="6"/>
      <c r="AD1446" s="6"/>
      <c r="AE1446" s="6"/>
      <c r="AF1446" s="25"/>
      <c r="AG1446" s="7"/>
      <c r="AH1446" s="7"/>
      <c r="AI1446" s="7"/>
      <c r="AJ1446" s="6"/>
      <c r="AK1446" s="6"/>
      <c r="AL1446" s="6"/>
      <c r="AM1446" s="6"/>
      <c r="AN1446" s="6"/>
      <c r="AO1446" s="26"/>
      <c r="AP1446" s="11"/>
      <c r="AQ1446" s="7"/>
      <c r="AS1446" s="11"/>
      <c r="AT1446" s="6"/>
      <c r="AU1446" s="6"/>
      <c r="AV1446" s="6"/>
      <c r="AW1446" s="7"/>
      <c r="AX1446" s="6"/>
      <c r="AY1446" s="6"/>
      <c r="AZ1446" s="6"/>
      <c r="BA1446" s="6"/>
      <c r="BB1446" s="24"/>
      <c r="BD1446" s="6"/>
      <c r="BE1446" s="6"/>
      <c r="BF1446" s="6"/>
      <c r="BH1446" s="6"/>
      <c r="BI1446" s="6"/>
      <c r="BJ1446" s="6"/>
      <c r="BK1446" s="6"/>
      <c r="BL1446" s="6"/>
      <c r="BM1446" s="6"/>
    </row>
    <row r="1449" spans="1:65" x14ac:dyDescent="0.25">
      <c r="A1449" s="6"/>
      <c r="B1449" s="6"/>
      <c r="C1449" s="6"/>
      <c r="D1449" s="6"/>
      <c r="E1449" s="6"/>
      <c r="F1449" s="21"/>
      <c r="G1449" s="10"/>
      <c r="H1449" s="7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  <c r="AB1449" s="6"/>
      <c r="AC1449" s="6"/>
      <c r="AD1449" s="6"/>
      <c r="AE1449" s="6"/>
      <c r="AF1449" s="25"/>
      <c r="AG1449" s="7"/>
      <c r="AH1449" s="7"/>
      <c r="AI1449" s="7"/>
      <c r="AJ1449" s="6"/>
      <c r="AK1449" s="6"/>
      <c r="AL1449" s="6"/>
      <c r="AM1449" s="6"/>
      <c r="AN1449" s="6"/>
      <c r="AO1449" s="26"/>
      <c r="AP1449" s="11"/>
      <c r="AQ1449" s="7"/>
      <c r="AS1449" s="11"/>
      <c r="AT1449" s="6"/>
      <c r="AU1449" s="6"/>
      <c r="AV1449" s="6"/>
      <c r="AW1449" s="7"/>
      <c r="AX1449" s="6"/>
      <c r="AY1449" s="6"/>
      <c r="AZ1449" s="6"/>
      <c r="BA1449" s="6"/>
      <c r="BB1449" s="24"/>
      <c r="BD1449" s="6"/>
      <c r="BE1449" s="6"/>
      <c r="BF1449" s="6"/>
      <c r="BH1449" s="6"/>
      <c r="BI1449" s="6"/>
      <c r="BJ1449" s="6"/>
      <c r="BK1449" s="6"/>
      <c r="BL1449" s="6"/>
      <c r="BM1449" s="6"/>
    </row>
    <row r="1450" spans="1:65" x14ac:dyDescent="0.25">
      <c r="I1450" s="7"/>
      <c r="AH1450" s="7"/>
      <c r="AV1450" s="6"/>
    </row>
    <row r="1451" spans="1:65" x14ac:dyDescent="0.25">
      <c r="A1451" s="6"/>
      <c r="B1451" s="6"/>
      <c r="C1451" s="6"/>
      <c r="D1451" s="6"/>
      <c r="E1451" s="6"/>
      <c r="F1451" s="21"/>
      <c r="G1451" s="10"/>
      <c r="H1451" s="7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  <c r="AB1451" s="6"/>
      <c r="AC1451" s="6"/>
      <c r="AD1451" s="6"/>
      <c r="AE1451" s="6"/>
      <c r="AF1451" s="25"/>
      <c r="AG1451" s="7"/>
      <c r="AH1451" s="7"/>
      <c r="AI1451" s="7"/>
      <c r="AJ1451" s="6"/>
      <c r="AK1451" s="6"/>
      <c r="AL1451" s="6"/>
      <c r="AM1451" s="6"/>
      <c r="AN1451" s="6"/>
      <c r="AO1451" s="26"/>
      <c r="AP1451" s="11"/>
      <c r="AQ1451" s="7"/>
      <c r="AS1451" s="11"/>
      <c r="AT1451" s="6"/>
      <c r="AU1451" s="6"/>
      <c r="AW1451" s="7"/>
      <c r="AX1451" s="6"/>
      <c r="AY1451" s="6"/>
      <c r="AZ1451" s="6"/>
      <c r="BA1451" s="6"/>
      <c r="BB1451" s="24"/>
      <c r="BD1451" s="6"/>
      <c r="BE1451" s="6"/>
      <c r="BF1451" s="6"/>
      <c r="BH1451" s="6"/>
      <c r="BI1451" s="6"/>
      <c r="BJ1451" s="6"/>
      <c r="BK1451" s="6"/>
      <c r="BL1451" s="6"/>
      <c r="BM1451" s="6"/>
    </row>
    <row r="1452" spans="1:65" x14ac:dyDescent="0.25">
      <c r="AV1452" s="6"/>
    </row>
    <row r="1453" spans="1:65" x14ac:dyDescent="0.25">
      <c r="I1453" s="7"/>
      <c r="AH1453" s="7"/>
      <c r="AV1453" s="6"/>
    </row>
    <row r="1454" spans="1:65" x14ac:dyDescent="0.25">
      <c r="A1454" s="6"/>
      <c r="B1454" s="6"/>
      <c r="C1454" s="6"/>
      <c r="D1454" s="6"/>
      <c r="E1454" s="6"/>
      <c r="F1454" s="21"/>
      <c r="G1454" s="10"/>
      <c r="H1454" s="7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  <c r="AA1454" s="6"/>
      <c r="AB1454" s="6"/>
      <c r="AC1454" s="6"/>
      <c r="AD1454" s="6"/>
      <c r="AE1454" s="6"/>
      <c r="AF1454" s="25"/>
      <c r="AG1454" s="7"/>
      <c r="AH1454" s="7"/>
      <c r="AI1454" s="7"/>
      <c r="AJ1454" s="6"/>
      <c r="AK1454" s="6"/>
      <c r="AL1454" s="6"/>
      <c r="AM1454" s="6"/>
      <c r="AN1454" s="6"/>
      <c r="AO1454" s="26"/>
      <c r="AP1454" s="11"/>
      <c r="AQ1454" s="7"/>
      <c r="AS1454" s="11"/>
      <c r="AT1454" s="6"/>
      <c r="AU1454" s="6"/>
      <c r="AW1454" s="7"/>
      <c r="AX1454" s="6"/>
      <c r="AY1454" s="6"/>
      <c r="AZ1454" s="6"/>
      <c r="BA1454" s="6"/>
      <c r="BB1454" s="24"/>
      <c r="BD1454" s="6"/>
      <c r="BE1454" s="6"/>
      <c r="BF1454" s="6"/>
      <c r="BH1454" s="6"/>
      <c r="BI1454" s="6"/>
      <c r="BJ1454" s="6"/>
      <c r="BK1454" s="6"/>
      <c r="BL1454" s="6"/>
      <c r="BM1454" s="6"/>
    </row>
    <row r="1455" spans="1:65" x14ac:dyDescent="0.25">
      <c r="A1455" s="6"/>
      <c r="B1455" s="6"/>
      <c r="C1455" s="6"/>
      <c r="D1455" s="6"/>
      <c r="E1455" s="6"/>
      <c r="F1455" s="21"/>
      <c r="G1455" s="10"/>
      <c r="H1455" s="7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  <c r="AB1455" s="6"/>
      <c r="AC1455" s="6"/>
      <c r="AD1455" s="6"/>
      <c r="AE1455" s="6"/>
      <c r="AF1455" s="25"/>
      <c r="AG1455" s="7"/>
      <c r="AH1455" s="7"/>
      <c r="AI1455" s="7"/>
      <c r="AJ1455" s="6"/>
      <c r="AK1455" s="6"/>
      <c r="AL1455" s="6"/>
      <c r="AM1455" s="6"/>
      <c r="AN1455" s="6"/>
      <c r="AO1455" s="26"/>
      <c r="AP1455" s="11"/>
      <c r="AQ1455" s="7"/>
      <c r="AS1455" s="11"/>
      <c r="AT1455" s="6"/>
      <c r="AU1455" s="6"/>
      <c r="AV1455" s="6"/>
      <c r="AW1455" s="7"/>
      <c r="AX1455" s="6"/>
      <c r="AY1455" s="6"/>
      <c r="AZ1455" s="6"/>
      <c r="BA1455" s="6"/>
      <c r="BB1455" s="24"/>
      <c r="BD1455" s="6"/>
      <c r="BE1455" s="6"/>
      <c r="BF1455" s="6"/>
      <c r="BH1455" s="6"/>
      <c r="BI1455" s="6"/>
      <c r="BJ1455" s="6"/>
      <c r="BK1455" s="6"/>
      <c r="BL1455" s="6"/>
      <c r="BM1455" s="6"/>
    </row>
    <row r="1458" spans="1:65" x14ac:dyDescent="0.25">
      <c r="A1458" s="6"/>
      <c r="B1458" s="6"/>
      <c r="C1458" s="6"/>
      <c r="D1458" s="6"/>
      <c r="E1458" s="6"/>
      <c r="F1458" s="21"/>
      <c r="G1458" s="10"/>
      <c r="H1458" s="7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6"/>
      <c r="AB1458" s="6"/>
      <c r="AC1458" s="6"/>
      <c r="AD1458" s="6"/>
      <c r="AE1458" s="6"/>
      <c r="AF1458" s="25"/>
      <c r="AG1458" s="7"/>
      <c r="AH1458" s="7"/>
      <c r="AI1458" s="7"/>
      <c r="AJ1458" s="6"/>
      <c r="AK1458" s="6"/>
      <c r="AL1458" s="6"/>
      <c r="AM1458" s="6"/>
      <c r="AN1458" s="6"/>
      <c r="AO1458" s="26"/>
      <c r="AP1458" s="11"/>
      <c r="AQ1458" s="7"/>
      <c r="AS1458" s="11"/>
      <c r="AT1458" s="6"/>
      <c r="AU1458" s="6"/>
      <c r="AV1458" s="6"/>
      <c r="AW1458" s="7"/>
      <c r="AX1458" s="6"/>
      <c r="AY1458" s="6"/>
      <c r="AZ1458" s="6"/>
      <c r="BA1458" s="6"/>
      <c r="BB1458" s="24"/>
      <c r="BD1458" s="6"/>
      <c r="BE1458" s="6"/>
      <c r="BF1458" s="6"/>
      <c r="BH1458" s="6"/>
      <c r="BI1458" s="6"/>
      <c r="BJ1458" s="6"/>
      <c r="BK1458" s="6"/>
      <c r="BL1458" s="6"/>
      <c r="BM1458" s="6"/>
    </row>
    <row r="1459" spans="1:65" x14ac:dyDescent="0.25">
      <c r="I1459" s="7"/>
      <c r="AH1459" s="7"/>
      <c r="AV1459" s="6"/>
    </row>
    <row r="1460" spans="1:65" x14ac:dyDescent="0.25">
      <c r="A1460" s="6"/>
      <c r="B1460" s="6"/>
      <c r="C1460" s="6"/>
      <c r="D1460" s="6"/>
      <c r="E1460" s="6"/>
      <c r="F1460" s="21"/>
      <c r="G1460" s="10"/>
      <c r="H1460" s="7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6"/>
      <c r="AB1460" s="6"/>
      <c r="AC1460" s="6"/>
      <c r="AD1460" s="6"/>
      <c r="AE1460" s="6"/>
      <c r="AF1460" s="25"/>
      <c r="AG1460" s="7"/>
      <c r="AH1460" s="7"/>
      <c r="AI1460" s="7"/>
      <c r="AJ1460" s="6"/>
      <c r="AK1460" s="6"/>
      <c r="AL1460" s="6"/>
      <c r="AM1460" s="6"/>
      <c r="AN1460" s="6"/>
      <c r="AO1460" s="26"/>
      <c r="AP1460" s="11"/>
      <c r="AQ1460" s="7"/>
      <c r="AS1460" s="11"/>
      <c r="AT1460" s="6"/>
      <c r="AU1460" s="6"/>
      <c r="AW1460" s="7"/>
      <c r="AX1460" s="6"/>
      <c r="AY1460" s="6"/>
      <c r="AZ1460" s="6"/>
      <c r="BA1460" s="6"/>
      <c r="BB1460" s="24"/>
      <c r="BD1460" s="6"/>
      <c r="BE1460" s="6"/>
      <c r="BF1460" s="6"/>
      <c r="BH1460" s="6"/>
      <c r="BI1460" s="6"/>
      <c r="BJ1460" s="6"/>
      <c r="BK1460" s="6"/>
      <c r="BL1460" s="6"/>
      <c r="BM1460" s="6"/>
    </row>
    <row r="1461" spans="1:65" x14ac:dyDescent="0.25">
      <c r="AV1461" s="6"/>
    </row>
    <row r="1462" spans="1:65" x14ac:dyDescent="0.25">
      <c r="I1462" s="7"/>
      <c r="AH1462" s="7"/>
      <c r="AV1462" s="6"/>
    </row>
    <row r="1463" spans="1:65" x14ac:dyDescent="0.25">
      <c r="A1463" s="6"/>
      <c r="B1463" s="6"/>
      <c r="C1463" s="6"/>
      <c r="D1463" s="6"/>
      <c r="E1463" s="6"/>
      <c r="F1463" s="21"/>
      <c r="G1463" s="10"/>
      <c r="H1463" s="7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  <c r="AA1463" s="6"/>
      <c r="AB1463" s="6"/>
      <c r="AC1463" s="6"/>
      <c r="AD1463" s="6"/>
      <c r="AE1463" s="6"/>
      <c r="AF1463" s="25"/>
      <c r="AG1463" s="7"/>
      <c r="AH1463" s="7"/>
      <c r="AI1463" s="7"/>
      <c r="AJ1463" s="6"/>
      <c r="AK1463" s="6"/>
      <c r="AL1463" s="6"/>
      <c r="AM1463" s="6"/>
      <c r="AN1463" s="6"/>
      <c r="AO1463" s="26"/>
      <c r="AP1463" s="11"/>
      <c r="AQ1463" s="7"/>
      <c r="AS1463" s="11"/>
      <c r="AT1463" s="6"/>
      <c r="AU1463" s="6"/>
      <c r="AW1463" s="7"/>
      <c r="AX1463" s="6"/>
      <c r="AY1463" s="6"/>
      <c r="AZ1463" s="6"/>
      <c r="BA1463" s="6"/>
      <c r="BB1463" s="24"/>
      <c r="BD1463" s="6"/>
      <c r="BE1463" s="6"/>
      <c r="BF1463" s="6"/>
      <c r="BH1463" s="6"/>
      <c r="BI1463" s="6"/>
      <c r="BJ1463" s="6"/>
      <c r="BK1463" s="6"/>
      <c r="BL1463" s="6"/>
      <c r="BM1463" s="6"/>
    </row>
    <row r="1464" spans="1:65" x14ac:dyDescent="0.25">
      <c r="A1464" s="6"/>
      <c r="B1464" s="6"/>
      <c r="C1464" s="6"/>
      <c r="D1464" s="6"/>
      <c r="E1464" s="6"/>
      <c r="F1464" s="21"/>
      <c r="G1464" s="10"/>
      <c r="H1464" s="7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  <c r="AB1464" s="6"/>
      <c r="AC1464" s="6"/>
      <c r="AD1464" s="6"/>
      <c r="AE1464" s="6"/>
      <c r="AF1464" s="25"/>
      <c r="AG1464" s="7"/>
      <c r="AH1464" s="7"/>
      <c r="AI1464" s="7"/>
      <c r="AJ1464" s="6"/>
      <c r="AK1464" s="6"/>
      <c r="AL1464" s="6"/>
      <c r="AM1464" s="6"/>
      <c r="AN1464" s="6"/>
      <c r="AO1464" s="26"/>
      <c r="AP1464" s="11"/>
      <c r="AQ1464" s="7"/>
      <c r="AS1464" s="11"/>
      <c r="AT1464" s="6"/>
      <c r="AU1464" s="6"/>
      <c r="AV1464" s="6"/>
      <c r="AW1464" s="7"/>
      <c r="AX1464" s="6"/>
      <c r="AY1464" s="6"/>
      <c r="AZ1464" s="6"/>
      <c r="BA1464" s="6"/>
      <c r="BB1464" s="24"/>
      <c r="BD1464" s="6"/>
      <c r="BE1464" s="6"/>
      <c r="BF1464" s="6"/>
      <c r="BH1464" s="6"/>
      <c r="BI1464" s="6"/>
      <c r="BJ1464" s="6"/>
      <c r="BK1464" s="6"/>
      <c r="BL1464" s="6"/>
      <c r="BM1464" s="6"/>
    </row>
    <row r="1467" spans="1:65" x14ac:dyDescent="0.25">
      <c r="A1467" s="6"/>
      <c r="B1467" s="6"/>
      <c r="C1467" s="6"/>
      <c r="D1467" s="6"/>
      <c r="E1467" s="6"/>
      <c r="F1467" s="21"/>
      <c r="G1467" s="10"/>
      <c r="H1467" s="7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  <c r="AB1467" s="6"/>
      <c r="AC1467" s="6"/>
      <c r="AD1467" s="6"/>
      <c r="AE1467" s="6"/>
      <c r="AF1467" s="25"/>
      <c r="AG1467" s="7"/>
      <c r="AH1467" s="7"/>
      <c r="AI1467" s="7"/>
      <c r="AJ1467" s="6"/>
      <c r="AK1467" s="6"/>
      <c r="AL1467" s="6"/>
      <c r="AM1467" s="6"/>
      <c r="AN1467" s="6"/>
      <c r="AO1467" s="26"/>
      <c r="AP1467" s="11"/>
      <c r="AQ1467" s="7"/>
      <c r="AS1467" s="11"/>
      <c r="AT1467" s="6"/>
      <c r="AU1467" s="6"/>
      <c r="AV1467" s="6"/>
      <c r="AW1467" s="7"/>
      <c r="AX1467" s="6"/>
      <c r="AY1467" s="6"/>
      <c r="AZ1467" s="6"/>
      <c r="BA1467" s="6"/>
      <c r="BB1467" s="24"/>
      <c r="BD1467" s="6"/>
      <c r="BE1467" s="6"/>
      <c r="BF1467" s="6"/>
      <c r="BH1467" s="6"/>
      <c r="BI1467" s="6"/>
      <c r="BJ1467" s="6"/>
      <c r="BK1467" s="6"/>
      <c r="BL1467" s="6"/>
      <c r="BM1467" s="6"/>
    </row>
    <row r="1468" spans="1:65" x14ac:dyDescent="0.25">
      <c r="I1468" s="7"/>
      <c r="AH1468" s="7"/>
      <c r="AV1468" s="6"/>
    </row>
    <row r="1469" spans="1:65" x14ac:dyDescent="0.25">
      <c r="A1469" s="6"/>
      <c r="B1469" s="6"/>
      <c r="C1469" s="6"/>
      <c r="D1469" s="6"/>
      <c r="E1469" s="6"/>
      <c r="F1469" s="21"/>
      <c r="G1469" s="10"/>
      <c r="H1469" s="7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  <c r="AB1469" s="6"/>
      <c r="AC1469" s="6"/>
      <c r="AD1469" s="6"/>
      <c r="AE1469" s="6"/>
      <c r="AF1469" s="25"/>
      <c r="AG1469" s="7"/>
      <c r="AH1469" s="7"/>
      <c r="AI1469" s="7"/>
      <c r="AJ1469" s="6"/>
      <c r="AK1469" s="6"/>
      <c r="AL1469" s="6"/>
      <c r="AM1469" s="6"/>
      <c r="AN1469" s="6"/>
      <c r="AO1469" s="26"/>
      <c r="AP1469" s="11"/>
      <c r="AQ1469" s="7"/>
      <c r="AS1469" s="11"/>
      <c r="AT1469" s="6"/>
      <c r="AU1469" s="6"/>
      <c r="AW1469" s="7"/>
      <c r="AX1469" s="6"/>
      <c r="AY1469" s="6"/>
      <c r="AZ1469" s="6"/>
      <c r="BA1469" s="6"/>
      <c r="BB1469" s="24"/>
      <c r="BD1469" s="6"/>
      <c r="BE1469" s="6"/>
      <c r="BF1469" s="6"/>
      <c r="BH1469" s="6"/>
      <c r="BI1469" s="6"/>
      <c r="BJ1469" s="6"/>
      <c r="BK1469" s="6"/>
      <c r="BL1469" s="6"/>
      <c r="BM1469" s="6"/>
    </row>
    <row r="1470" spans="1:65" x14ac:dyDescent="0.25">
      <c r="AV1470" s="6"/>
    </row>
    <row r="1471" spans="1:65" x14ac:dyDescent="0.25">
      <c r="I1471" s="7"/>
      <c r="AH1471" s="7"/>
      <c r="AV1471" s="6"/>
    </row>
    <row r="1472" spans="1:65" x14ac:dyDescent="0.25">
      <c r="A1472" s="6"/>
      <c r="B1472" s="6"/>
      <c r="C1472" s="6"/>
      <c r="D1472" s="6"/>
      <c r="E1472" s="6"/>
      <c r="F1472" s="21"/>
      <c r="G1472" s="10"/>
      <c r="H1472" s="7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  <c r="AB1472" s="6"/>
      <c r="AC1472" s="6"/>
      <c r="AD1472" s="6"/>
      <c r="AE1472" s="6"/>
      <c r="AF1472" s="25"/>
      <c r="AG1472" s="7"/>
      <c r="AH1472" s="7"/>
      <c r="AI1472" s="7"/>
      <c r="AJ1472" s="6"/>
      <c r="AK1472" s="6"/>
      <c r="AL1472" s="6"/>
      <c r="AM1472" s="6"/>
      <c r="AN1472" s="6"/>
      <c r="AO1472" s="26"/>
      <c r="AP1472" s="11"/>
      <c r="AQ1472" s="7"/>
      <c r="AS1472" s="11"/>
      <c r="AT1472" s="6"/>
      <c r="AU1472" s="6"/>
      <c r="AW1472" s="7"/>
      <c r="AX1472" s="6"/>
      <c r="AY1472" s="6"/>
      <c r="AZ1472" s="6"/>
      <c r="BA1472" s="6"/>
      <c r="BB1472" s="24"/>
      <c r="BD1472" s="6"/>
      <c r="BE1472" s="6"/>
      <c r="BF1472" s="6"/>
      <c r="BH1472" s="6"/>
      <c r="BI1472" s="6"/>
      <c r="BJ1472" s="6"/>
      <c r="BK1472" s="6"/>
      <c r="BL1472" s="6"/>
      <c r="BM1472" s="6"/>
    </row>
    <row r="1473" spans="1:65" x14ac:dyDescent="0.25">
      <c r="A1473" s="6"/>
      <c r="B1473" s="6"/>
      <c r="C1473" s="6"/>
      <c r="D1473" s="6"/>
      <c r="E1473" s="6"/>
      <c r="F1473" s="21"/>
      <c r="G1473" s="10"/>
      <c r="H1473" s="7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  <c r="AB1473" s="6"/>
      <c r="AC1473" s="6"/>
      <c r="AD1473" s="6"/>
      <c r="AE1473" s="6"/>
      <c r="AF1473" s="25"/>
      <c r="AG1473" s="7"/>
      <c r="AH1473" s="7"/>
      <c r="AI1473" s="7"/>
      <c r="AJ1473" s="6"/>
      <c r="AK1473" s="6"/>
      <c r="AL1473" s="6"/>
      <c r="AM1473" s="6"/>
      <c r="AN1473" s="6"/>
      <c r="AO1473" s="26"/>
      <c r="AP1473" s="11"/>
      <c r="AQ1473" s="7"/>
      <c r="AS1473" s="11"/>
      <c r="AT1473" s="6"/>
      <c r="AU1473" s="6"/>
      <c r="AV1473" s="6"/>
      <c r="AW1473" s="7"/>
      <c r="AX1473" s="6"/>
      <c r="AY1473" s="6"/>
      <c r="AZ1473" s="6"/>
      <c r="BA1473" s="6"/>
      <c r="BB1473" s="24"/>
      <c r="BD1473" s="6"/>
      <c r="BE1473" s="6"/>
      <c r="BF1473" s="6"/>
      <c r="BH1473" s="6"/>
      <c r="BI1473" s="6"/>
      <c r="BJ1473" s="6"/>
      <c r="BK1473" s="6"/>
      <c r="BL1473" s="6"/>
      <c r="BM1473" s="6"/>
    </row>
    <row r="1476" spans="1:65" x14ac:dyDescent="0.25">
      <c r="A1476" s="6"/>
      <c r="B1476" s="6"/>
      <c r="C1476" s="6"/>
      <c r="D1476" s="6"/>
      <c r="E1476" s="6"/>
      <c r="F1476" s="21"/>
      <c r="G1476" s="10"/>
      <c r="H1476" s="7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  <c r="AB1476" s="6"/>
      <c r="AC1476" s="6"/>
      <c r="AD1476" s="6"/>
      <c r="AE1476" s="6"/>
      <c r="AF1476" s="25"/>
      <c r="AG1476" s="7"/>
      <c r="AH1476" s="7"/>
      <c r="AI1476" s="7"/>
      <c r="AJ1476" s="6"/>
      <c r="AK1476" s="6"/>
      <c r="AL1476" s="6"/>
      <c r="AM1476" s="6"/>
      <c r="AN1476" s="6"/>
      <c r="AO1476" s="26"/>
      <c r="AP1476" s="11"/>
      <c r="AQ1476" s="7"/>
      <c r="AS1476" s="11"/>
      <c r="AT1476" s="6"/>
      <c r="AU1476" s="6"/>
      <c r="AV1476" s="6"/>
      <c r="AW1476" s="7"/>
      <c r="AX1476" s="6"/>
      <c r="AY1476" s="6"/>
      <c r="AZ1476" s="6"/>
      <c r="BA1476" s="6"/>
      <c r="BB1476" s="24"/>
      <c r="BD1476" s="6"/>
      <c r="BE1476" s="6"/>
      <c r="BF1476" s="6"/>
      <c r="BH1476" s="6"/>
      <c r="BI1476" s="6"/>
      <c r="BJ1476" s="6"/>
      <c r="BK1476" s="6"/>
      <c r="BL1476" s="6"/>
      <c r="BM1476" s="6"/>
    </row>
    <row r="1477" spans="1:65" x14ac:dyDescent="0.25">
      <c r="I1477" s="7"/>
      <c r="AH1477" s="7"/>
      <c r="AV1477" s="6"/>
    </row>
    <row r="1478" spans="1:65" x14ac:dyDescent="0.25">
      <c r="A1478" s="6"/>
      <c r="B1478" s="6"/>
      <c r="C1478" s="6"/>
      <c r="D1478" s="6"/>
      <c r="E1478" s="6"/>
      <c r="F1478" s="21"/>
      <c r="G1478" s="10"/>
      <c r="H1478" s="7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  <c r="AB1478" s="6"/>
      <c r="AC1478" s="6"/>
      <c r="AD1478" s="6"/>
      <c r="AE1478" s="6"/>
      <c r="AF1478" s="25"/>
      <c r="AG1478" s="7"/>
      <c r="AH1478" s="7"/>
      <c r="AI1478" s="7"/>
      <c r="AJ1478" s="6"/>
      <c r="AK1478" s="6"/>
      <c r="AL1478" s="6"/>
      <c r="AM1478" s="6"/>
      <c r="AN1478" s="6"/>
      <c r="AO1478" s="26"/>
      <c r="AP1478" s="11"/>
      <c r="AQ1478" s="7"/>
      <c r="AS1478" s="11"/>
      <c r="AT1478" s="6"/>
      <c r="AU1478" s="6"/>
      <c r="AW1478" s="7"/>
      <c r="AX1478" s="6"/>
      <c r="AY1478" s="6"/>
      <c r="AZ1478" s="6"/>
      <c r="BA1478" s="6"/>
      <c r="BB1478" s="24"/>
      <c r="BD1478" s="6"/>
      <c r="BE1478" s="6"/>
      <c r="BF1478" s="6"/>
      <c r="BH1478" s="6"/>
      <c r="BI1478" s="6"/>
      <c r="BJ1478" s="6"/>
      <c r="BK1478" s="6"/>
      <c r="BL1478" s="6"/>
      <c r="BM1478" s="6"/>
    </row>
    <row r="1479" spans="1:65" x14ac:dyDescent="0.25">
      <c r="AV1479" s="6"/>
    </row>
    <row r="1480" spans="1:65" x14ac:dyDescent="0.25">
      <c r="I1480" s="7"/>
      <c r="AH1480" s="7"/>
      <c r="AV1480" s="6"/>
    </row>
    <row r="1481" spans="1:65" x14ac:dyDescent="0.25">
      <c r="A1481" s="6"/>
      <c r="B1481" s="6"/>
      <c r="C1481" s="6"/>
      <c r="D1481" s="6"/>
      <c r="E1481" s="6"/>
      <c r="F1481" s="21"/>
      <c r="G1481" s="10"/>
      <c r="H1481" s="7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  <c r="AB1481" s="6"/>
      <c r="AC1481" s="6"/>
      <c r="AD1481" s="6"/>
      <c r="AE1481" s="6"/>
      <c r="AF1481" s="25"/>
      <c r="AG1481" s="7"/>
      <c r="AH1481" s="7"/>
      <c r="AI1481" s="7"/>
      <c r="AJ1481" s="6"/>
      <c r="AK1481" s="6"/>
      <c r="AL1481" s="6"/>
      <c r="AM1481" s="6"/>
      <c r="AN1481" s="6"/>
      <c r="AO1481" s="26"/>
      <c r="AP1481" s="11"/>
      <c r="AQ1481" s="7"/>
      <c r="AS1481" s="11"/>
      <c r="AT1481" s="6"/>
      <c r="AU1481" s="6"/>
      <c r="AW1481" s="7"/>
      <c r="AX1481" s="6"/>
      <c r="AY1481" s="6"/>
      <c r="AZ1481" s="6"/>
      <c r="BA1481" s="6"/>
      <c r="BB1481" s="24"/>
      <c r="BD1481" s="6"/>
      <c r="BE1481" s="6"/>
      <c r="BF1481" s="6"/>
      <c r="BH1481" s="6"/>
      <c r="BI1481" s="6"/>
      <c r="BJ1481" s="6"/>
      <c r="BK1481" s="6"/>
      <c r="BL1481" s="6"/>
      <c r="BM1481" s="6"/>
    </row>
    <row r="1482" spans="1:65" x14ac:dyDescent="0.25">
      <c r="A1482" s="6"/>
      <c r="B1482" s="6"/>
      <c r="C1482" s="6"/>
      <c r="D1482" s="6"/>
      <c r="E1482" s="6"/>
      <c r="F1482" s="21"/>
      <c r="G1482" s="10"/>
      <c r="H1482" s="7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  <c r="AB1482" s="6"/>
      <c r="AC1482" s="6"/>
      <c r="AD1482" s="6"/>
      <c r="AE1482" s="6"/>
      <c r="AF1482" s="25"/>
      <c r="AG1482" s="7"/>
      <c r="AH1482" s="7"/>
      <c r="AI1482" s="7"/>
      <c r="AJ1482" s="6"/>
      <c r="AK1482" s="6"/>
      <c r="AL1482" s="6"/>
      <c r="AM1482" s="6"/>
      <c r="AN1482" s="6"/>
      <c r="AO1482" s="26"/>
      <c r="AP1482" s="11"/>
      <c r="AQ1482" s="7"/>
      <c r="AS1482" s="11"/>
      <c r="AT1482" s="6"/>
      <c r="AU1482" s="6"/>
      <c r="AV1482" s="6"/>
      <c r="AW1482" s="7"/>
      <c r="AX1482" s="6"/>
      <c r="AY1482" s="6"/>
      <c r="AZ1482" s="6"/>
      <c r="BA1482" s="6"/>
      <c r="BB1482" s="24"/>
      <c r="BD1482" s="6"/>
      <c r="BE1482" s="6"/>
      <c r="BF1482" s="6"/>
      <c r="BH1482" s="6"/>
      <c r="BI1482" s="6"/>
      <c r="BJ1482" s="6"/>
      <c r="BK1482" s="6"/>
      <c r="BL1482" s="6"/>
      <c r="BM1482" s="6"/>
    </row>
    <row r="1485" spans="1:65" x14ac:dyDescent="0.25">
      <c r="A1485" s="6"/>
      <c r="B1485" s="6"/>
      <c r="C1485" s="6"/>
      <c r="D1485" s="6"/>
      <c r="E1485" s="6"/>
      <c r="F1485" s="21"/>
      <c r="G1485" s="10"/>
      <c r="H1485" s="7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  <c r="AB1485" s="6"/>
      <c r="AC1485" s="6"/>
      <c r="AD1485" s="6"/>
      <c r="AE1485" s="6"/>
      <c r="AF1485" s="25"/>
      <c r="AG1485" s="7"/>
      <c r="AH1485" s="7"/>
      <c r="AI1485" s="7"/>
      <c r="AJ1485" s="6"/>
      <c r="AK1485" s="6"/>
      <c r="AL1485" s="6"/>
      <c r="AM1485" s="6"/>
      <c r="AN1485" s="6"/>
      <c r="AO1485" s="26"/>
      <c r="AP1485" s="11"/>
      <c r="AQ1485" s="7"/>
      <c r="AS1485" s="11"/>
      <c r="AT1485" s="6"/>
      <c r="AU1485" s="6"/>
      <c r="AV1485" s="6"/>
      <c r="AW1485" s="7"/>
      <c r="AX1485" s="6"/>
      <c r="AY1485" s="6"/>
      <c r="AZ1485" s="6"/>
      <c r="BA1485" s="6"/>
      <c r="BB1485" s="24"/>
      <c r="BD1485" s="6"/>
      <c r="BE1485" s="6"/>
      <c r="BF1485" s="6"/>
      <c r="BH1485" s="6"/>
      <c r="BI1485" s="6"/>
      <c r="BJ1485" s="6"/>
      <c r="BK1485" s="6"/>
      <c r="BL1485" s="6"/>
      <c r="BM1485" s="6"/>
    </row>
    <row r="1486" spans="1:65" x14ac:dyDescent="0.25">
      <c r="I1486" s="7"/>
      <c r="AH1486" s="7"/>
      <c r="AV1486" s="6"/>
    </row>
    <row r="1487" spans="1:65" x14ac:dyDescent="0.25">
      <c r="A1487" s="6"/>
      <c r="B1487" s="6"/>
      <c r="C1487" s="6"/>
      <c r="D1487" s="6"/>
      <c r="E1487" s="6"/>
      <c r="F1487" s="21"/>
      <c r="G1487" s="10"/>
      <c r="H1487" s="7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  <c r="AB1487" s="6"/>
      <c r="AC1487" s="6"/>
      <c r="AD1487" s="6"/>
      <c r="AE1487" s="6"/>
      <c r="AF1487" s="25"/>
      <c r="AG1487" s="7"/>
      <c r="AH1487" s="7"/>
      <c r="AI1487" s="7"/>
      <c r="AJ1487" s="6"/>
      <c r="AK1487" s="6"/>
      <c r="AL1487" s="6"/>
      <c r="AM1487" s="6"/>
      <c r="AN1487" s="6"/>
      <c r="AO1487" s="26"/>
      <c r="AP1487" s="11"/>
      <c r="AQ1487" s="7"/>
      <c r="AS1487" s="11"/>
      <c r="AT1487" s="6"/>
      <c r="AU1487" s="6"/>
      <c r="AW1487" s="7"/>
      <c r="AX1487" s="6"/>
      <c r="AY1487" s="6"/>
      <c r="AZ1487" s="6"/>
      <c r="BA1487" s="6"/>
      <c r="BB1487" s="24"/>
      <c r="BD1487" s="6"/>
      <c r="BE1487" s="6"/>
      <c r="BF1487" s="6"/>
      <c r="BH1487" s="6"/>
      <c r="BI1487" s="6"/>
      <c r="BJ1487" s="6"/>
      <c r="BK1487" s="6"/>
      <c r="BL1487" s="6"/>
      <c r="BM1487" s="6"/>
    </row>
    <row r="1488" spans="1:65" x14ac:dyDescent="0.25">
      <c r="AV1488" s="6"/>
    </row>
    <row r="1489" spans="1:65" x14ac:dyDescent="0.25">
      <c r="I1489" s="7"/>
      <c r="AH1489" s="7"/>
      <c r="AV1489" s="6"/>
    </row>
    <row r="1490" spans="1:65" x14ac:dyDescent="0.25">
      <c r="A1490" s="6"/>
      <c r="B1490" s="6"/>
      <c r="C1490" s="6"/>
      <c r="D1490" s="6"/>
      <c r="E1490" s="6"/>
      <c r="F1490" s="21"/>
      <c r="G1490" s="10"/>
      <c r="H1490" s="7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  <c r="AA1490" s="6"/>
      <c r="AB1490" s="6"/>
      <c r="AC1490" s="6"/>
      <c r="AD1490" s="6"/>
      <c r="AE1490" s="6"/>
      <c r="AF1490" s="25"/>
      <c r="AG1490" s="7"/>
      <c r="AH1490" s="7"/>
      <c r="AI1490" s="7"/>
      <c r="AJ1490" s="6"/>
      <c r="AK1490" s="6"/>
      <c r="AL1490" s="6"/>
      <c r="AM1490" s="6"/>
      <c r="AN1490" s="6"/>
      <c r="AO1490" s="26"/>
      <c r="AP1490" s="11"/>
      <c r="AQ1490" s="7"/>
      <c r="AS1490" s="11"/>
      <c r="AT1490" s="6"/>
      <c r="AU1490" s="6"/>
      <c r="AW1490" s="7"/>
      <c r="AX1490" s="6"/>
      <c r="AY1490" s="6"/>
      <c r="AZ1490" s="6"/>
      <c r="BA1490" s="6"/>
      <c r="BB1490" s="24"/>
      <c r="BD1490" s="6"/>
      <c r="BE1490" s="6"/>
      <c r="BF1490" s="6"/>
      <c r="BH1490" s="6"/>
      <c r="BI1490" s="6"/>
      <c r="BJ1490" s="6"/>
      <c r="BK1490" s="6"/>
      <c r="BL1490" s="6"/>
      <c r="BM1490" s="6"/>
    </row>
    <row r="1491" spans="1:65" x14ac:dyDescent="0.25">
      <c r="A1491" s="6"/>
      <c r="B1491" s="6"/>
      <c r="C1491" s="6"/>
      <c r="D1491" s="6"/>
      <c r="E1491" s="6"/>
      <c r="F1491" s="21"/>
      <c r="G1491" s="10"/>
      <c r="H1491" s="7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  <c r="AB1491" s="6"/>
      <c r="AC1491" s="6"/>
      <c r="AD1491" s="6"/>
      <c r="AE1491" s="6"/>
      <c r="AF1491" s="25"/>
      <c r="AG1491" s="7"/>
      <c r="AH1491" s="7"/>
      <c r="AI1491" s="7"/>
      <c r="AJ1491" s="6"/>
      <c r="AK1491" s="6"/>
      <c r="AL1491" s="6"/>
      <c r="AM1491" s="6"/>
      <c r="AN1491" s="6"/>
      <c r="AO1491" s="26"/>
      <c r="AP1491" s="11"/>
      <c r="AQ1491" s="7"/>
      <c r="AS1491" s="11"/>
      <c r="AT1491" s="6"/>
      <c r="AU1491" s="6"/>
      <c r="AV1491" s="6"/>
      <c r="AW1491" s="7"/>
      <c r="AX1491" s="6"/>
      <c r="AY1491" s="6"/>
      <c r="AZ1491" s="6"/>
      <c r="BA1491" s="6"/>
      <c r="BB1491" s="24"/>
      <c r="BD1491" s="6"/>
      <c r="BE1491" s="6"/>
      <c r="BF1491" s="6"/>
      <c r="BH1491" s="6"/>
      <c r="BI1491" s="6"/>
      <c r="BJ1491" s="6"/>
      <c r="BK1491" s="6"/>
      <c r="BL1491" s="6"/>
      <c r="BM1491" s="6"/>
    </row>
    <row r="1494" spans="1:65" x14ac:dyDescent="0.25">
      <c r="A1494" s="6"/>
      <c r="B1494" s="6"/>
      <c r="C1494" s="6"/>
      <c r="D1494" s="6"/>
      <c r="E1494" s="6"/>
      <c r="F1494" s="21"/>
      <c r="G1494" s="10"/>
      <c r="H1494" s="7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  <c r="AB1494" s="6"/>
      <c r="AC1494" s="6"/>
      <c r="AD1494" s="6"/>
      <c r="AE1494" s="6"/>
      <c r="AF1494" s="25"/>
      <c r="AG1494" s="7"/>
      <c r="AH1494" s="7"/>
      <c r="AI1494" s="7"/>
      <c r="AJ1494" s="6"/>
      <c r="AK1494" s="6"/>
      <c r="AL1494" s="6"/>
      <c r="AM1494" s="6"/>
      <c r="AN1494" s="6"/>
      <c r="AO1494" s="26"/>
      <c r="AP1494" s="11"/>
      <c r="AQ1494" s="7"/>
      <c r="AS1494" s="11"/>
      <c r="AT1494" s="6"/>
      <c r="AU1494" s="6"/>
      <c r="AV1494" s="6"/>
      <c r="AW1494" s="7"/>
      <c r="AX1494" s="6"/>
      <c r="AY1494" s="6"/>
      <c r="AZ1494" s="6"/>
      <c r="BA1494" s="6"/>
      <c r="BB1494" s="24"/>
      <c r="BD1494" s="6"/>
      <c r="BE1494" s="6"/>
      <c r="BF1494" s="6"/>
      <c r="BH1494" s="6"/>
      <c r="BI1494" s="6"/>
      <c r="BJ1494" s="6"/>
      <c r="BK1494" s="6"/>
      <c r="BL1494" s="6"/>
      <c r="BM1494" s="6"/>
    </row>
    <row r="1495" spans="1:65" x14ac:dyDescent="0.25">
      <c r="I1495" s="7"/>
      <c r="AH1495" s="7"/>
      <c r="AV1495" s="6"/>
    </row>
    <row r="1496" spans="1:65" x14ac:dyDescent="0.25">
      <c r="A1496" s="6"/>
      <c r="B1496" s="6"/>
      <c r="C1496" s="6"/>
      <c r="D1496" s="6"/>
      <c r="E1496" s="6"/>
      <c r="F1496" s="21"/>
      <c r="G1496" s="10"/>
      <c r="H1496" s="7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  <c r="AB1496" s="6"/>
      <c r="AC1496" s="6"/>
      <c r="AD1496" s="6"/>
      <c r="AE1496" s="6"/>
      <c r="AF1496" s="25"/>
      <c r="AG1496" s="7"/>
      <c r="AH1496" s="7"/>
      <c r="AI1496" s="7"/>
      <c r="AJ1496" s="6"/>
      <c r="AK1496" s="6"/>
      <c r="AL1496" s="6"/>
      <c r="AM1496" s="6"/>
      <c r="AN1496" s="6"/>
      <c r="AO1496" s="26"/>
      <c r="AP1496" s="11"/>
      <c r="AQ1496" s="7"/>
      <c r="AS1496" s="11"/>
      <c r="AT1496" s="6"/>
      <c r="AU1496" s="6"/>
      <c r="AW1496" s="7"/>
      <c r="AX1496" s="6"/>
      <c r="AY1496" s="6"/>
      <c r="AZ1496" s="6"/>
      <c r="BA1496" s="6"/>
      <c r="BB1496" s="24"/>
      <c r="BD1496" s="6"/>
      <c r="BE1496" s="6"/>
      <c r="BF1496" s="6"/>
      <c r="BH1496" s="6"/>
      <c r="BI1496" s="6"/>
      <c r="BJ1496" s="6"/>
      <c r="BK1496" s="6"/>
      <c r="BL1496" s="6"/>
      <c r="BM1496" s="6"/>
    </row>
    <row r="1497" spans="1:65" x14ac:dyDescent="0.25">
      <c r="AV1497" s="6"/>
    </row>
    <row r="1498" spans="1:65" x14ac:dyDescent="0.25">
      <c r="I1498" s="7"/>
      <c r="AH1498" s="7"/>
      <c r="AV1498" s="6"/>
    </row>
    <row r="1499" spans="1:65" x14ac:dyDescent="0.25">
      <c r="A1499" s="6"/>
      <c r="B1499" s="6"/>
      <c r="C1499" s="6"/>
      <c r="D1499" s="6"/>
      <c r="E1499" s="6"/>
      <c r="F1499" s="21"/>
      <c r="G1499" s="10"/>
      <c r="H1499" s="7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  <c r="AB1499" s="6"/>
      <c r="AC1499" s="6"/>
      <c r="AD1499" s="6"/>
      <c r="AE1499" s="6"/>
      <c r="AF1499" s="25"/>
      <c r="AG1499" s="7"/>
      <c r="AH1499" s="7"/>
      <c r="AI1499" s="7"/>
      <c r="AJ1499" s="6"/>
      <c r="AK1499" s="6"/>
      <c r="AL1499" s="6"/>
      <c r="AM1499" s="6"/>
      <c r="AN1499" s="6"/>
      <c r="AO1499" s="26"/>
      <c r="AP1499" s="11"/>
      <c r="AQ1499" s="7"/>
      <c r="AS1499" s="11"/>
      <c r="AT1499" s="6"/>
      <c r="AU1499" s="6"/>
      <c r="AW1499" s="7"/>
      <c r="AX1499" s="6"/>
      <c r="AY1499" s="6"/>
      <c r="AZ1499" s="6"/>
      <c r="BA1499" s="6"/>
      <c r="BB1499" s="24"/>
      <c r="BD1499" s="6"/>
      <c r="BE1499" s="6"/>
      <c r="BF1499" s="6"/>
      <c r="BH1499" s="6"/>
      <c r="BI1499" s="6"/>
      <c r="BJ1499" s="6"/>
      <c r="BK1499" s="6"/>
      <c r="BL1499" s="6"/>
      <c r="BM1499" s="6"/>
    </row>
    <row r="1500" spans="1:65" x14ac:dyDescent="0.25">
      <c r="A1500" s="6"/>
      <c r="B1500" s="6"/>
      <c r="C1500" s="6"/>
      <c r="D1500" s="6"/>
      <c r="E1500" s="6"/>
      <c r="F1500" s="21"/>
      <c r="G1500" s="10"/>
      <c r="H1500" s="7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  <c r="AB1500" s="6"/>
      <c r="AC1500" s="6"/>
      <c r="AD1500" s="6"/>
      <c r="AE1500" s="6"/>
      <c r="AF1500" s="25"/>
      <c r="AG1500" s="7"/>
      <c r="AH1500" s="7"/>
      <c r="AI1500" s="7"/>
      <c r="AJ1500" s="6"/>
      <c r="AK1500" s="6"/>
      <c r="AL1500" s="6"/>
      <c r="AM1500" s="6"/>
      <c r="AN1500" s="6"/>
      <c r="AO1500" s="26"/>
      <c r="AP1500" s="11"/>
      <c r="AQ1500" s="7"/>
      <c r="AS1500" s="11"/>
      <c r="AT1500" s="6"/>
      <c r="AU1500" s="6"/>
      <c r="AV1500" s="6"/>
      <c r="AW1500" s="7"/>
      <c r="AX1500" s="6"/>
      <c r="AY1500" s="6"/>
      <c r="AZ1500" s="6"/>
      <c r="BA1500" s="6"/>
      <c r="BB1500" s="24"/>
      <c r="BD1500" s="6"/>
      <c r="BE1500" s="6"/>
      <c r="BF1500" s="6"/>
      <c r="BH1500" s="6"/>
      <c r="BI1500" s="6"/>
      <c r="BJ1500" s="6"/>
      <c r="BK1500" s="6"/>
      <c r="BL1500" s="6"/>
      <c r="BM1500" s="6"/>
    </row>
    <row r="1503" spans="1:65" x14ac:dyDescent="0.25">
      <c r="A1503" s="6"/>
      <c r="B1503" s="6"/>
      <c r="C1503" s="6"/>
      <c r="D1503" s="6"/>
      <c r="E1503" s="6"/>
      <c r="F1503" s="21"/>
      <c r="G1503" s="10"/>
      <c r="H1503" s="7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  <c r="AB1503" s="6"/>
      <c r="AC1503" s="6"/>
      <c r="AD1503" s="6"/>
      <c r="AE1503" s="6"/>
      <c r="AF1503" s="25"/>
      <c r="AG1503" s="7"/>
      <c r="AH1503" s="7"/>
      <c r="AI1503" s="7"/>
      <c r="AJ1503" s="6"/>
      <c r="AK1503" s="6"/>
      <c r="AL1503" s="6"/>
      <c r="AM1503" s="6"/>
      <c r="AN1503" s="6"/>
      <c r="AO1503" s="26"/>
      <c r="AP1503" s="11"/>
      <c r="AQ1503" s="7"/>
      <c r="AS1503" s="11"/>
      <c r="AT1503" s="6"/>
      <c r="AU1503" s="6"/>
      <c r="AV1503" s="6"/>
      <c r="AW1503" s="7"/>
      <c r="AX1503" s="6"/>
      <c r="AY1503" s="6"/>
      <c r="AZ1503" s="6"/>
      <c r="BA1503" s="6"/>
      <c r="BB1503" s="24"/>
      <c r="BD1503" s="6"/>
      <c r="BE1503" s="6"/>
      <c r="BF1503" s="6"/>
      <c r="BH1503" s="6"/>
      <c r="BI1503" s="6"/>
      <c r="BJ1503" s="6"/>
      <c r="BK1503" s="6"/>
      <c r="BL1503" s="6"/>
      <c r="BM1503" s="6"/>
    </row>
    <row r="1504" spans="1:65" x14ac:dyDescent="0.25">
      <c r="I1504" s="7"/>
      <c r="AH1504" s="7"/>
      <c r="AV1504" s="6"/>
    </row>
    <row r="1505" spans="1:65" x14ac:dyDescent="0.25">
      <c r="A1505" s="6"/>
      <c r="B1505" s="6"/>
      <c r="C1505" s="6"/>
      <c r="D1505" s="6"/>
      <c r="E1505" s="6"/>
      <c r="F1505" s="21"/>
      <c r="G1505" s="10"/>
      <c r="H1505" s="7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  <c r="AB1505" s="6"/>
      <c r="AC1505" s="6"/>
      <c r="AD1505" s="6"/>
      <c r="AE1505" s="6"/>
      <c r="AF1505" s="25"/>
      <c r="AG1505" s="7"/>
      <c r="AH1505" s="7"/>
      <c r="AI1505" s="7"/>
      <c r="AJ1505" s="6"/>
      <c r="AK1505" s="6"/>
      <c r="AL1505" s="6"/>
      <c r="AM1505" s="6"/>
      <c r="AN1505" s="6"/>
      <c r="AO1505" s="26"/>
      <c r="AP1505" s="11"/>
      <c r="AQ1505" s="7"/>
      <c r="AS1505" s="11"/>
      <c r="AT1505" s="6"/>
      <c r="AU1505" s="6"/>
      <c r="AW1505" s="7"/>
      <c r="AX1505" s="6"/>
      <c r="AY1505" s="6"/>
      <c r="AZ1505" s="6"/>
      <c r="BA1505" s="6"/>
      <c r="BB1505" s="24"/>
      <c r="BD1505" s="6"/>
      <c r="BE1505" s="6"/>
      <c r="BF1505" s="6"/>
      <c r="BH1505" s="6"/>
      <c r="BI1505" s="6"/>
      <c r="BJ1505" s="6"/>
      <c r="BK1505" s="6"/>
      <c r="BL1505" s="6"/>
      <c r="BM1505" s="6"/>
    </row>
    <row r="1506" spans="1:65" x14ac:dyDescent="0.25">
      <c r="AV1506" s="6"/>
    </row>
    <row r="1507" spans="1:65" x14ac:dyDescent="0.25">
      <c r="I1507" s="7"/>
      <c r="AH1507" s="7"/>
      <c r="AV1507" s="6"/>
    </row>
    <row r="1508" spans="1:65" x14ac:dyDescent="0.25">
      <c r="A1508" s="6"/>
      <c r="B1508" s="6"/>
      <c r="C1508" s="6"/>
      <c r="D1508" s="6"/>
      <c r="E1508" s="6"/>
      <c r="F1508" s="21"/>
      <c r="G1508" s="10"/>
      <c r="H1508" s="7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  <c r="AB1508" s="6"/>
      <c r="AC1508" s="6"/>
      <c r="AD1508" s="6"/>
      <c r="AE1508" s="6"/>
      <c r="AF1508" s="25"/>
      <c r="AG1508" s="7"/>
      <c r="AH1508" s="7"/>
      <c r="AI1508" s="7"/>
      <c r="AJ1508" s="6"/>
      <c r="AK1508" s="6"/>
      <c r="AL1508" s="6"/>
      <c r="AM1508" s="6"/>
      <c r="AN1508" s="6"/>
      <c r="AO1508" s="26"/>
      <c r="AP1508" s="11"/>
      <c r="AQ1508" s="7"/>
      <c r="AS1508" s="11"/>
      <c r="AT1508" s="6"/>
      <c r="AU1508" s="6"/>
      <c r="AW1508" s="7"/>
      <c r="AX1508" s="6"/>
      <c r="AY1508" s="6"/>
      <c r="AZ1508" s="6"/>
      <c r="BA1508" s="6"/>
      <c r="BB1508" s="24"/>
      <c r="BD1508" s="6"/>
      <c r="BE1508" s="6"/>
      <c r="BF1508" s="6"/>
      <c r="BH1508" s="6"/>
      <c r="BI1508" s="6"/>
      <c r="BJ1508" s="6"/>
      <c r="BK1508" s="6"/>
      <c r="BL1508" s="6"/>
      <c r="BM1508" s="6"/>
    </row>
    <row r="1509" spans="1:65" x14ac:dyDescent="0.25">
      <c r="A1509" s="6"/>
      <c r="B1509" s="6"/>
      <c r="C1509" s="6"/>
      <c r="D1509" s="6"/>
      <c r="E1509" s="6"/>
      <c r="F1509" s="6"/>
      <c r="G1509" s="6"/>
      <c r="H1509" s="7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  <c r="AB1509" s="6"/>
      <c r="AC1509" s="6"/>
      <c r="AD1509" s="6"/>
      <c r="AE1509" s="6"/>
      <c r="AF1509" s="6"/>
      <c r="AG1509" s="7"/>
      <c r="AH1509" s="7"/>
      <c r="AI1509" s="7"/>
      <c r="AJ1509" s="6"/>
      <c r="AK1509" s="6"/>
      <c r="AL1509" s="6"/>
      <c r="AM1509" s="6"/>
      <c r="AN1509" s="6"/>
      <c r="AO1509" s="6"/>
      <c r="AP1509" s="6"/>
      <c r="AQ1509" s="7"/>
      <c r="AS1509" s="6"/>
      <c r="AT1509" s="6"/>
      <c r="AU1509" s="6"/>
      <c r="AV1509" s="6"/>
      <c r="AW1509" s="7"/>
      <c r="AX1509" s="6"/>
      <c r="AY1509" s="6"/>
      <c r="AZ1509" s="6"/>
      <c r="BA1509" s="6"/>
      <c r="BB1509" s="6"/>
      <c r="BD1509" s="6"/>
      <c r="BE1509" s="6"/>
      <c r="BF1509" s="6"/>
      <c r="BH1509" s="6"/>
      <c r="BI1509" s="6"/>
      <c r="BJ1509" s="6"/>
      <c r="BK1509" s="6"/>
      <c r="BL1509" s="6"/>
      <c r="BM1509" s="6"/>
    </row>
    <row r="1512" spans="1:65" x14ac:dyDescent="0.25">
      <c r="A1512" s="6"/>
      <c r="B1512" s="6"/>
      <c r="C1512" s="6"/>
      <c r="D1512" s="6"/>
      <c r="E1512" s="6"/>
      <c r="F1512" s="21"/>
      <c r="G1512" s="10"/>
      <c r="H1512" s="7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  <c r="AB1512" s="6"/>
      <c r="AC1512" s="6"/>
      <c r="AD1512" s="6"/>
      <c r="AE1512" s="6"/>
      <c r="AF1512" s="25"/>
      <c r="AG1512" s="7"/>
      <c r="AH1512" s="7"/>
      <c r="AI1512" s="7"/>
      <c r="AJ1512" s="6"/>
      <c r="AK1512" s="6"/>
      <c r="AL1512" s="6"/>
      <c r="AM1512" s="6"/>
      <c r="AN1512" s="6"/>
      <c r="AO1512" s="26"/>
      <c r="AP1512" s="11"/>
      <c r="AQ1512" s="7"/>
      <c r="AS1512" s="11"/>
      <c r="AT1512" s="6"/>
      <c r="AU1512" s="6"/>
      <c r="AV1512" s="6"/>
      <c r="AW1512" s="7"/>
      <c r="AX1512" s="6"/>
      <c r="AY1512" s="6"/>
      <c r="AZ1512" s="6"/>
      <c r="BA1512" s="6"/>
      <c r="BB1512" s="24"/>
      <c r="BD1512" s="6"/>
      <c r="BE1512" s="6"/>
      <c r="BF1512" s="6"/>
      <c r="BH1512" s="6"/>
      <c r="BI1512" s="6"/>
      <c r="BJ1512" s="6"/>
      <c r="BK1512" s="6"/>
      <c r="BL1512" s="6"/>
      <c r="BM1512" s="6"/>
    </row>
    <row r="1513" spans="1:65" x14ac:dyDescent="0.25">
      <c r="I1513" s="7"/>
      <c r="AH1513" s="7"/>
      <c r="AV1513" s="6"/>
    </row>
    <row r="1514" spans="1:65" x14ac:dyDescent="0.25">
      <c r="A1514" s="6"/>
      <c r="B1514" s="6"/>
      <c r="C1514" s="6"/>
      <c r="D1514" s="6"/>
      <c r="E1514" s="6"/>
      <c r="F1514" s="21"/>
      <c r="G1514" s="10"/>
      <c r="H1514" s="7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  <c r="AB1514" s="6"/>
      <c r="AC1514" s="6"/>
      <c r="AD1514" s="6"/>
      <c r="AE1514" s="6"/>
      <c r="AF1514" s="25"/>
      <c r="AG1514" s="7"/>
      <c r="AH1514" s="7"/>
      <c r="AI1514" s="7"/>
      <c r="AJ1514" s="6"/>
      <c r="AK1514" s="6"/>
      <c r="AL1514" s="6"/>
      <c r="AM1514" s="6"/>
      <c r="AN1514" s="6"/>
      <c r="AO1514" s="26"/>
      <c r="AP1514" s="11"/>
      <c r="AQ1514" s="7"/>
      <c r="AS1514" s="11"/>
      <c r="AT1514" s="6"/>
      <c r="AU1514" s="6"/>
      <c r="AW1514" s="7"/>
      <c r="AX1514" s="6"/>
      <c r="AY1514" s="6"/>
      <c r="AZ1514" s="6"/>
      <c r="BA1514" s="6"/>
      <c r="BB1514" s="24"/>
      <c r="BD1514" s="6"/>
      <c r="BE1514" s="6"/>
      <c r="BF1514" s="6"/>
      <c r="BH1514" s="6"/>
      <c r="BI1514" s="6"/>
      <c r="BJ1514" s="6"/>
      <c r="BK1514" s="6"/>
      <c r="BL1514" s="6"/>
      <c r="BM1514" s="6"/>
    </row>
    <row r="1515" spans="1:65" x14ac:dyDescent="0.25">
      <c r="AV1515" s="6"/>
    </row>
    <row r="1516" spans="1:65" x14ac:dyDescent="0.25">
      <c r="I1516" s="7"/>
      <c r="AH1516" s="7"/>
      <c r="AV1516" s="6"/>
    </row>
    <row r="1517" spans="1:65" x14ac:dyDescent="0.25">
      <c r="A1517" s="6"/>
      <c r="B1517" s="6"/>
      <c r="C1517" s="6"/>
      <c r="D1517" s="6"/>
      <c r="E1517" s="6"/>
      <c r="F1517" s="21"/>
      <c r="G1517" s="10"/>
      <c r="H1517" s="7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  <c r="AB1517" s="6"/>
      <c r="AC1517" s="6"/>
      <c r="AD1517" s="6"/>
      <c r="AE1517" s="6"/>
      <c r="AF1517" s="25"/>
      <c r="AG1517" s="7"/>
      <c r="AH1517" s="7"/>
      <c r="AI1517" s="7"/>
      <c r="AJ1517" s="6"/>
      <c r="AK1517" s="6"/>
      <c r="AL1517" s="6"/>
      <c r="AM1517" s="6"/>
      <c r="AN1517" s="6"/>
      <c r="AO1517" s="26"/>
      <c r="AP1517" s="11"/>
      <c r="AQ1517" s="7"/>
      <c r="AS1517" s="11"/>
      <c r="AT1517" s="6"/>
      <c r="AU1517" s="6"/>
      <c r="AW1517" s="7"/>
      <c r="AX1517" s="6"/>
      <c r="AY1517" s="6"/>
      <c r="AZ1517" s="6"/>
      <c r="BA1517" s="6"/>
      <c r="BB1517" s="24"/>
      <c r="BD1517" s="6"/>
      <c r="BE1517" s="6"/>
      <c r="BF1517" s="6"/>
      <c r="BH1517" s="6"/>
      <c r="BI1517" s="6"/>
      <c r="BJ1517" s="6"/>
      <c r="BK1517" s="6"/>
      <c r="BL1517" s="6"/>
      <c r="BM1517" s="6"/>
    </row>
    <row r="1518" spans="1:65" x14ac:dyDescent="0.25">
      <c r="A1518" s="6"/>
      <c r="B1518" s="6"/>
      <c r="C1518" s="6"/>
      <c r="D1518" s="6"/>
      <c r="E1518" s="6"/>
      <c r="F1518" s="21"/>
      <c r="G1518" s="10"/>
      <c r="H1518" s="7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  <c r="AB1518" s="6"/>
      <c r="AC1518" s="6"/>
      <c r="AD1518" s="6"/>
      <c r="AE1518" s="6"/>
      <c r="AF1518" s="25"/>
      <c r="AG1518" s="7"/>
      <c r="AH1518" s="7"/>
      <c r="AI1518" s="7"/>
      <c r="AJ1518" s="6"/>
      <c r="AK1518" s="6"/>
      <c r="AL1518" s="6"/>
      <c r="AM1518" s="6"/>
      <c r="AN1518" s="6"/>
      <c r="AO1518" s="26"/>
      <c r="AP1518" s="11"/>
      <c r="AQ1518" s="7"/>
      <c r="AS1518" s="11"/>
      <c r="AT1518" s="6"/>
      <c r="AU1518" s="6"/>
      <c r="AV1518" s="6"/>
      <c r="AW1518" s="7"/>
      <c r="AX1518" s="6"/>
      <c r="AY1518" s="6"/>
      <c r="AZ1518" s="6"/>
      <c r="BA1518" s="6"/>
      <c r="BB1518" s="24"/>
      <c r="BD1518" s="6"/>
      <c r="BE1518" s="6"/>
      <c r="BF1518" s="6"/>
      <c r="BH1518" s="6"/>
      <c r="BI1518" s="6"/>
      <c r="BJ1518" s="6"/>
      <c r="BK1518" s="6"/>
      <c r="BL1518" s="6"/>
      <c r="BM1518" s="6"/>
    </row>
    <row r="1521" spans="1:65" x14ac:dyDescent="0.25">
      <c r="A1521" s="6"/>
      <c r="B1521" s="6"/>
      <c r="C1521" s="6"/>
      <c r="D1521" s="6"/>
      <c r="E1521" s="6"/>
      <c r="F1521" s="21"/>
      <c r="G1521" s="10"/>
      <c r="H1521" s="7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  <c r="AB1521" s="6"/>
      <c r="AC1521" s="6"/>
      <c r="AD1521" s="6"/>
      <c r="AE1521" s="6"/>
      <c r="AF1521" s="25"/>
      <c r="AG1521" s="7"/>
      <c r="AH1521" s="7"/>
      <c r="AI1521" s="7"/>
      <c r="AJ1521" s="6"/>
      <c r="AK1521" s="6"/>
      <c r="AL1521" s="6"/>
      <c r="AM1521" s="6"/>
      <c r="AN1521" s="6"/>
      <c r="AO1521" s="26"/>
      <c r="AP1521" s="11"/>
      <c r="AQ1521" s="7"/>
      <c r="AS1521" s="11"/>
      <c r="AT1521" s="6"/>
      <c r="AU1521" s="6"/>
      <c r="AV1521" s="6"/>
      <c r="AW1521" s="7"/>
      <c r="AX1521" s="6"/>
      <c r="AY1521" s="6"/>
      <c r="AZ1521" s="6"/>
      <c r="BA1521" s="6"/>
      <c r="BB1521" s="24"/>
      <c r="BD1521" s="6"/>
      <c r="BE1521" s="6"/>
      <c r="BF1521" s="6"/>
      <c r="BH1521" s="6"/>
      <c r="BI1521" s="6"/>
      <c r="BJ1521" s="6"/>
      <c r="BK1521" s="6"/>
      <c r="BL1521" s="6"/>
      <c r="BM1521" s="6"/>
    </row>
    <row r="1522" spans="1:65" x14ac:dyDescent="0.25">
      <c r="I1522" s="7"/>
      <c r="AH1522" s="7"/>
      <c r="AV1522" s="6"/>
    </row>
    <row r="1523" spans="1:65" x14ac:dyDescent="0.25">
      <c r="A1523" s="6"/>
      <c r="B1523" s="6"/>
      <c r="C1523" s="6"/>
      <c r="D1523" s="6"/>
      <c r="E1523" s="6"/>
      <c r="F1523" s="21"/>
      <c r="G1523" s="10"/>
      <c r="H1523" s="7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  <c r="AB1523" s="6"/>
      <c r="AC1523" s="6"/>
      <c r="AD1523" s="6"/>
      <c r="AE1523" s="6"/>
      <c r="AF1523" s="25"/>
      <c r="AG1523" s="7"/>
      <c r="AH1523" s="7"/>
      <c r="AI1523" s="7"/>
      <c r="AJ1523" s="6"/>
      <c r="AK1523" s="6"/>
      <c r="AL1523" s="6"/>
      <c r="AM1523" s="6"/>
      <c r="AN1523" s="6"/>
      <c r="AO1523" s="26"/>
      <c r="AP1523" s="11"/>
      <c r="AQ1523" s="7"/>
      <c r="AS1523" s="11"/>
      <c r="AT1523" s="6"/>
      <c r="AU1523" s="6"/>
      <c r="AW1523" s="7"/>
      <c r="AX1523" s="6"/>
      <c r="AY1523" s="6"/>
      <c r="AZ1523" s="6"/>
      <c r="BA1523" s="6"/>
      <c r="BB1523" s="24"/>
      <c r="BD1523" s="6"/>
      <c r="BE1523" s="6"/>
      <c r="BF1523" s="6"/>
      <c r="BH1523" s="6"/>
      <c r="BI1523" s="6"/>
      <c r="BJ1523" s="6"/>
      <c r="BK1523" s="6"/>
      <c r="BL1523" s="6"/>
      <c r="BM1523" s="6"/>
    </row>
    <row r="1524" spans="1:65" x14ac:dyDescent="0.25">
      <c r="AV1524" s="6"/>
    </row>
    <row r="1525" spans="1:65" x14ac:dyDescent="0.25">
      <c r="I1525" s="7"/>
      <c r="AH1525" s="7"/>
      <c r="AV1525" s="6"/>
    </row>
    <row r="1526" spans="1:65" x14ac:dyDescent="0.25">
      <c r="A1526" s="6"/>
      <c r="B1526" s="6"/>
      <c r="C1526" s="6"/>
      <c r="D1526" s="6"/>
      <c r="E1526" s="6"/>
      <c r="F1526" s="21"/>
      <c r="G1526" s="10"/>
      <c r="H1526" s="7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  <c r="AB1526" s="6"/>
      <c r="AC1526" s="6"/>
      <c r="AD1526" s="6"/>
      <c r="AE1526" s="6"/>
      <c r="AF1526" s="25"/>
      <c r="AG1526" s="7"/>
      <c r="AH1526" s="7"/>
      <c r="AI1526" s="7"/>
      <c r="AJ1526" s="6"/>
      <c r="AK1526" s="6"/>
      <c r="AL1526" s="6"/>
      <c r="AM1526" s="6"/>
      <c r="AN1526" s="6"/>
      <c r="AO1526" s="26"/>
      <c r="AP1526" s="11"/>
      <c r="AQ1526" s="7"/>
      <c r="AS1526" s="11"/>
      <c r="AT1526" s="6"/>
      <c r="AU1526" s="6"/>
      <c r="AW1526" s="7"/>
      <c r="AX1526" s="6"/>
      <c r="AY1526" s="6"/>
      <c r="AZ1526" s="6"/>
      <c r="BA1526" s="6"/>
      <c r="BB1526" s="24"/>
      <c r="BD1526" s="6"/>
      <c r="BE1526" s="6"/>
      <c r="BF1526" s="6"/>
      <c r="BH1526" s="6"/>
      <c r="BI1526" s="6"/>
      <c r="BJ1526" s="6"/>
      <c r="BK1526" s="6"/>
      <c r="BL1526" s="6"/>
      <c r="BM1526" s="6"/>
    </row>
    <row r="1527" spans="1:65" x14ac:dyDescent="0.25">
      <c r="A1527" s="6"/>
      <c r="B1527" s="6"/>
      <c r="C1527" s="6"/>
      <c r="D1527" s="6"/>
      <c r="E1527" s="6"/>
      <c r="F1527" s="21"/>
      <c r="G1527" s="10"/>
      <c r="H1527" s="7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  <c r="AB1527" s="6"/>
      <c r="AC1527" s="6"/>
      <c r="AD1527" s="6"/>
      <c r="AE1527" s="6"/>
      <c r="AF1527" s="25"/>
      <c r="AG1527" s="7"/>
      <c r="AH1527" s="7"/>
      <c r="AI1527" s="7"/>
      <c r="AJ1527" s="6"/>
      <c r="AK1527" s="6"/>
      <c r="AL1527" s="6"/>
      <c r="AM1527" s="6"/>
      <c r="AN1527" s="6"/>
      <c r="AO1527" s="26"/>
      <c r="AP1527" s="11"/>
      <c r="AQ1527" s="7"/>
      <c r="AS1527" s="11"/>
      <c r="AT1527" s="6"/>
      <c r="AU1527" s="6"/>
      <c r="AV1527" s="6"/>
      <c r="AW1527" s="7"/>
      <c r="AX1527" s="6"/>
      <c r="AY1527" s="6"/>
      <c r="AZ1527" s="6"/>
      <c r="BA1527" s="6"/>
      <c r="BB1527" s="24"/>
      <c r="BD1527" s="6"/>
      <c r="BE1527" s="6"/>
      <c r="BF1527" s="6"/>
      <c r="BH1527" s="6"/>
      <c r="BI1527" s="6"/>
      <c r="BJ1527" s="6"/>
      <c r="BK1527" s="6"/>
      <c r="BL1527" s="6"/>
      <c r="BM1527" s="6"/>
    </row>
    <row r="1530" spans="1:65" x14ac:dyDescent="0.25">
      <c r="A1530" s="6"/>
      <c r="B1530" s="6"/>
      <c r="C1530" s="6"/>
      <c r="D1530" s="6"/>
      <c r="E1530" s="6"/>
      <c r="F1530" s="21"/>
      <c r="G1530" s="10"/>
      <c r="H1530" s="7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  <c r="AB1530" s="6"/>
      <c r="AC1530" s="6"/>
      <c r="AD1530" s="6"/>
      <c r="AE1530" s="6"/>
      <c r="AF1530" s="25"/>
      <c r="AG1530" s="7"/>
      <c r="AH1530" s="7"/>
      <c r="AI1530" s="7"/>
      <c r="AJ1530" s="6"/>
      <c r="AK1530" s="6"/>
      <c r="AL1530" s="6"/>
      <c r="AM1530" s="6"/>
      <c r="AN1530" s="6"/>
      <c r="AO1530" s="26"/>
      <c r="AP1530" s="11"/>
      <c r="AQ1530" s="7"/>
      <c r="AS1530" s="11"/>
      <c r="AT1530" s="6"/>
      <c r="AU1530" s="6"/>
      <c r="AV1530" s="6"/>
      <c r="AW1530" s="7"/>
      <c r="AX1530" s="6"/>
      <c r="AY1530" s="6"/>
      <c r="AZ1530" s="6"/>
      <c r="BA1530" s="6"/>
      <c r="BB1530" s="24"/>
      <c r="BD1530" s="6"/>
      <c r="BE1530" s="6"/>
      <c r="BF1530" s="6"/>
      <c r="BH1530" s="6"/>
      <c r="BI1530" s="6"/>
      <c r="BJ1530" s="6"/>
      <c r="BK1530" s="6"/>
      <c r="BL1530" s="6"/>
      <c r="BM1530" s="6"/>
    </row>
    <row r="1531" spans="1:65" x14ac:dyDescent="0.25">
      <c r="I1531" s="7"/>
      <c r="AH1531" s="7"/>
      <c r="AV1531" s="6"/>
    </row>
    <row r="1532" spans="1:65" x14ac:dyDescent="0.25">
      <c r="A1532" s="6"/>
      <c r="B1532" s="6"/>
      <c r="C1532" s="6"/>
      <c r="D1532" s="6"/>
      <c r="E1532" s="6"/>
      <c r="F1532" s="21"/>
      <c r="G1532" s="10"/>
      <c r="H1532" s="7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  <c r="AA1532" s="6"/>
      <c r="AB1532" s="6"/>
      <c r="AC1532" s="6"/>
      <c r="AD1532" s="6"/>
      <c r="AE1532" s="6"/>
      <c r="AF1532" s="25"/>
      <c r="AG1532" s="7"/>
      <c r="AH1532" s="7"/>
      <c r="AI1532" s="7"/>
      <c r="AJ1532" s="6"/>
      <c r="AK1532" s="6"/>
      <c r="AL1532" s="6"/>
      <c r="AM1532" s="6"/>
      <c r="AN1532" s="6"/>
      <c r="AO1532" s="26"/>
      <c r="AP1532" s="11"/>
      <c r="AQ1532" s="7"/>
      <c r="AS1532" s="11"/>
      <c r="AT1532" s="6"/>
      <c r="AU1532" s="6"/>
      <c r="AW1532" s="7"/>
      <c r="AX1532" s="6"/>
      <c r="AY1532" s="6"/>
      <c r="AZ1532" s="6"/>
      <c r="BA1532" s="6"/>
      <c r="BB1532" s="24"/>
      <c r="BD1532" s="6"/>
      <c r="BE1532" s="6"/>
      <c r="BF1532" s="6"/>
      <c r="BH1532" s="6"/>
      <c r="BI1532" s="6"/>
      <c r="BJ1532" s="6"/>
      <c r="BK1532" s="6"/>
      <c r="BL1532" s="6"/>
      <c r="BM1532" s="6"/>
    </row>
    <row r="1533" spans="1:65" x14ac:dyDescent="0.25">
      <c r="AV1533" s="6"/>
    </row>
    <row r="1534" spans="1:65" x14ac:dyDescent="0.25">
      <c r="I1534" s="7"/>
      <c r="AH1534" s="7"/>
      <c r="AV1534" s="6"/>
    </row>
    <row r="1535" spans="1:65" x14ac:dyDescent="0.25">
      <c r="A1535" s="6"/>
      <c r="B1535" s="6"/>
      <c r="C1535" s="6"/>
      <c r="D1535" s="6"/>
      <c r="E1535" s="6"/>
      <c r="F1535" s="21"/>
      <c r="G1535" s="10"/>
      <c r="H1535" s="7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  <c r="AA1535" s="6"/>
      <c r="AB1535" s="6"/>
      <c r="AC1535" s="6"/>
      <c r="AD1535" s="6"/>
      <c r="AE1535" s="6"/>
      <c r="AF1535" s="25"/>
      <c r="AG1535" s="7"/>
      <c r="AH1535" s="7"/>
      <c r="AI1535" s="7"/>
      <c r="AJ1535" s="6"/>
      <c r="AK1535" s="6"/>
      <c r="AL1535" s="6"/>
      <c r="AM1535" s="6"/>
      <c r="AN1535" s="6"/>
      <c r="AO1535" s="26"/>
      <c r="AP1535" s="11"/>
      <c r="AQ1535" s="7"/>
      <c r="AS1535" s="11"/>
      <c r="AT1535" s="6"/>
      <c r="AU1535" s="6"/>
      <c r="AW1535" s="7"/>
      <c r="AX1535" s="6"/>
      <c r="AY1535" s="6"/>
      <c r="AZ1535" s="6"/>
      <c r="BA1535" s="6"/>
      <c r="BB1535" s="24"/>
      <c r="BD1535" s="6"/>
      <c r="BE1535" s="6"/>
      <c r="BF1535" s="6"/>
      <c r="BH1535" s="6"/>
      <c r="BI1535" s="6"/>
      <c r="BJ1535" s="6"/>
      <c r="BK1535" s="6"/>
      <c r="BL1535" s="6"/>
      <c r="BM1535" s="6"/>
    </row>
    <row r="1536" spans="1:65" x14ac:dyDescent="0.25">
      <c r="A1536" s="6"/>
      <c r="B1536" s="6"/>
      <c r="C1536" s="6"/>
      <c r="D1536" s="6"/>
      <c r="E1536" s="6"/>
      <c r="F1536" s="21"/>
      <c r="G1536" s="10"/>
      <c r="H1536" s="7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  <c r="AA1536" s="6"/>
      <c r="AB1536" s="6"/>
      <c r="AC1536" s="6"/>
      <c r="AD1536" s="6"/>
      <c r="AE1536" s="6"/>
      <c r="AF1536" s="25"/>
      <c r="AG1536" s="7"/>
      <c r="AH1536" s="7"/>
      <c r="AI1536" s="7"/>
      <c r="AJ1536" s="6"/>
      <c r="AK1536" s="6"/>
      <c r="AL1536" s="6"/>
      <c r="AM1536" s="6"/>
      <c r="AN1536" s="6"/>
      <c r="AO1536" s="26"/>
      <c r="AP1536" s="11"/>
      <c r="AQ1536" s="7"/>
      <c r="AS1536" s="11"/>
      <c r="AT1536" s="6"/>
      <c r="AU1536" s="6"/>
      <c r="AV1536" s="6"/>
      <c r="AW1536" s="7"/>
      <c r="AX1536" s="6"/>
      <c r="AY1536" s="6"/>
      <c r="AZ1536" s="6"/>
      <c r="BA1536" s="6"/>
      <c r="BB1536" s="24"/>
      <c r="BD1536" s="6"/>
      <c r="BE1536" s="6"/>
      <c r="BF1536" s="6"/>
      <c r="BH1536" s="6"/>
      <c r="BI1536" s="6"/>
      <c r="BJ1536" s="6"/>
      <c r="BK1536" s="6"/>
      <c r="BL1536" s="6"/>
      <c r="BM1536" s="6"/>
    </row>
    <row r="1538" spans="1:65" x14ac:dyDescent="0.25">
      <c r="AW1538" s="7"/>
    </row>
    <row r="1539" spans="1:65" x14ac:dyDescent="0.25">
      <c r="A1539" s="6"/>
      <c r="B1539" s="6"/>
      <c r="C1539" s="6"/>
      <c r="D1539" s="6"/>
      <c r="E1539" s="6"/>
      <c r="F1539" s="21"/>
      <c r="G1539" s="10"/>
      <c r="H1539" s="7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  <c r="AB1539" s="6"/>
      <c r="AC1539" s="6"/>
      <c r="AD1539" s="6"/>
      <c r="AE1539" s="6"/>
      <c r="AF1539" s="25"/>
      <c r="AG1539" s="7"/>
      <c r="AH1539" s="7"/>
      <c r="AI1539" s="7"/>
      <c r="AJ1539" s="6"/>
      <c r="AK1539" s="6"/>
      <c r="AL1539" s="6"/>
      <c r="AM1539" s="6"/>
      <c r="AN1539" s="6"/>
      <c r="AO1539" s="26"/>
      <c r="AP1539" s="11"/>
      <c r="AQ1539" s="7"/>
      <c r="AS1539" s="11"/>
      <c r="AT1539" s="6"/>
      <c r="AU1539" s="6"/>
      <c r="AV1539" s="6"/>
      <c r="AW1539" s="7"/>
      <c r="AX1539" s="6"/>
      <c r="AY1539" s="6"/>
      <c r="AZ1539" s="6"/>
      <c r="BA1539" s="6"/>
      <c r="BB1539" s="24"/>
      <c r="BD1539" s="6"/>
      <c r="BE1539" s="6"/>
      <c r="BF1539" s="6"/>
      <c r="BH1539" s="6"/>
      <c r="BI1539" s="6"/>
      <c r="BJ1539" s="6"/>
      <c r="BK1539" s="6"/>
      <c r="BL1539" s="6"/>
      <c r="BM1539" s="6"/>
    </row>
    <row r="1540" spans="1:65" x14ac:dyDescent="0.25">
      <c r="I1540" s="7"/>
      <c r="AH1540" s="7"/>
      <c r="AV1540" s="6"/>
    </row>
    <row r="1541" spans="1:65" x14ac:dyDescent="0.25">
      <c r="A1541" s="6"/>
      <c r="B1541" s="6"/>
      <c r="C1541" s="6"/>
      <c r="D1541" s="6"/>
      <c r="E1541" s="6"/>
      <c r="F1541" s="21"/>
      <c r="G1541" s="10"/>
      <c r="H1541" s="7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  <c r="AB1541" s="6"/>
      <c r="AC1541" s="6"/>
      <c r="AD1541" s="6"/>
      <c r="AE1541" s="6"/>
      <c r="AF1541" s="25"/>
      <c r="AG1541" s="7"/>
      <c r="AH1541" s="7"/>
      <c r="AI1541" s="7"/>
      <c r="AJ1541" s="6"/>
      <c r="AK1541" s="6"/>
      <c r="AL1541" s="6"/>
      <c r="AM1541" s="6"/>
      <c r="AN1541" s="6"/>
      <c r="AO1541" s="26"/>
      <c r="AP1541" s="11"/>
      <c r="AQ1541" s="7"/>
      <c r="AS1541" s="11"/>
      <c r="AT1541" s="6"/>
      <c r="AU1541" s="6"/>
      <c r="AW1541" s="7"/>
      <c r="AX1541" s="6"/>
      <c r="AY1541" s="6"/>
      <c r="AZ1541" s="6"/>
      <c r="BA1541" s="6"/>
      <c r="BB1541" s="24"/>
      <c r="BD1541" s="6"/>
      <c r="BE1541" s="6"/>
      <c r="BF1541" s="6"/>
      <c r="BH1541" s="6"/>
      <c r="BI1541" s="6"/>
      <c r="BJ1541" s="6"/>
      <c r="BK1541" s="6"/>
      <c r="BL1541" s="6"/>
      <c r="BM1541" s="6"/>
    </row>
    <row r="1542" spans="1:65" x14ac:dyDescent="0.25">
      <c r="AV1542" s="6"/>
    </row>
    <row r="1543" spans="1:65" x14ac:dyDescent="0.25">
      <c r="I1543" s="7"/>
      <c r="AH1543" s="7"/>
      <c r="AV1543" s="6"/>
    </row>
    <row r="1544" spans="1:65" x14ac:dyDescent="0.25">
      <c r="A1544" s="6"/>
      <c r="B1544" s="6"/>
      <c r="C1544" s="6"/>
      <c r="D1544" s="6"/>
      <c r="E1544" s="6"/>
      <c r="F1544" s="21"/>
      <c r="G1544" s="10"/>
      <c r="H1544" s="7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  <c r="AB1544" s="6"/>
      <c r="AC1544" s="6"/>
      <c r="AD1544" s="6"/>
      <c r="AE1544" s="6"/>
      <c r="AF1544" s="25"/>
      <c r="AG1544" s="7"/>
      <c r="AH1544" s="7"/>
      <c r="AI1544" s="7"/>
      <c r="AJ1544" s="6"/>
      <c r="AK1544" s="6"/>
      <c r="AL1544" s="6"/>
      <c r="AM1544" s="6"/>
      <c r="AN1544" s="6"/>
      <c r="AO1544" s="26"/>
      <c r="AP1544" s="11"/>
      <c r="AQ1544" s="7"/>
      <c r="AS1544" s="11"/>
      <c r="AT1544" s="6"/>
      <c r="AU1544" s="6"/>
      <c r="AW1544" s="7"/>
      <c r="AX1544" s="6"/>
      <c r="AY1544" s="6"/>
      <c r="AZ1544" s="6"/>
      <c r="BA1544" s="6"/>
      <c r="BB1544" s="24"/>
      <c r="BD1544" s="6"/>
      <c r="BE1544" s="6"/>
      <c r="BF1544" s="6"/>
      <c r="BH1544" s="6"/>
      <c r="BI1544" s="6"/>
      <c r="BJ1544" s="6"/>
      <c r="BK1544" s="6"/>
      <c r="BL1544" s="6"/>
      <c r="BM1544" s="6"/>
    </row>
    <row r="1545" spans="1:65" x14ac:dyDescent="0.25">
      <c r="A1545" s="6"/>
      <c r="B1545" s="6"/>
      <c r="C1545" s="6"/>
      <c r="D1545" s="6"/>
      <c r="E1545" s="6"/>
      <c r="F1545" s="21"/>
      <c r="G1545" s="10"/>
      <c r="H1545" s="7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  <c r="AB1545" s="6"/>
      <c r="AC1545" s="6"/>
      <c r="AD1545" s="6"/>
      <c r="AE1545" s="6"/>
      <c r="AF1545" s="25"/>
      <c r="AG1545" s="7"/>
      <c r="AH1545" s="7"/>
      <c r="AI1545" s="7"/>
      <c r="AJ1545" s="6"/>
      <c r="AK1545" s="6"/>
      <c r="AL1545" s="6"/>
      <c r="AM1545" s="6"/>
      <c r="AN1545" s="6"/>
      <c r="AO1545" s="26"/>
      <c r="AP1545" s="11"/>
      <c r="AQ1545" s="7"/>
      <c r="AS1545" s="11"/>
      <c r="AT1545" s="6"/>
      <c r="AU1545" s="6"/>
      <c r="AV1545" s="6"/>
      <c r="AW1545" s="7"/>
      <c r="AX1545" s="6"/>
      <c r="AY1545" s="6"/>
      <c r="AZ1545" s="6"/>
      <c r="BA1545" s="6"/>
      <c r="BB1545" s="24"/>
      <c r="BD1545" s="6"/>
      <c r="BE1545" s="6"/>
      <c r="BF1545" s="6"/>
      <c r="BH1545" s="6"/>
      <c r="BI1545" s="6"/>
      <c r="BJ1545" s="6"/>
      <c r="BK1545" s="6"/>
      <c r="BL1545" s="6"/>
      <c r="BM1545" s="6"/>
    </row>
    <row r="1548" spans="1:65" x14ac:dyDescent="0.25">
      <c r="A1548" s="6"/>
      <c r="B1548" s="6"/>
      <c r="C1548" s="6"/>
      <c r="D1548" s="6"/>
      <c r="E1548" s="6"/>
      <c r="F1548" s="21"/>
      <c r="G1548" s="10"/>
      <c r="H1548" s="7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  <c r="AB1548" s="6"/>
      <c r="AC1548" s="6"/>
      <c r="AD1548" s="6"/>
      <c r="AE1548" s="6"/>
      <c r="AF1548" s="25"/>
      <c r="AG1548" s="7"/>
      <c r="AH1548" s="7"/>
      <c r="AI1548" s="7"/>
      <c r="AJ1548" s="6"/>
      <c r="AK1548" s="6"/>
      <c r="AL1548" s="6"/>
      <c r="AM1548" s="6"/>
      <c r="AN1548" s="6"/>
      <c r="AO1548" s="26"/>
      <c r="AP1548" s="11"/>
      <c r="AQ1548" s="7"/>
      <c r="AS1548" s="11"/>
      <c r="AT1548" s="6"/>
      <c r="AU1548" s="6"/>
      <c r="AV1548" s="6"/>
      <c r="AW1548" s="7"/>
      <c r="AX1548" s="6"/>
      <c r="AY1548" s="6"/>
      <c r="AZ1548" s="6"/>
      <c r="BA1548" s="6"/>
      <c r="BB1548" s="24"/>
      <c r="BD1548" s="6"/>
      <c r="BE1548" s="6"/>
      <c r="BF1548" s="6"/>
      <c r="BH1548" s="6"/>
      <c r="BI1548" s="6"/>
      <c r="BJ1548" s="6"/>
      <c r="BK1548" s="6"/>
      <c r="BL1548" s="6"/>
      <c r="BM1548" s="6"/>
    </row>
    <row r="1549" spans="1:65" x14ac:dyDescent="0.25">
      <c r="I1549" s="7"/>
      <c r="AH1549" s="7"/>
      <c r="AV1549" s="6"/>
    </row>
    <row r="1550" spans="1:65" x14ac:dyDescent="0.25">
      <c r="A1550" s="6"/>
      <c r="B1550" s="6"/>
      <c r="C1550" s="6"/>
      <c r="D1550" s="6"/>
      <c r="E1550" s="6"/>
      <c r="F1550" s="21"/>
      <c r="G1550" s="10"/>
      <c r="H1550" s="7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  <c r="AB1550" s="6"/>
      <c r="AC1550" s="6"/>
      <c r="AD1550" s="6"/>
      <c r="AE1550" s="6"/>
      <c r="AF1550" s="25"/>
      <c r="AG1550" s="7"/>
      <c r="AH1550" s="7"/>
      <c r="AI1550" s="7"/>
      <c r="AJ1550" s="6"/>
      <c r="AK1550" s="6"/>
      <c r="AL1550" s="6"/>
      <c r="AM1550" s="6"/>
      <c r="AN1550" s="6"/>
      <c r="AO1550" s="26"/>
      <c r="AP1550" s="11"/>
      <c r="AQ1550" s="7"/>
      <c r="AS1550" s="11"/>
      <c r="AT1550" s="6"/>
      <c r="AU1550" s="6"/>
      <c r="AW1550" s="7"/>
      <c r="AX1550" s="6"/>
      <c r="AY1550" s="6"/>
      <c r="AZ1550" s="6"/>
      <c r="BA1550" s="6"/>
      <c r="BB1550" s="24"/>
      <c r="BD1550" s="6"/>
      <c r="BE1550" s="6"/>
      <c r="BF1550" s="6"/>
      <c r="BH1550" s="6"/>
      <c r="BI1550" s="6"/>
      <c r="BJ1550" s="6"/>
      <c r="BK1550" s="6"/>
      <c r="BL1550" s="6"/>
      <c r="BM1550" s="6"/>
    </row>
    <row r="1551" spans="1:65" x14ac:dyDescent="0.25">
      <c r="AV1551" s="6"/>
    </row>
    <row r="1552" spans="1:65" x14ac:dyDescent="0.25">
      <c r="I1552" s="7"/>
      <c r="AH1552" s="7"/>
      <c r="AV1552" s="6"/>
    </row>
    <row r="1553" spans="1:65" x14ac:dyDescent="0.25">
      <c r="A1553" s="6"/>
      <c r="B1553" s="6"/>
      <c r="C1553" s="6"/>
      <c r="D1553" s="6"/>
      <c r="E1553" s="6"/>
      <c r="F1553" s="21"/>
      <c r="G1553" s="10"/>
      <c r="H1553" s="7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  <c r="AB1553" s="6"/>
      <c r="AC1553" s="6"/>
      <c r="AD1553" s="6"/>
      <c r="AE1553" s="6"/>
      <c r="AF1553" s="25"/>
      <c r="AG1553" s="7"/>
      <c r="AH1553" s="7"/>
      <c r="AI1553" s="7"/>
      <c r="AJ1553" s="6"/>
      <c r="AK1553" s="6"/>
      <c r="AL1553" s="6"/>
      <c r="AM1553" s="6"/>
      <c r="AN1553" s="6"/>
      <c r="AO1553" s="26"/>
      <c r="AP1553" s="11"/>
      <c r="AQ1553" s="7"/>
      <c r="AS1553" s="11"/>
      <c r="AT1553" s="6"/>
      <c r="AU1553" s="6"/>
      <c r="AW1553" s="7"/>
      <c r="AX1553" s="6"/>
      <c r="AY1553" s="6"/>
      <c r="AZ1553" s="6"/>
      <c r="BA1553" s="6"/>
      <c r="BB1553" s="24"/>
      <c r="BD1553" s="6"/>
      <c r="BE1553" s="6"/>
      <c r="BF1553" s="6"/>
      <c r="BH1553" s="6"/>
      <c r="BI1553" s="6"/>
      <c r="BJ1553" s="6"/>
      <c r="BK1553" s="6"/>
      <c r="BL1553" s="6"/>
      <c r="BM1553" s="6"/>
    </row>
    <row r="1554" spans="1:65" x14ac:dyDescent="0.25">
      <c r="A1554" s="6"/>
      <c r="B1554" s="6"/>
      <c r="C1554" s="6"/>
      <c r="D1554" s="6"/>
      <c r="E1554" s="6"/>
      <c r="F1554" s="21"/>
      <c r="G1554" s="10"/>
      <c r="H1554" s="7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  <c r="AB1554" s="6"/>
      <c r="AC1554" s="6"/>
      <c r="AD1554" s="6"/>
      <c r="AE1554" s="6"/>
      <c r="AF1554" s="25"/>
      <c r="AG1554" s="7"/>
      <c r="AH1554" s="7"/>
      <c r="AI1554" s="7"/>
      <c r="AJ1554" s="6"/>
      <c r="AK1554" s="6"/>
      <c r="AL1554" s="6"/>
      <c r="AM1554" s="6"/>
      <c r="AN1554" s="6"/>
      <c r="AO1554" s="26"/>
      <c r="AP1554" s="11"/>
      <c r="AQ1554" s="7"/>
      <c r="AS1554" s="11"/>
      <c r="AT1554" s="6"/>
      <c r="AU1554" s="6"/>
      <c r="AV1554" s="6"/>
      <c r="AW1554" s="7"/>
      <c r="AX1554" s="6"/>
      <c r="AY1554" s="6"/>
      <c r="AZ1554" s="6"/>
      <c r="BA1554" s="6"/>
      <c r="BB1554" s="24"/>
      <c r="BD1554" s="6"/>
      <c r="BE1554" s="6"/>
      <c r="BF1554" s="6"/>
      <c r="BH1554" s="6"/>
      <c r="BI1554" s="6"/>
      <c r="BJ1554" s="6"/>
      <c r="BK1554" s="6"/>
      <c r="BL1554" s="6"/>
      <c r="BM1554" s="6"/>
    </row>
    <row r="1557" spans="1:65" x14ac:dyDescent="0.25">
      <c r="A1557" s="6"/>
      <c r="B1557" s="6"/>
      <c r="C1557" s="6"/>
      <c r="D1557" s="6"/>
      <c r="E1557" s="6"/>
      <c r="F1557" s="21"/>
      <c r="G1557" s="10"/>
      <c r="H1557" s="7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  <c r="AB1557" s="6"/>
      <c r="AC1557" s="6"/>
      <c r="AD1557" s="6"/>
      <c r="AE1557" s="6"/>
      <c r="AF1557" s="25"/>
      <c r="AG1557" s="7"/>
      <c r="AH1557" s="7"/>
      <c r="AI1557" s="7"/>
      <c r="AJ1557" s="6"/>
      <c r="AK1557" s="6"/>
      <c r="AL1557" s="6"/>
      <c r="AM1557" s="6"/>
      <c r="AN1557" s="6"/>
      <c r="AO1557" s="26"/>
      <c r="AP1557" s="11"/>
      <c r="AQ1557" s="7"/>
      <c r="AS1557" s="11"/>
      <c r="AT1557" s="6"/>
      <c r="AU1557" s="6"/>
      <c r="AV1557" s="6"/>
      <c r="AW1557" s="7"/>
      <c r="AX1557" s="6"/>
      <c r="AY1557" s="6"/>
      <c r="AZ1557" s="6"/>
      <c r="BA1557" s="6"/>
      <c r="BB1557" s="24"/>
      <c r="BD1557" s="6"/>
      <c r="BE1557" s="6"/>
      <c r="BF1557" s="6"/>
      <c r="BH1557" s="6"/>
      <c r="BI1557" s="6"/>
      <c r="BJ1557" s="6"/>
      <c r="BK1557" s="6"/>
      <c r="BL1557" s="6"/>
      <c r="BM1557" s="6"/>
    </row>
    <row r="1558" spans="1:65" x14ac:dyDescent="0.25">
      <c r="I1558" s="7"/>
      <c r="AH1558" s="7"/>
      <c r="AV1558" s="6"/>
    </row>
    <row r="1559" spans="1:65" x14ac:dyDescent="0.25">
      <c r="A1559" s="6"/>
      <c r="B1559" s="6"/>
      <c r="C1559" s="6"/>
      <c r="D1559" s="6"/>
      <c r="E1559" s="6"/>
      <c r="F1559" s="21"/>
      <c r="G1559" s="10"/>
      <c r="H1559" s="7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  <c r="AA1559" s="6"/>
      <c r="AB1559" s="6"/>
      <c r="AC1559" s="6"/>
      <c r="AD1559" s="6"/>
      <c r="AE1559" s="6"/>
      <c r="AF1559" s="25"/>
      <c r="AG1559" s="7"/>
      <c r="AH1559" s="7"/>
      <c r="AI1559" s="7"/>
      <c r="AJ1559" s="6"/>
      <c r="AK1559" s="6"/>
      <c r="AL1559" s="6"/>
      <c r="AM1559" s="6"/>
      <c r="AN1559" s="6"/>
      <c r="AO1559" s="26"/>
      <c r="AP1559" s="11"/>
      <c r="AQ1559" s="7"/>
      <c r="AS1559" s="11"/>
      <c r="AT1559" s="6"/>
      <c r="AU1559" s="6"/>
      <c r="AW1559" s="7"/>
      <c r="AX1559" s="6"/>
      <c r="AY1559" s="6"/>
      <c r="AZ1559" s="6"/>
      <c r="BA1559" s="6"/>
      <c r="BB1559" s="24"/>
      <c r="BD1559" s="6"/>
      <c r="BE1559" s="6"/>
      <c r="BF1559" s="6"/>
      <c r="BH1559" s="6"/>
      <c r="BI1559" s="6"/>
      <c r="BJ1559" s="6"/>
      <c r="BK1559" s="6"/>
      <c r="BL1559" s="6"/>
      <c r="BM1559" s="6"/>
    </row>
    <row r="1560" spans="1:65" x14ac:dyDescent="0.25">
      <c r="AV1560" s="6"/>
    </row>
    <row r="1561" spans="1:65" x14ac:dyDescent="0.25">
      <c r="I1561" s="7"/>
      <c r="AH1561" s="7"/>
      <c r="AV1561" s="6"/>
    </row>
    <row r="1562" spans="1:65" x14ac:dyDescent="0.25">
      <c r="A1562" s="6"/>
      <c r="B1562" s="6"/>
      <c r="C1562" s="6"/>
      <c r="D1562" s="6"/>
      <c r="E1562" s="6"/>
      <c r="F1562" s="21"/>
      <c r="G1562" s="10"/>
      <c r="H1562" s="7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  <c r="AB1562" s="6"/>
      <c r="AC1562" s="6"/>
      <c r="AD1562" s="6"/>
      <c r="AE1562" s="6"/>
      <c r="AF1562" s="25"/>
      <c r="AG1562" s="7"/>
      <c r="AH1562" s="7"/>
      <c r="AI1562" s="7"/>
      <c r="AJ1562" s="6"/>
      <c r="AK1562" s="6"/>
      <c r="AL1562" s="6"/>
      <c r="AM1562" s="6"/>
      <c r="AN1562" s="6"/>
      <c r="AO1562" s="26"/>
      <c r="AP1562" s="11"/>
      <c r="AQ1562" s="7"/>
      <c r="AS1562" s="11"/>
      <c r="AT1562" s="6"/>
      <c r="AU1562" s="6"/>
      <c r="AW1562" s="7"/>
      <c r="AX1562" s="6"/>
      <c r="AY1562" s="6"/>
      <c r="AZ1562" s="6"/>
      <c r="BA1562" s="6"/>
      <c r="BB1562" s="24"/>
      <c r="BD1562" s="6"/>
      <c r="BE1562" s="6"/>
      <c r="BF1562" s="6"/>
      <c r="BH1562" s="6"/>
      <c r="BI1562" s="6"/>
      <c r="BJ1562" s="6"/>
      <c r="BK1562" s="6"/>
      <c r="BL1562" s="6"/>
      <c r="BM1562" s="6"/>
    </row>
    <row r="1563" spans="1:65" x14ac:dyDescent="0.25">
      <c r="A1563" s="6"/>
      <c r="B1563" s="6"/>
      <c r="C1563" s="6"/>
      <c r="D1563" s="6"/>
      <c r="E1563" s="6"/>
      <c r="F1563" s="21"/>
      <c r="G1563" s="10"/>
      <c r="H1563" s="7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  <c r="AB1563" s="6"/>
      <c r="AC1563" s="6"/>
      <c r="AD1563" s="6"/>
      <c r="AE1563" s="6"/>
      <c r="AF1563" s="25"/>
      <c r="AG1563" s="7"/>
      <c r="AH1563" s="7"/>
      <c r="AI1563" s="7"/>
      <c r="AJ1563" s="6"/>
      <c r="AK1563" s="6"/>
      <c r="AL1563" s="6"/>
      <c r="AM1563" s="6"/>
      <c r="AN1563" s="6"/>
      <c r="AO1563" s="26"/>
      <c r="AP1563" s="11"/>
      <c r="AQ1563" s="7"/>
      <c r="AS1563" s="11"/>
      <c r="AT1563" s="6"/>
      <c r="AU1563" s="6"/>
      <c r="AV1563" s="6"/>
      <c r="AW1563" s="7"/>
      <c r="AX1563" s="6"/>
      <c r="AY1563" s="6"/>
      <c r="AZ1563" s="6"/>
      <c r="BA1563" s="6"/>
      <c r="BB1563" s="24"/>
      <c r="BD1563" s="6"/>
      <c r="BE1563" s="6"/>
      <c r="BF1563" s="6"/>
      <c r="BH1563" s="6"/>
      <c r="BI1563" s="6"/>
      <c r="BJ1563" s="6"/>
      <c r="BK1563" s="6"/>
      <c r="BL1563" s="6"/>
      <c r="BM1563" s="6"/>
    </row>
    <row r="1566" spans="1:65" x14ac:dyDescent="0.25">
      <c r="A1566" s="6"/>
      <c r="B1566" s="6"/>
      <c r="C1566" s="6"/>
      <c r="D1566" s="6"/>
      <c r="E1566" s="6"/>
      <c r="F1566" s="21"/>
      <c r="G1566" s="10"/>
      <c r="H1566" s="7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  <c r="AB1566" s="6"/>
      <c r="AC1566" s="6"/>
      <c r="AD1566" s="6"/>
      <c r="AE1566" s="6"/>
      <c r="AF1566" s="25"/>
      <c r="AG1566" s="7"/>
      <c r="AH1566" s="7"/>
      <c r="AI1566" s="7"/>
      <c r="AJ1566" s="6"/>
      <c r="AK1566" s="6"/>
      <c r="AL1566" s="6"/>
      <c r="AM1566" s="6"/>
      <c r="AN1566" s="6"/>
      <c r="AO1566" s="26"/>
      <c r="AP1566" s="11"/>
      <c r="AQ1566" s="7"/>
      <c r="AS1566" s="11"/>
      <c r="AT1566" s="6"/>
      <c r="AU1566" s="6"/>
      <c r="AV1566" s="6"/>
      <c r="AW1566" s="7"/>
      <c r="AX1566" s="6"/>
      <c r="AY1566" s="6"/>
      <c r="AZ1566" s="6"/>
      <c r="BA1566" s="6"/>
      <c r="BB1566" s="24"/>
      <c r="BD1566" s="6"/>
      <c r="BE1566" s="6"/>
      <c r="BF1566" s="6"/>
      <c r="BH1566" s="6"/>
      <c r="BI1566" s="6"/>
      <c r="BJ1566" s="6"/>
      <c r="BK1566" s="6"/>
      <c r="BL1566" s="6"/>
      <c r="BM1566" s="6"/>
    </row>
    <row r="1567" spans="1:65" x14ac:dyDescent="0.25">
      <c r="I1567" s="7"/>
      <c r="AH1567" s="7"/>
      <c r="AV1567" s="6"/>
    </row>
    <row r="1568" spans="1:65" x14ac:dyDescent="0.25">
      <c r="A1568" s="6"/>
      <c r="B1568" s="6"/>
      <c r="C1568" s="6"/>
      <c r="D1568" s="6"/>
      <c r="E1568" s="6"/>
      <c r="F1568" s="21"/>
      <c r="G1568" s="10"/>
      <c r="H1568" s="7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  <c r="AB1568" s="6"/>
      <c r="AC1568" s="6"/>
      <c r="AD1568" s="6"/>
      <c r="AE1568" s="6"/>
      <c r="AF1568" s="25"/>
      <c r="AG1568" s="7"/>
      <c r="AH1568" s="7"/>
      <c r="AI1568" s="7"/>
      <c r="AJ1568" s="6"/>
      <c r="AK1568" s="6"/>
      <c r="AL1568" s="6"/>
      <c r="AM1568" s="6"/>
      <c r="AN1568" s="6"/>
      <c r="AO1568" s="26"/>
      <c r="AP1568" s="11"/>
      <c r="AQ1568" s="7"/>
      <c r="AS1568" s="11"/>
      <c r="AT1568" s="6"/>
      <c r="AU1568" s="6"/>
      <c r="AW1568" s="7"/>
      <c r="AX1568" s="6"/>
      <c r="AY1568" s="6"/>
      <c r="AZ1568" s="6"/>
      <c r="BA1568" s="6"/>
      <c r="BB1568" s="24"/>
      <c r="BD1568" s="6"/>
      <c r="BE1568" s="6"/>
      <c r="BF1568" s="6"/>
      <c r="BH1568" s="6"/>
      <c r="BI1568" s="6"/>
      <c r="BJ1568" s="6"/>
      <c r="BK1568" s="6"/>
      <c r="BL1568" s="6"/>
      <c r="BM1568" s="6"/>
    </row>
    <row r="1569" spans="1:65" x14ac:dyDescent="0.25">
      <c r="AV1569" s="6"/>
    </row>
    <row r="1570" spans="1:65" x14ac:dyDescent="0.25">
      <c r="I1570" s="7"/>
      <c r="AH1570" s="7"/>
      <c r="AV1570" s="6"/>
    </row>
    <row r="1571" spans="1:65" x14ac:dyDescent="0.25">
      <c r="A1571" s="6"/>
      <c r="B1571" s="6"/>
      <c r="C1571" s="6"/>
      <c r="D1571" s="6"/>
      <c r="E1571" s="6"/>
      <c r="F1571" s="21"/>
      <c r="G1571" s="10"/>
      <c r="H1571" s="7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  <c r="AB1571" s="6"/>
      <c r="AC1571" s="6"/>
      <c r="AD1571" s="6"/>
      <c r="AE1571" s="6"/>
      <c r="AF1571" s="25"/>
      <c r="AG1571" s="7"/>
      <c r="AH1571" s="7"/>
      <c r="AI1571" s="7"/>
      <c r="AJ1571" s="6"/>
      <c r="AK1571" s="6"/>
      <c r="AL1571" s="6"/>
      <c r="AM1571" s="6"/>
      <c r="AN1571" s="6"/>
      <c r="AO1571" s="26"/>
      <c r="AP1571" s="11"/>
      <c r="AQ1571" s="7"/>
      <c r="AS1571" s="11"/>
      <c r="AT1571" s="6"/>
      <c r="AU1571" s="6"/>
      <c r="AW1571" s="7"/>
      <c r="AX1571" s="6"/>
      <c r="AY1571" s="6"/>
      <c r="AZ1571" s="6"/>
      <c r="BA1571" s="6"/>
      <c r="BB1571" s="24"/>
      <c r="BD1571" s="6"/>
      <c r="BE1571" s="6"/>
      <c r="BF1571" s="6"/>
      <c r="BH1571" s="6"/>
      <c r="BI1571" s="6"/>
      <c r="BJ1571" s="6"/>
      <c r="BK1571" s="6"/>
      <c r="BL1571" s="6"/>
      <c r="BM1571" s="6"/>
    </row>
    <row r="1572" spans="1:65" x14ac:dyDescent="0.25">
      <c r="A1572" s="6"/>
      <c r="B1572" s="6"/>
      <c r="C1572" s="6"/>
      <c r="D1572" s="6"/>
      <c r="E1572" s="6"/>
      <c r="F1572" s="21"/>
      <c r="G1572" s="10"/>
      <c r="H1572" s="7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  <c r="AB1572" s="6"/>
      <c r="AC1572" s="6"/>
      <c r="AD1572" s="6"/>
      <c r="AE1572" s="6"/>
      <c r="AF1572" s="25"/>
      <c r="AG1572" s="7"/>
      <c r="AH1572" s="7"/>
      <c r="AI1572" s="7"/>
      <c r="AJ1572" s="6"/>
      <c r="AK1572" s="6"/>
      <c r="AL1572" s="6"/>
      <c r="AM1572" s="6"/>
      <c r="AN1572" s="6"/>
      <c r="AO1572" s="26"/>
      <c r="AP1572" s="11"/>
      <c r="AQ1572" s="7"/>
      <c r="AS1572" s="11"/>
      <c r="AT1572" s="6"/>
      <c r="AU1572" s="6"/>
      <c r="AV1572" s="6"/>
      <c r="AW1572" s="7"/>
      <c r="AX1572" s="6"/>
      <c r="AY1572" s="6"/>
      <c r="AZ1572" s="6"/>
      <c r="BA1572" s="6"/>
      <c r="BB1572" s="24"/>
      <c r="BD1572" s="6"/>
      <c r="BE1572" s="6"/>
      <c r="BF1572" s="6"/>
      <c r="BH1572" s="6"/>
      <c r="BI1572" s="6"/>
      <c r="BJ1572" s="6"/>
      <c r="BK1572" s="6"/>
      <c r="BL1572" s="6"/>
      <c r="BM1572" s="6"/>
    </row>
    <row r="1575" spans="1:65" x14ac:dyDescent="0.25">
      <c r="A1575" s="6"/>
      <c r="B1575" s="6"/>
      <c r="C1575" s="6"/>
      <c r="D1575" s="6"/>
      <c r="E1575" s="6"/>
      <c r="F1575" s="21"/>
      <c r="G1575" s="10"/>
      <c r="H1575" s="7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  <c r="AB1575" s="6"/>
      <c r="AC1575" s="6"/>
      <c r="AD1575" s="6"/>
      <c r="AE1575" s="6"/>
      <c r="AF1575" s="25"/>
      <c r="AG1575" s="7"/>
      <c r="AH1575" s="7"/>
      <c r="AI1575" s="7"/>
      <c r="AJ1575" s="6"/>
      <c r="AK1575" s="6"/>
      <c r="AL1575" s="6"/>
      <c r="AM1575" s="6"/>
      <c r="AN1575" s="6"/>
      <c r="AO1575" s="26"/>
      <c r="AP1575" s="11"/>
      <c r="AQ1575" s="7"/>
      <c r="AS1575" s="11"/>
      <c r="AT1575" s="6"/>
      <c r="AU1575" s="6"/>
      <c r="AV1575" s="6"/>
      <c r="AW1575" s="7"/>
      <c r="AX1575" s="6"/>
      <c r="AY1575" s="6"/>
      <c r="AZ1575" s="6"/>
      <c r="BA1575" s="6"/>
      <c r="BB1575" s="24"/>
      <c r="BD1575" s="6"/>
      <c r="BE1575" s="6"/>
      <c r="BF1575" s="6"/>
      <c r="BH1575" s="6"/>
      <c r="BI1575" s="6"/>
      <c r="BJ1575" s="6"/>
      <c r="BK1575" s="6"/>
      <c r="BL1575" s="6"/>
      <c r="BM1575" s="6"/>
    </row>
    <row r="1576" spans="1:65" x14ac:dyDescent="0.25">
      <c r="I1576" s="7"/>
      <c r="AH1576" s="7"/>
      <c r="AV1576" s="6"/>
    </row>
    <row r="1577" spans="1:65" x14ac:dyDescent="0.25">
      <c r="A1577" s="6"/>
      <c r="B1577" s="6"/>
      <c r="C1577" s="6"/>
      <c r="D1577" s="6"/>
      <c r="E1577" s="6"/>
      <c r="F1577" s="21"/>
      <c r="G1577" s="10"/>
      <c r="H1577" s="7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  <c r="AB1577" s="6"/>
      <c r="AC1577" s="6"/>
      <c r="AD1577" s="6"/>
      <c r="AE1577" s="6"/>
      <c r="AF1577" s="25"/>
      <c r="AG1577" s="7"/>
      <c r="AH1577" s="7"/>
      <c r="AI1577" s="7"/>
      <c r="AJ1577" s="6"/>
      <c r="AK1577" s="6"/>
      <c r="AL1577" s="6"/>
      <c r="AM1577" s="6"/>
      <c r="AN1577" s="6"/>
      <c r="AO1577" s="26"/>
      <c r="AP1577" s="11"/>
      <c r="AQ1577" s="7"/>
      <c r="AS1577" s="11"/>
      <c r="AT1577" s="6"/>
      <c r="AU1577" s="6"/>
      <c r="AW1577" s="7"/>
      <c r="AX1577" s="6"/>
      <c r="AY1577" s="6"/>
      <c r="AZ1577" s="6"/>
      <c r="BA1577" s="6"/>
      <c r="BB1577" s="24"/>
      <c r="BD1577" s="6"/>
      <c r="BE1577" s="6"/>
      <c r="BF1577" s="6"/>
      <c r="BH1577" s="6"/>
      <c r="BI1577" s="6"/>
      <c r="BJ1577" s="6"/>
      <c r="BK1577" s="6"/>
      <c r="BL1577" s="6"/>
      <c r="BM1577" s="6"/>
    </row>
    <row r="1578" spans="1:65" x14ac:dyDescent="0.25">
      <c r="AV1578" s="6"/>
    </row>
    <row r="1579" spans="1:65" x14ac:dyDescent="0.25">
      <c r="I1579" s="7"/>
      <c r="AH1579" s="7"/>
      <c r="AV1579" s="6"/>
    </row>
    <row r="1580" spans="1:65" x14ac:dyDescent="0.25">
      <c r="A1580" s="6"/>
      <c r="B1580" s="6"/>
      <c r="C1580" s="6"/>
      <c r="D1580" s="6"/>
      <c r="E1580" s="6"/>
      <c r="F1580" s="21"/>
      <c r="G1580" s="10"/>
      <c r="H1580" s="7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  <c r="AB1580" s="6"/>
      <c r="AC1580" s="6"/>
      <c r="AD1580" s="6"/>
      <c r="AE1580" s="6"/>
      <c r="AF1580" s="25"/>
      <c r="AG1580" s="7"/>
      <c r="AH1580" s="7"/>
      <c r="AI1580" s="7"/>
      <c r="AJ1580" s="6"/>
      <c r="AK1580" s="6"/>
      <c r="AL1580" s="6"/>
      <c r="AM1580" s="6"/>
      <c r="AN1580" s="6"/>
      <c r="AO1580" s="26"/>
      <c r="AP1580" s="11"/>
      <c r="AQ1580" s="7"/>
      <c r="AS1580" s="11"/>
      <c r="AT1580" s="6"/>
      <c r="AU1580" s="6"/>
      <c r="AW1580" s="7"/>
      <c r="AX1580" s="6"/>
      <c r="AY1580" s="6"/>
      <c r="AZ1580" s="6"/>
      <c r="BA1580" s="6"/>
      <c r="BB1580" s="24"/>
      <c r="BD1580" s="6"/>
      <c r="BE1580" s="6"/>
      <c r="BF1580" s="6"/>
      <c r="BH1580" s="6"/>
      <c r="BI1580" s="6"/>
      <c r="BJ1580" s="6"/>
      <c r="BK1580" s="6"/>
      <c r="BL1580" s="6"/>
      <c r="BM1580" s="6"/>
    </row>
    <row r="1581" spans="1:65" x14ac:dyDescent="0.25">
      <c r="A1581" s="6"/>
      <c r="B1581" s="6"/>
      <c r="C1581" s="6"/>
      <c r="D1581" s="6"/>
      <c r="E1581" s="6"/>
      <c r="F1581" s="21"/>
      <c r="G1581" s="10"/>
      <c r="H1581" s="7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  <c r="AB1581" s="6"/>
      <c r="AC1581" s="6"/>
      <c r="AD1581" s="6"/>
      <c r="AE1581" s="6"/>
      <c r="AF1581" s="25"/>
      <c r="AG1581" s="7"/>
      <c r="AH1581" s="7"/>
      <c r="AI1581" s="7"/>
      <c r="AJ1581" s="6"/>
      <c r="AK1581" s="6"/>
      <c r="AL1581" s="6"/>
      <c r="AM1581" s="6"/>
      <c r="AN1581" s="6"/>
      <c r="AO1581" s="26"/>
      <c r="AP1581" s="11"/>
      <c r="AQ1581" s="7"/>
      <c r="AS1581" s="11"/>
      <c r="AT1581" s="6"/>
      <c r="AU1581" s="6"/>
      <c r="AV1581" s="6"/>
      <c r="AW1581" s="7"/>
      <c r="AX1581" s="6"/>
      <c r="AY1581" s="6"/>
      <c r="AZ1581" s="6"/>
      <c r="BA1581" s="6"/>
      <c r="BB1581" s="24"/>
      <c r="BD1581" s="6"/>
      <c r="BE1581" s="6"/>
      <c r="BF1581" s="6"/>
      <c r="BH1581" s="6"/>
      <c r="BI1581" s="6"/>
      <c r="BJ1581" s="6"/>
      <c r="BK1581" s="6"/>
      <c r="BL1581" s="6"/>
      <c r="BM1581" s="6"/>
    </row>
    <row r="1584" spans="1:65" x14ac:dyDescent="0.25">
      <c r="A1584" s="6"/>
      <c r="B1584" s="6"/>
      <c r="C1584" s="6"/>
      <c r="D1584" s="6"/>
      <c r="E1584" s="6"/>
      <c r="F1584" s="21"/>
      <c r="G1584" s="10"/>
      <c r="H1584" s="7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  <c r="AB1584" s="6"/>
      <c r="AC1584" s="6"/>
      <c r="AD1584" s="6"/>
      <c r="AE1584" s="6"/>
      <c r="AF1584" s="25"/>
      <c r="AG1584" s="7"/>
      <c r="AH1584" s="7"/>
      <c r="AI1584" s="7"/>
      <c r="AJ1584" s="6"/>
      <c r="AK1584" s="6"/>
      <c r="AL1584" s="6"/>
      <c r="AM1584" s="6"/>
      <c r="AN1584" s="6"/>
      <c r="AO1584" s="26"/>
      <c r="AP1584" s="11"/>
      <c r="AQ1584" s="7"/>
      <c r="AS1584" s="11"/>
      <c r="AT1584" s="6"/>
      <c r="AU1584" s="6"/>
      <c r="AV1584" s="6"/>
      <c r="AW1584" s="7"/>
      <c r="AX1584" s="6"/>
      <c r="AY1584" s="6"/>
      <c r="AZ1584" s="6"/>
      <c r="BA1584" s="6"/>
      <c r="BB1584" s="24"/>
      <c r="BD1584" s="6"/>
      <c r="BE1584" s="6"/>
      <c r="BF1584" s="6"/>
      <c r="BH1584" s="6"/>
      <c r="BI1584" s="6"/>
      <c r="BJ1584" s="6"/>
      <c r="BK1584" s="6"/>
      <c r="BL1584" s="6"/>
      <c r="BM1584" s="6"/>
    </row>
    <row r="1585" spans="1:65" x14ac:dyDescent="0.25">
      <c r="I1585" s="7"/>
      <c r="AH1585" s="7"/>
      <c r="AV1585" s="6"/>
    </row>
    <row r="1586" spans="1:65" x14ac:dyDescent="0.25">
      <c r="A1586" s="6"/>
      <c r="B1586" s="6"/>
      <c r="C1586" s="6"/>
      <c r="D1586" s="6"/>
      <c r="E1586" s="6"/>
      <c r="F1586" s="21"/>
      <c r="G1586" s="10"/>
      <c r="H1586" s="7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  <c r="AB1586" s="6"/>
      <c r="AC1586" s="6"/>
      <c r="AD1586" s="6"/>
      <c r="AE1586" s="6"/>
      <c r="AF1586" s="25"/>
      <c r="AG1586" s="7"/>
      <c r="AH1586" s="7"/>
      <c r="AI1586" s="7"/>
      <c r="AJ1586" s="6"/>
      <c r="AK1586" s="6"/>
      <c r="AL1586" s="6"/>
      <c r="AM1586" s="6"/>
      <c r="AN1586" s="6"/>
      <c r="AO1586" s="26"/>
      <c r="AP1586" s="11"/>
      <c r="AQ1586" s="7"/>
      <c r="AS1586" s="11"/>
      <c r="AT1586" s="6"/>
      <c r="AU1586" s="6"/>
      <c r="AW1586" s="7"/>
      <c r="AX1586" s="6"/>
      <c r="AY1586" s="6"/>
      <c r="AZ1586" s="6"/>
      <c r="BA1586" s="6"/>
      <c r="BB1586" s="24"/>
      <c r="BD1586" s="6"/>
      <c r="BE1586" s="6"/>
      <c r="BF1586" s="6"/>
      <c r="BH1586" s="6"/>
      <c r="BI1586" s="6"/>
      <c r="BJ1586" s="6"/>
      <c r="BK1586" s="6"/>
      <c r="BL1586" s="6"/>
      <c r="BM1586" s="6"/>
    </row>
    <row r="1587" spans="1:65" x14ac:dyDescent="0.25">
      <c r="AV1587" s="6"/>
    </row>
    <row r="1588" spans="1:65" x14ac:dyDescent="0.25">
      <c r="I1588" s="7"/>
      <c r="AH1588" s="7"/>
      <c r="AV1588" s="6"/>
    </row>
    <row r="1589" spans="1:65" x14ac:dyDescent="0.25">
      <c r="A1589" s="6"/>
      <c r="B1589" s="6"/>
      <c r="C1589" s="6"/>
      <c r="D1589" s="6"/>
      <c r="E1589" s="6"/>
      <c r="F1589" s="21"/>
      <c r="G1589" s="10"/>
      <c r="H1589" s="7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  <c r="AB1589" s="6"/>
      <c r="AC1589" s="6"/>
      <c r="AD1589" s="6"/>
      <c r="AE1589" s="6"/>
      <c r="AF1589" s="25"/>
      <c r="AG1589" s="7"/>
      <c r="AH1589" s="7"/>
      <c r="AI1589" s="7"/>
      <c r="AJ1589" s="6"/>
      <c r="AK1589" s="6"/>
      <c r="AL1589" s="6"/>
      <c r="AM1589" s="6"/>
      <c r="AN1589" s="6"/>
      <c r="AO1589" s="26"/>
      <c r="AP1589" s="11"/>
      <c r="AQ1589" s="7"/>
      <c r="AS1589" s="11"/>
      <c r="AT1589" s="6"/>
      <c r="AU1589" s="6"/>
      <c r="AW1589" s="7"/>
      <c r="AX1589" s="6"/>
      <c r="AY1589" s="6"/>
      <c r="AZ1589" s="6"/>
      <c r="BA1589" s="6"/>
      <c r="BB1589" s="24"/>
      <c r="BD1589" s="6"/>
      <c r="BE1589" s="6"/>
      <c r="BF1589" s="6"/>
      <c r="BH1589" s="6"/>
      <c r="BI1589" s="6"/>
      <c r="BJ1589" s="6"/>
      <c r="BK1589" s="6"/>
      <c r="BL1589" s="6"/>
      <c r="BM1589" s="6"/>
    </row>
    <row r="1590" spans="1:65" x14ac:dyDescent="0.25">
      <c r="A1590" s="6"/>
      <c r="B1590" s="6"/>
      <c r="C1590" s="6"/>
      <c r="D1590" s="6"/>
      <c r="E1590" s="6"/>
      <c r="F1590" s="21"/>
      <c r="G1590" s="10"/>
      <c r="H1590" s="7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  <c r="AB1590" s="6"/>
      <c r="AC1590" s="6"/>
      <c r="AD1590" s="6"/>
      <c r="AE1590" s="6"/>
      <c r="AF1590" s="25"/>
      <c r="AG1590" s="7"/>
      <c r="AH1590" s="7"/>
      <c r="AI1590" s="7"/>
      <c r="AJ1590" s="6"/>
      <c r="AK1590" s="6"/>
      <c r="AL1590" s="6"/>
      <c r="AM1590" s="6"/>
      <c r="AN1590" s="6"/>
      <c r="AO1590" s="26"/>
      <c r="AP1590" s="11"/>
      <c r="AQ1590" s="7"/>
      <c r="AS1590" s="11"/>
      <c r="AT1590" s="6"/>
      <c r="AU1590" s="6"/>
      <c r="AV1590" s="6"/>
      <c r="AW1590" s="7"/>
      <c r="AX1590" s="6"/>
      <c r="AY1590" s="6"/>
      <c r="AZ1590" s="6"/>
      <c r="BA1590" s="6"/>
      <c r="BB1590" s="24"/>
      <c r="BD1590" s="6"/>
      <c r="BE1590" s="6"/>
      <c r="BF1590" s="6"/>
      <c r="BH1590" s="6"/>
      <c r="BI1590" s="6"/>
      <c r="BJ1590" s="6"/>
      <c r="BK1590" s="6"/>
      <c r="BL1590" s="6"/>
      <c r="BM1590" s="6"/>
    </row>
    <row r="1593" spans="1:65" x14ac:dyDescent="0.25">
      <c r="A1593" s="6"/>
      <c r="B1593" s="6"/>
      <c r="C1593" s="6"/>
      <c r="D1593" s="6"/>
      <c r="E1593" s="6"/>
      <c r="F1593" s="21"/>
      <c r="G1593" s="10"/>
      <c r="H1593" s="7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  <c r="AB1593" s="6"/>
      <c r="AC1593" s="6"/>
      <c r="AD1593" s="6"/>
      <c r="AE1593" s="6"/>
      <c r="AF1593" s="25"/>
      <c r="AG1593" s="7"/>
      <c r="AH1593" s="7"/>
      <c r="AI1593" s="7"/>
      <c r="AJ1593" s="6"/>
      <c r="AK1593" s="6"/>
      <c r="AL1593" s="6"/>
      <c r="AM1593" s="6"/>
      <c r="AN1593" s="6"/>
      <c r="AO1593" s="26"/>
      <c r="AP1593" s="11"/>
      <c r="AQ1593" s="7"/>
      <c r="AS1593" s="11"/>
      <c r="AT1593" s="6"/>
      <c r="AU1593" s="6"/>
      <c r="AV1593" s="6"/>
      <c r="AW1593" s="7"/>
      <c r="AX1593" s="6"/>
      <c r="AY1593" s="6"/>
      <c r="AZ1593" s="6"/>
      <c r="BA1593" s="6"/>
      <c r="BB1593" s="24"/>
      <c r="BD1593" s="6"/>
      <c r="BE1593" s="6"/>
      <c r="BF1593" s="6"/>
      <c r="BH1593" s="6"/>
      <c r="BI1593" s="6"/>
      <c r="BJ1593" s="6"/>
      <c r="BK1593" s="6"/>
      <c r="BL1593" s="6"/>
      <c r="BM1593" s="6"/>
    </row>
    <row r="1594" spans="1:65" x14ac:dyDescent="0.25">
      <c r="I1594" s="7"/>
      <c r="AH1594" s="7"/>
      <c r="AV1594" s="6"/>
    </row>
    <row r="1595" spans="1:65" x14ac:dyDescent="0.25">
      <c r="A1595" s="6"/>
      <c r="B1595" s="6"/>
      <c r="C1595" s="6"/>
      <c r="D1595" s="6"/>
      <c r="E1595" s="6"/>
      <c r="F1595" s="21"/>
      <c r="G1595" s="10"/>
      <c r="H1595" s="7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  <c r="AB1595" s="6"/>
      <c r="AC1595" s="6"/>
      <c r="AD1595" s="6"/>
      <c r="AE1595" s="6"/>
      <c r="AF1595" s="25"/>
      <c r="AG1595" s="7"/>
      <c r="AH1595" s="7"/>
      <c r="AI1595" s="7"/>
      <c r="AJ1595" s="6"/>
      <c r="AK1595" s="6"/>
      <c r="AL1595" s="6"/>
      <c r="AM1595" s="6"/>
      <c r="AN1595" s="6"/>
      <c r="AO1595" s="26"/>
      <c r="AP1595" s="11"/>
      <c r="AQ1595" s="7"/>
      <c r="AS1595" s="11"/>
      <c r="AT1595" s="6"/>
      <c r="AU1595" s="6"/>
      <c r="AW1595" s="7"/>
      <c r="AX1595" s="6"/>
      <c r="AY1595" s="6"/>
      <c r="AZ1595" s="6"/>
      <c r="BA1595" s="6"/>
      <c r="BB1595" s="24"/>
      <c r="BD1595" s="6"/>
      <c r="BE1595" s="6"/>
      <c r="BF1595" s="6"/>
      <c r="BH1595" s="6"/>
      <c r="BI1595" s="6"/>
      <c r="BJ1595" s="6"/>
      <c r="BK1595" s="6"/>
      <c r="BL1595" s="6"/>
      <c r="BM1595" s="6"/>
    </row>
    <row r="1596" spans="1:65" x14ac:dyDescent="0.25">
      <c r="AV1596" s="6"/>
    </row>
    <row r="1597" spans="1:65" x14ac:dyDescent="0.25">
      <c r="I1597" s="7"/>
      <c r="AH1597" s="7"/>
      <c r="AV1597" s="6"/>
    </row>
    <row r="1598" spans="1:65" x14ac:dyDescent="0.25">
      <c r="A1598" s="6"/>
      <c r="B1598" s="6"/>
      <c r="C1598" s="6"/>
      <c r="D1598" s="6"/>
      <c r="E1598" s="6"/>
      <c r="F1598" s="21"/>
      <c r="G1598" s="10"/>
      <c r="H1598" s="7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  <c r="AB1598" s="6"/>
      <c r="AC1598" s="6"/>
      <c r="AD1598" s="6"/>
      <c r="AE1598" s="6"/>
      <c r="AF1598" s="25"/>
      <c r="AG1598" s="7"/>
      <c r="AH1598" s="7"/>
      <c r="AI1598" s="7"/>
      <c r="AJ1598" s="6"/>
      <c r="AK1598" s="6"/>
      <c r="AL1598" s="6"/>
      <c r="AM1598" s="6"/>
      <c r="AN1598" s="6"/>
      <c r="AO1598" s="26"/>
      <c r="AP1598" s="11"/>
      <c r="AQ1598" s="7"/>
      <c r="AS1598" s="11"/>
      <c r="AT1598" s="6"/>
      <c r="AU1598" s="6"/>
      <c r="AW1598" s="7"/>
      <c r="AX1598" s="6"/>
      <c r="AY1598" s="6"/>
      <c r="AZ1598" s="6"/>
      <c r="BA1598" s="6"/>
      <c r="BB1598" s="24"/>
      <c r="BD1598" s="6"/>
      <c r="BE1598" s="6"/>
      <c r="BF1598" s="6"/>
      <c r="BH1598" s="6"/>
      <c r="BI1598" s="6"/>
      <c r="BJ1598" s="6"/>
      <c r="BK1598" s="6"/>
      <c r="BL1598" s="6"/>
      <c r="BM1598" s="6"/>
    </row>
    <row r="1599" spans="1:65" x14ac:dyDescent="0.25">
      <c r="A1599" s="6"/>
      <c r="B1599" s="6"/>
      <c r="C1599" s="6"/>
      <c r="D1599" s="6"/>
      <c r="E1599" s="6"/>
      <c r="F1599" s="21"/>
      <c r="G1599" s="10"/>
      <c r="H1599" s="7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  <c r="AB1599" s="6"/>
      <c r="AC1599" s="6"/>
      <c r="AD1599" s="6"/>
      <c r="AE1599" s="6"/>
      <c r="AF1599" s="25"/>
      <c r="AG1599" s="7"/>
      <c r="AH1599" s="7"/>
      <c r="AI1599" s="7"/>
      <c r="AJ1599" s="6"/>
      <c r="AK1599" s="6"/>
      <c r="AL1599" s="6"/>
      <c r="AM1599" s="6"/>
      <c r="AN1599" s="6"/>
      <c r="AO1599" s="26"/>
      <c r="AP1599" s="11"/>
      <c r="AQ1599" s="7"/>
      <c r="AS1599" s="11"/>
      <c r="AT1599" s="6"/>
      <c r="AU1599" s="6"/>
      <c r="AV1599" s="6"/>
      <c r="AW1599" s="7"/>
      <c r="AX1599" s="6"/>
      <c r="AY1599" s="6"/>
      <c r="AZ1599" s="6"/>
      <c r="BA1599" s="6"/>
      <c r="BB1599" s="24"/>
      <c r="BD1599" s="6"/>
      <c r="BE1599" s="6"/>
      <c r="BF1599" s="6"/>
      <c r="BH1599" s="6"/>
      <c r="BI1599" s="6"/>
      <c r="BJ1599" s="6"/>
      <c r="BK1599" s="6"/>
      <c r="BL1599" s="6"/>
      <c r="BM1599" s="6"/>
    </row>
    <row r="1602" spans="1:65" x14ac:dyDescent="0.25">
      <c r="A1602" s="6"/>
      <c r="B1602" s="6"/>
      <c r="C1602" s="6"/>
      <c r="D1602" s="6"/>
      <c r="E1602" s="6"/>
      <c r="F1602" s="21"/>
      <c r="G1602" s="10"/>
      <c r="H1602" s="7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  <c r="AB1602" s="6"/>
      <c r="AC1602" s="6"/>
      <c r="AD1602" s="6"/>
      <c r="AE1602" s="6"/>
      <c r="AF1602" s="25"/>
      <c r="AG1602" s="7"/>
      <c r="AH1602" s="7"/>
      <c r="AI1602" s="7"/>
      <c r="AJ1602" s="6"/>
      <c r="AK1602" s="6"/>
      <c r="AL1602" s="6"/>
      <c r="AM1602" s="6"/>
      <c r="AN1602" s="6"/>
      <c r="AO1602" s="26"/>
      <c r="AP1602" s="11"/>
      <c r="AQ1602" s="7"/>
      <c r="AS1602" s="11"/>
      <c r="AT1602" s="6"/>
      <c r="AU1602" s="6"/>
      <c r="AV1602" s="6"/>
      <c r="AW1602" s="7"/>
      <c r="AX1602" s="6"/>
      <c r="AY1602" s="6"/>
      <c r="AZ1602" s="6"/>
      <c r="BA1602" s="6"/>
      <c r="BB1602" s="24"/>
      <c r="BD1602" s="6"/>
      <c r="BE1602" s="6"/>
      <c r="BF1602" s="6"/>
      <c r="BH1602" s="6"/>
      <c r="BI1602" s="6"/>
      <c r="BJ1602" s="6"/>
      <c r="BK1602" s="6"/>
      <c r="BL1602" s="6"/>
      <c r="BM1602" s="6"/>
    </row>
    <row r="1603" spans="1:65" x14ac:dyDescent="0.25">
      <c r="I1603" s="7"/>
      <c r="AH1603" s="7"/>
      <c r="AV1603" s="6"/>
    </row>
    <row r="1604" spans="1:65" x14ac:dyDescent="0.25">
      <c r="A1604" s="6"/>
      <c r="B1604" s="6"/>
      <c r="C1604" s="6"/>
      <c r="D1604" s="6"/>
      <c r="E1604" s="6"/>
      <c r="F1604" s="21"/>
      <c r="G1604" s="10"/>
      <c r="H1604" s="7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  <c r="AB1604" s="6"/>
      <c r="AC1604" s="6"/>
      <c r="AD1604" s="6"/>
      <c r="AE1604" s="6"/>
      <c r="AF1604" s="25"/>
      <c r="AG1604" s="7"/>
      <c r="AH1604" s="7"/>
      <c r="AI1604" s="7"/>
      <c r="AJ1604" s="6"/>
      <c r="AK1604" s="6"/>
      <c r="AL1604" s="6"/>
      <c r="AM1604" s="6"/>
      <c r="AN1604" s="6"/>
      <c r="AO1604" s="26"/>
      <c r="AP1604" s="11"/>
      <c r="AQ1604" s="7"/>
      <c r="AS1604" s="11"/>
      <c r="AT1604" s="6"/>
      <c r="AU1604" s="6"/>
      <c r="AW1604" s="7"/>
      <c r="AX1604" s="6"/>
      <c r="AY1604" s="6"/>
      <c r="AZ1604" s="6"/>
      <c r="BA1604" s="6"/>
      <c r="BB1604" s="24"/>
      <c r="BD1604" s="6"/>
      <c r="BE1604" s="6"/>
      <c r="BF1604" s="6"/>
      <c r="BH1604" s="6"/>
      <c r="BI1604" s="6"/>
      <c r="BJ1604" s="6"/>
      <c r="BK1604" s="6"/>
      <c r="BL1604" s="6"/>
      <c r="BM1604" s="6"/>
    </row>
    <row r="1605" spans="1:65" x14ac:dyDescent="0.25">
      <c r="AV1605" s="6"/>
    </row>
    <row r="1606" spans="1:65" x14ac:dyDescent="0.25">
      <c r="I1606" s="7"/>
      <c r="AH1606" s="7"/>
      <c r="AV1606" s="6"/>
    </row>
    <row r="1607" spans="1:65" x14ac:dyDescent="0.25">
      <c r="A1607" s="6"/>
      <c r="B1607" s="6"/>
      <c r="C1607" s="6"/>
      <c r="D1607" s="6"/>
      <c r="E1607" s="6"/>
      <c r="F1607" s="21"/>
      <c r="G1607" s="10"/>
      <c r="H1607" s="7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  <c r="AB1607" s="6"/>
      <c r="AC1607" s="6"/>
      <c r="AD1607" s="6"/>
      <c r="AE1607" s="6"/>
      <c r="AF1607" s="25"/>
      <c r="AG1607" s="7"/>
      <c r="AH1607" s="7"/>
      <c r="AI1607" s="7"/>
      <c r="AJ1607" s="6"/>
      <c r="AK1607" s="6"/>
      <c r="AL1607" s="6"/>
      <c r="AM1607" s="6"/>
      <c r="AN1607" s="6"/>
      <c r="AO1607" s="26"/>
      <c r="AP1607" s="11"/>
      <c r="AQ1607" s="7"/>
      <c r="AS1607" s="11"/>
      <c r="AT1607" s="6"/>
      <c r="AU1607" s="6"/>
      <c r="AW1607" s="7"/>
      <c r="AX1607" s="6"/>
      <c r="AY1607" s="6"/>
      <c r="AZ1607" s="6"/>
      <c r="BA1607" s="6"/>
      <c r="BB1607" s="24"/>
      <c r="BD1607" s="6"/>
      <c r="BE1607" s="6"/>
      <c r="BF1607" s="6"/>
      <c r="BH1607" s="6"/>
      <c r="BI1607" s="6"/>
      <c r="BJ1607" s="6"/>
      <c r="BK1607" s="6"/>
      <c r="BL1607" s="6"/>
      <c r="BM1607" s="6"/>
    </row>
    <row r="1608" spans="1:65" x14ac:dyDescent="0.25">
      <c r="A1608" s="6"/>
      <c r="B1608" s="6"/>
      <c r="C1608" s="6"/>
      <c r="D1608" s="6"/>
      <c r="E1608" s="6"/>
      <c r="F1608" s="21"/>
      <c r="G1608" s="10"/>
      <c r="H1608" s="7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  <c r="AB1608" s="6"/>
      <c r="AC1608" s="6"/>
      <c r="AD1608" s="6"/>
      <c r="AE1608" s="6"/>
      <c r="AF1608" s="25"/>
      <c r="AG1608" s="7"/>
      <c r="AH1608" s="7"/>
      <c r="AI1608" s="7"/>
      <c r="AJ1608" s="6"/>
      <c r="AK1608" s="6"/>
      <c r="AL1608" s="6"/>
      <c r="AM1608" s="6"/>
      <c r="AN1608" s="6"/>
      <c r="AO1608" s="26"/>
      <c r="AP1608" s="11"/>
      <c r="AQ1608" s="7"/>
      <c r="AS1608" s="11"/>
      <c r="AT1608" s="6"/>
      <c r="AU1608" s="6"/>
      <c r="AV1608" s="6"/>
      <c r="AW1608" s="7"/>
      <c r="AX1608" s="6"/>
      <c r="AY1608" s="6"/>
      <c r="AZ1608" s="6"/>
      <c r="BA1608" s="6"/>
      <c r="BB1608" s="24"/>
      <c r="BD1608" s="6"/>
      <c r="BE1608" s="6"/>
      <c r="BF1608" s="6"/>
      <c r="BH1608" s="6"/>
      <c r="BI1608" s="6"/>
      <c r="BJ1608" s="6"/>
      <c r="BK1608" s="6"/>
      <c r="BL1608" s="6"/>
      <c r="BM1608" s="6"/>
    </row>
    <row r="1611" spans="1:65" x14ac:dyDescent="0.25">
      <c r="A1611" s="6"/>
      <c r="B1611" s="6"/>
      <c r="C1611" s="6"/>
      <c r="D1611" s="6"/>
      <c r="E1611" s="6"/>
      <c r="F1611" s="21"/>
      <c r="G1611" s="10"/>
      <c r="H1611" s="7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  <c r="AB1611" s="6"/>
      <c r="AC1611" s="6"/>
      <c r="AD1611" s="6"/>
      <c r="AE1611" s="6"/>
      <c r="AF1611" s="25"/>
      <c r="AG1611" s="7"/>
      <c r="AH1611" s="7"/>
      <c r="AI1611" s="7"/>
      <c r="AJ1611" s="6"/>
      <c r="AK1611" s="6"/>
      <c r="AL1611" s="6"/>
      <c r="AM1611" s="6"/>
      <c r="AN1611" s="6"/>
      <c r="AO1611" s="26"/>
      <c r="AP1611" s="11"/>
      <c r="AQ1611" s="7"/>
      <c r="AS1611" s="11"/>
      <c r="AT1611" s="6"/>
      <c r="AU1611" s="6"/>
      <c r="AV1611" s="6"/>
      <c r="AW1611" s="7"/>
      <c r="AX1611" s="6"/>
      <c r="AY1611" s="6"/>
      <c r="AZ1611" s="6"/>
      <c r="BA1611" s="6"/>
      <c r="BB1611" s="24"/>
      <c r="BD1611" s="6"/>
      <c r="BE1611" s="6"/>
      <c r="BF1611" s="6"/>
      <c r="BH1611" s="6"/>
      <c r="BI1611" s="6"/>
      <c r="BJ1611" s="6"/>
      <c r="BK1611" s="6"/>
      <c r="BL1611" s="6"/>
      <c r="BM1611" s="6"/>
    </row>
    <row r="1612" spans="1:65" x14ac:dyDescent="0.25">
      <c r="I1612" s="7"/>
      <c r="AH1612" s="7"/>
      <c r="AV1612" s="6"/>
    </row>
    <row r="1613" spans="1:65" x14ac:dyDescent="0.25">
      <c r="A1613" s="6"/>
      <c r="B1613" s="6"/>
      <c r="C1613" s="6"/>
      <c r="D1613" s="6"/>
      <c r="E1613" s="6"/>
      <c r="F1613" s="21"/>
      <c r="G1613" s="10"/>
      <c r="H1613" s="7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  <c r="AB1613" s="6"/>
      <c r="AC1613" s="6"/>
      <c r="AD1613" s="6"/>
      <c r="AE1613" s="6"/>
      <c r="AF1613" s="25"/>
      <c r="AG1613" s="7"/>
      <c r="AH1613" s="7"/>
      <c r="AI1613" s="7"/>
      <c r="AJ1613" s="6"/>
      <c r="AK1613" s="6"/>
      <c r="AL1613" s="6"/>
      <c r="AM1613" s="6"/>
      <c r="AN1613" s="6"/>
      <c r="AO1613" s="26"/>
      <c r="AP1613" s="11"/>
      <c r="AQ1613" s="7"/>
      <c r="AS1613" s="11"/>
      <c r="AT1613" s="6"/>
      <c r="AU1613" s="6"/>
      <c r="AW1613" s="7"/>
      <c r="AX1613" s="6"/>
      <c r="AY1613" s="6"/>
      <c r="AZ1613" s="6"/>
      <c r="BA1613" s="6"/>
      <c r="BB1613" s="24"/>
      <c r="BD1613" s="6"/>
      <c r="BE1613" s="6"/>
      <c r="BF1613" s="6"/>
      <c r="BH1613" s="6"/>
      <c r="BI1613" s="6"/>
      <c r="BJ1613" s="6"/>
      <c r="BK1613" s="6"/>
      <c r="BL1613" s="6"/>
      <c r="BM1613" s="6"/>
    </row>
    <row r="1614" spans="1:65" x14ac:dyDescent="0.25">
      <c r="AV1614" s="6"/>
    </row>
    <row r="1615" spans="1:65" x14ac:dyDescent="0.25">
      <c r="I1615" s="7"/>
      <c r="AH1615" s="7"/>
      <c r="AV1615" s="6"/>
    </row>
    <row r="1616" spans="1:65" x14ac:dyDescent="0.25">
      <c r="A1616" s="6"/>
      <c r="B1616" s="6"/>
      <c r="C1616" s="6"/>
      <c r="D1616" s="6"/>
      <c r="E1616" s="6"/>
      <c r="F1616" s="21"/>
      <c r="G1616" s="10"/>
      <c r="H1616" s="7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  <c r="AA1616" s="6"/>
      <c r="AB1616" s="6"/>
      <c r="AC1616" s="6"/>
      <c r="AD1616" s="6"/>
      <c r="AE1616" s="6"/>
      <c r="AF1616" s="25"/>
      <c r="AG1616" s="7"/>
      <c r="AH1616" s="7"/>
      <c r="AI1616" s="7"/>
      <c r="AJ1616" s="6"/>
      <c r="AK1616" s="6"/>
      <c r="AL1616" s="6"/>
      <c r="AM1616" s="6"/>
      <c r="AN1616" s="6"/>
      <c r="AO1616" s="26"/>
      <c r="AP1616" s="11"/>
      <c r="AQ1616" s="7"/>
      <c r="AS1616" s="11"/>
      <c r="AT1616" s="6"/>
      <c r="AU1616" s="6"/>
      <c r="AW1616" s="7"/>
      <c r="AX1616" s="6"/>
      <c r="AY1616" s="6"/>
      <c r="AZ1616" s="6"/>
      <c r="BA1616" s="6"/>
      <c r="BB1616" s="24"/>
      <c r="BD1616" s="6"/>
      <c r="BE1616" s="6"/>
      <c r="BF1616" s="6"/>
      <c r="BH1616" s="6"/>
      <c r="BI1616" s="6"/>
      <c r="BJ1616" s="6"/>
      <c r="BK1616" s="6"/>
      <c r="BL1616" s="6"/>
      <c r="BM1616" s="6"/>
    </row>
    <row r="1617" spans="1:65" x14ac:dyDescent="0.25">
      <c r="A1617" s="6"/>
      <c r="B1617" s="6"/>
      <c r="C1617" s="6"/>
      <c r="D1617" s="6"/>
      <c r="E1617" s="6"/>
      <c r="F1617" s="21"/>
      <c r="G1617" s="10"/>
      <c r="H1617" s="7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  <c r="AA1617" s="6"/>
      <c r="AB1617" s="6"/>
      <c r="AC1617" s="6"/>
      <c r="AD1617" s="6"/>
      <c r="AE1617" s="6"/>
      <c r="AF1617" s="25"/>
      <c r="AG1617" s="7"/>
      <c r="AH1617" s="7"/>
      <c r="AI1617" s="7"/>
      <c r="AJ1617" s="6"/>
      <c r="AK1617" s="6"/>
      <c r="AL1617" s="6"/>
      <c r="AM1617" s="6"/>
      <c r="AN1617" s="6"/>
      <c r="AO1617" s="26"/>
      <c r="AP1617" s="11"/>
      <c r="AQ1617" s="7"/>
      <c r="AS1617" s="11"/>
      <c r="AT1617" s="6"/>
      <c r="AU1617" s="6"/>
      <c r="AV1617" s="6"/>
      <c r="AW1617" s="7"/>
      <c r="AX1617" s="6"/>
      <c r="AY1617" s="6"/>
      <c r="AZ1617" s="6"/>
      <c r="BA1617" s="6"/>
      <c r="BB1617" s="24"/>
      <c r="BD1617" s="6"/>
      <c r="BE1617" s="6"/>
      <c r="BF1617" s="6"/>
      <c r="BH1617" s="6"/>
      <c r="BI1617" s="6"/>
      <c r="BJ1617" s="6"/>
      <c r="BK1617" s="6"/>
      <c r="BL1617" s="6"/>
      <c r="BM1617" s="6"/>
    </row>
    <row r="1620" spans="1:65" x14ac:dyDescent="0.25">
      <c r="A1620" s="6"/>
      <c r="B1620" s="6"/>
      <c r="C1620" s="6"/>
      <c r="D1620" s="6"/>
      <c r="E1620" s="6"/>
      <c r="F1620" s="21"/>
      <c r="G1620" s="10"/>
      <c r="H1620" s="7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  <c r="AA1620" s="6"/>
      <c r="AB1620" s="6"/>
      <c r="AC1620" s="6"/>
      <c r="AD1620" s="6"/>
      <c r="AE1620" s="6"/>
      <c r="AF1620" s="25"/>
      <c r="AG1620" s="7"/>
      <c r="AH1620" s="7"/>
      <c r="AI1620" s="7"/>
      <c r="AJ1620" s="6"/>
      <c r="AK1620" s="6"/>
      <c r="AL1620" s="6"/>
      <c r="AM1620" s="6"/>
      <c r="AN1620" s="6"/>
      <c r="AO1620" s="26"/>
      <c r="AP1620" s="11"/>
      <c r="AQ1620" s="7"/>
      <c r="AS1620" s="11"/>
      <c r="AT1620" s="6"/>
      <c r="AU1620" s="6"/>
      <c r="AV1620" s="6"/>
      <c r="AW1620" s="7"/>
      <c r="AX1620" s="6"/>
      <c r="AY1620" s="6"/>
      <c r="AZ1620" s="6"/>
      <c r="BA1620" s="6"/>
      <c r="BB1620" s="24"/>
      <c r="BD1620" s="6"/>
      <c r="BE1620" s="6"/>
      <c r="BF1620" s="6"/>
      <c r="BH1620" s="6"/>
      <c r="BI1620" s="6"/>
      <c r="BJ1620" s="6"/>
      <c r="BK1620" s="6"/>
      <c r="BL1620" s="6"/>
      <c r="BM1620" s="6"/>
    </row>
    <row r="1621" spans="1:65" x14ac:dyDescent="0.25">
      <c r="I1621" s="7"/>
      <c r="AH1621" s="7"/>
      <c r="AV1621" s="6"/>
    </row>
    <row r="1622" spans="1:65" x14ac:dyDescent="0.25">
      <c r="A1622" s="6"/>
      <c r="B1622" s="6"/>
      <c r="C1622" s="6"/>
      <c r="D1622" s="6"/>
      <c r="E1622" s="6"/>
      <c r="F1622" s="21"/>
      <c r="G1622" s="10"/>
      <c r="H1622" s="7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  <c r="AA1622" s="6"/>
      <c r="AB1622" s="6"/>
      <c r="AC1622" s="6"/>
      <c r="AD1622" s="6"/>
      <c r="AE1622" s="6"/>
      <c r="AF1622" s="25"/>
      <c r="AG1622" s="7"/>
      <c r="AH1622" s="7"/>
      <c r="AI1622" s="7"/>
      <c r="AJ1622" s="6"/>
      <c r="AK1622" s="6"/>
      <c r="AL1622" s="6"/>
      <c r="AM1622" s="6"/>
      <c r="AN1622" s="6"/>
      <c r="AO1622" s="26"/>
      <c r="AP1622" s="11"/>
      <c r="AQ1622" s="7"/>
      <c r="AS1622" s="11"/>
      <c r="AT1622" s="6"/>
      <c r="AU1622" s="6"/>
      <c r="AW1622" s="7"/>
      <c r="AX1622" s="6"/>
      <c r="AY1622" s="6"/>
      <c r="AZ1622" s="6"/>
      <c r="BA1622" s="6"/>
      <c r="BB1622" s="24"/>
      <c r="BD1622" s="6"/>
      <c r="BE1622" s="6"/>
      <c r="BF1622" s="6"/>
      <c r="BH1622" s="6"/>
      <c r="BI1622" s="6"/>
      <c r="BJ1622" s="6"/>
      <c r="BK1622" s="6"/>
      <c r="BL1622" s="6"/>
      <c r="BM1622" s="6"/>
    </row>
    <row r="1623" spans="1:65" x14ac:dyDescent="0.25">
      <c r="AV1623" s="6"/>
    </row>
    <row r="1624" spans="1:65" x14ac:dyDescent="0.25">
      <c r="I1624" s="7"/>
      <c r="AH1624" s="7"/>
      <c r="AV1624" s="6"/>
    </row>
    <row r="1625" spans="1:65" x14ac:dyDescent="0.25">
      <c r="A1625" s="6"/>
      <c r="B1625" s="6"/>
      <c r="C1625" s="6"/>
      <c r="D1625" s="6"/>
      <c r="E1625" s="6"/>
      <c r="F1625" s="21"/>
      <c r="G1625" s="10"/>
      <c r="H1625" s="7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  <c r="AB1625" s="6"/>
      <c r="AC1625" s="6"/>
      <c r="AD1625" s="6"/>
      <c r="AE1625" s="6"/>
      <c r="AF1625" s="25"/>
      <c r="AG1625" s="7"/>
      <c r="AH1625" s="7"/>
      <c r="AI1625" s="7"/>
      <c r="AJ1625" s="6"/>
      <c r="AK1625" s="6"/>
      <c r="AL1625" s="6"/>
      <c r="AM1625" s="6"/>
      <c r="AN1625" s="6"/>
      <c r="AO1625" s="26"/>
      <c r="AP1625" s="11"/>
      <c r="AQ1625" s="7"/>
      <c r="AS1625" s="11"/>
      <c r="AT1625" s="6"/>
      <c r="AU1625" s="6"/>
      <c r="AW1625" s="7"/>
      <c r="AX1625" s="6"/>
      <c r="AY1625" s="6"/>
      <c r="AZ1625" s="6"/>
      <c r="BA1625" s="6"/>
      <c r="BB1625" s="24"/>
      <c r="BD1625" s="6"/>
      <c r="BE1625" s="6"/>
      <c r="BF1625" s="6"/>
      <c r="BH1625" s="6"/>
      <c r="BI1625" s="6"/>
      <c r="BJ1625" s="6"/>
      <c r="BK1625" s="6"/>
      <c r="BL1625" s="6"/>
      <c r="BM1625" s="6"/>
    </row>
    <row r="1626" spans="1:65" x14ac:dyDescent="0.25">
      <c r="A1626" s="6"/>
      <c r="B1626" s="6"/>
      <c r="C1626" s="6"/>
      <c r="D1626" s="6"/>
      <c r="E1626" s="6"/>
      <c r="F1626" s="21"/>
      <c r="G1626" s="10"/>
      <c r="H1626" s="7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  <c r="AB1626" s="6"/>
      <c r="AC1626" s="6"/>
      <c r="AD1626" s="6"/>
      <c r="AE1626" s="6"/>
      <c r="AF1626" s="25"/>
      <c r="AG1626" s="7"/>
      <c r="AH1626" s="7"/>
      <c r="AI1626" s="7"/>
      <c r="AJ1626" s="6"/>
      <c r="AK1626" s="6"/>
      <c r="AL1626" s="6"/>
      <c r="AM1626" s="6"/>
      <c r="AN1626" s="6"/>
      <c r="AO1626" s="26"/>
      <c r="AP1626" s="11"/>
      <c r="AQ1626" s="7"/>
      <c r="AS1626" s="11"/>
      <c r="AT1626" s="6"/>
      <c r="AU1626" s="6"/>
      <c r="AV1626" s="6"/>
      <c r="AW1626" s="7"/>
      <c r="AX1626" s="6"/>
      <c r="AY1626" s="6"/>
      <c r="AZ1626" s="6"/>
      <c r="BA1626" s="6"/>
      <c r="BB1626" s="24"/>
      <c r="BD1626" s="6"/>
      <c r="BE1626" s="6"/>
      <c r="BF1626" s="6"/>
      <c r="BH1626" s="6"/>
      <c r="BI1626" s="6"/>
      <c r="BJ1626" s="6"/>
      <c r="BK1626" s="6"/>
      <c r="BL1626" s="6"/>
      <c r="BM1626" s="6"/>
    </row>
    <row r="1629" spans="1:65" x14ac:dyDescent="0.25">
      <c r="A1629" s="6"/>
      <c r="B1629" s="6"/>
      <c r="C1629" s="6"/>
      <c r="D1629" s="6"/>
      <c r="E1629" s="6"/>
      <c r="F1629" s="21"/>
      <c r="G1629" s="10"/>
      <c r="H1629" s="7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  <c r="AB1629" s="6"/>
      <c r="AC1629" s="6"/>
      <c r="AD1629" s="6"/>
      <c r="AE1629" s="6"/>
      <c r="AF1629" s="25"/>
      <c r="AG1629" s="7"/>
      <c r="AH1629" s="7"/>
      <c r="AI1629" s="7"/>
      <c r="AJ1629" s="6"/>
      <c r="AK1629" s="6"/>
      <c r="AL1629" s="6"/>
      <c r="AM1629" s="6"/>
      <c r="AN1629" s="6"/>
      <c r="AO1629" s="26"/>
      <c r="AP1629" s="11"/>
      <c r="AQ1629" s="7"/>
      <c r="AS1629" s="11"/>
      <c r="AT1629" s="6"/>
      <c r="AU1629" s="6"/>
      <c r="AV1629" s="6"/>
      <c r="AW1629" s="7"/>
      <c r="AX1629" s="6"/>
      <c r="AY1629" s="6"/>
      <c r="AZ1629" s="6"/>
      <c r="BA1629" s="6"/>
      <c r="BB1629" s="24"/>
      <c r="BD1629" s="6"/>
      <c r="BE1629" s="6"/>
      <c r="BF1629" s="6"/>
      <c r="BH1629" s="6"/>
      <c r="BI1629" s="6"/>
      <c r="BJ1629" s="6"/>
      <c r="BK1629" s="6"/>
      <c r="BL1629" s="6"/>
      <c r="BM1629" s="6"/>
    </row>
    <row r="1630" spans="1:65" x14ac:dyDescent="0.25">
      <c r="I1630" s="7"/>
      <c r="AH1630" s="7"/>
      <c r="AV1630" s="6"/>
    </row>
    <row r="1631" spans="1:65" x14ac:dyDescent="0.25">
      <c r="A1631" s="6"/>
      <c r="B1631" s="6"/>
      <c r="C1631" s="6"/>
      <c r="D1631" s="6"/>
      <c r="E1631" s="6"/>
      <c r="F1631" s="21"/>
      <c r="G1631" s="10"/>
      <c r="H1631" s="7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  <c r="AB1631" s="6"/>
      <c r="AC1631" s="6"/>
      <c r="AD1631" s="6"/>
      <c r="AE1631" s="6"/>
      <c r="AF1631" s="25"/>
      <c r="AG1631" s="7"/>
      <c r="AH1631" s="7"/>
      <c r="AI1631" s="7"/>
      <c r="AJ1631" s="6"/>
      <c r="AK1631" s="6"/>
      <c r="AL1631" s="6"/>
      <c r="AM1631" s="6"/>
      <c r="AN1631" s="6"/>
      <c r="AO1631" s="26"/>
      <c r="AP1631" s="11"/>
      <c r="AQ1631" s="7"/>
      <c r="AS1631" s="11"/>
      <c r="AT1631" s="6"/>
      <c r="AU1631" s="6"/>
      <c r="AW1631" s="7"/>
      <c r="AX1631" s="6"/>
      <c r="AY1631" s="6"/>
      <c r="AZ1631" s="6"/>
      <c r="BA1631" s="6"/>
      <c r="BB1631" s="24"/>
      <c r="BD1631" s="6"/>
      <c r="BE1631" s="6"/>
      <c r="BF1631" s="6"/>
      <c r="BH1631" s="6"/>
      <c r="BI1631" s="6"/>
      <c r="BJ1631" s="6"/>
      <c r="BK1631" s="6"/>
      <c r="BL1631" s="6"/>
      <c r="BM1631" s="6"/>
    </row>
    <row r="1632" spans="1:65" x14ac:dyDescent="0.25">
      <c r="AV1632" s="6"/>
    </row>
    <row r="1633" spans="1:65" x14ac:dyDescent="0.25">
      <c r="I1633" s="7"/>
      <c r="AH1633" s="7"/>
      <c r="AV1633" s="6"/>
    </row>
    <row r="1634" spans="1:65" x14ac:dyDescent="0.25">
      <c r="A1634" s="6"/>
      <c r="B1634" s="6"/>
      <c r="C1634" s="6"/>
      <c r="D1634" s="6"/>
      <c r="E1634" s="6"/>
      <c r="F1634" s="21"/>
      <c r="G1634" s="10"/>
      <c r="H1634" s="7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  <c r="AA1634" s="6"/>
      <c r="AB1634" s="6"/>
      <c r="AC1634" s="6"/>
      <c r="AD1634" s="6"/>
      <c r="AE1634" s="6"/>
      <c r="AF1634" s="25"/>
      <c r="AG1634" s="7"/>
      <c r="AH1634" s="7"/>
      <c r="AI1634" s="7"/>
      <c r="AJ1634" s="6"/>
      <c r="AK1634" s="6"/>
      <c r="AL1634" s="6"/>
      <c r="AM1634" s="6"/>
      <c r="AN1634" s="6"/>
      <c r="AO1634" s="26"/>
      <c r="AP1634" s="11"/>
      <c r="AQ1634" s="7"/>
      <c r="AS1634" s="11"/>
      <c r="AT1634" s="6"/>
      <c r="AU1634" s="6"/>
      <c r="AW1634" s="7"/>
      <c r="AX1634" s="6"/>
      <c r="AY1634" s="6"/>
      <c r="AZ1634" s="6"/>
      <c r="BA1634" s="6"/>
      <c r="BB1634" s="24"/>
      <c r="BD1634" s="6"/>
      <c r="BE1634" s="6"/>
      <c r="BF1634" s="6"/>
      <c r="BH1634" s="6"/>
      <c r="BI1634" s="6"/>
      <c r="BJ1634" s="6"/>
      <c r="BK1634" s="6"/>
      <c r="BL1634" s="6"/>
      <c r="BM1634" s="6"/>
    </row>
    <row r="1635" spans="1:65" x14ac:dyDescent="0.25">
      <c r="A1635" s="6"/>
      <c r="B1635" s="6"/>
      <c r="C1635" s="6"/>
      <c r="D1635" s="6"/>
      <c r="E1635" s="6"/>
      <c r="F1635" s="21"/>
      <c r="G1635" s="10"/>
      <c r="H1635" s="7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  <c r="AA1635" s="6"/>
      <c r="AB1635" s="6"/>
      <c r="AC1635" s="6"/>
      <c r="AD1635" s="6"/>
      <c r="AE1635" s="6"/>
      <c r="AF1635" s="25"/>
      <c r="AG1635" s="7"/>
      <c r="AH1635" s="7"/>
      <c r="AI1635" s="7"/>
      <c r="AJ1635" s="6"/>
      <c r="AK1635" s="6"/>
      <c r="AL1635" s="6"/>
      <c r="AM1635" s="6"/>
      <c r="AN1635" s="6"/>
      <c r="AO1635" s="26"/>
      <c r="AP1635" s="11"/>
      <c r="AQ1635" s="7"/>
      <c r="AS1635" s="11"/>
      <c r="AT1635" s="6"/>
      <c r="AU1635" s="6"/>
      <c r="AV1635" s="6"/>
      <c r="AW1635" s="7"/>
      <c r="AX1635" s="6"/>
      <c r="AY1635" s="6"/>
      <c r="AZ1635" s="6"/>
      <c r="BA1635" s="6"/>
      <c r="BB1635" s="24"/>
      <c r="BD1635" s="6"/>
      <c r="BE1635" s="6"/>
      <c r="BF1635" s="6"/>
      <c r="BH1635" s="6"/>
      <c r="BI1635" s="6"/>
      <c r="BJ1635" s="6"/>
      <c r="BK1635" s="6"/>
      <c r="BL1635" s="6"/>
      <c r="BM1635" s="6"/>
    </row>
    <row r="1638" spans="1:65" x14ac:dyDescent="0.25">
      <c r="A1638" s="6"/>
      <c r="B1638" s="6"/>
      <c r="C1638" s="6"/>
      <c r="D1638" s="6"/>
      <c r="E1638" s="6"/>
      <c r="F1638" s="21"/>
      <c r="G1638" s="10"/>
      <c r="H1638" s="7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  <c r="AA1638" s="6"/>
      <c r="AB1638" s="6"/>
      <c r="AC1638" s="6"/>
      <c r="AD1638" s="6"/>
      <c r="AE1638" s="6"/>
      <c r="AF1638" s="25"/>
      <c r="AG1638" s="7"/>
      <c r="AH1638" s="7"/>
      <c r="AI1638" s="7"/>
      <c r="AJ1638" s="6"/>
      <c r="AK1638" s="6"/>
      <c r="AL1638" s="6"/>
      <c r="AM1638" s="6"/>
      <c r="AN1638" s="6"/>
      <c r="AO1638" s="26"/>
      <c r="AP1638" s="11"/>
      <c r="AQ1638" s="7"/>
      <c r="AS1638" s="11"/>
      <c r="AT1638" s="6"/>
      <c r="AU1638" s="6"/>
      <c r="AV1638" s="6"/>
      <c r="AW1638" s="7"/>
      <c r="AX1638" s="6"/>
      <c r="AY1638" s="6"/>
      <c r="AZ1638" s="6"/>
      <c r="BA1638" s="6"/>
      <c r="BB1638" s="24"/>
      <c r="BD1638" s="6"/>
      <c r="BE1638" s="6"/>
      <c r="BF1638" s="6"/>
      <c r="BH1638" s="6"/>
      <c r="BI1638" s="6"/>
      <c r="BJ1638" s="6"/>
      <c r="BK1638" s="6"/>
      <c r="BL1638" s="6"/>
      <c r="BM1638" s="6"/>
    </row>
    <row r="1639" spans="1:65" x14ac:dyDescent="0.25">
      <c r="I1639" s="7"/>
      <c r="AH1639" s="7"/>
      <c r="AV1639" s="6"/>
    </row>
    <row r="1640" spans="1:65" x14ac:dyDescent="0.25">
      <c r="A1640" s="6"/>
      <c r="B1640" s="6"/>
      <c r="C1640" s="6"/>
      <c r="D1640" s="6"/>
      <c r="E1640" s="6"/>
      <c r="F1640" s="21"/>
      <c r="G1640" s="10"/>
      <c r="H1640" s="7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  <c r="AB1640" s="6"/>
      <c r="AC1640" s="6"/>
      <c r="AD1640" s="6"/>
      <c r="AE1640" s="6"/>
      <c r="AF1640" s="25"/>
      <c r="AG1640" s="7"/>
      <c r="AH1640" s="7"/>
      <c r="AI1640" s="7"/>
      <c r="AJ1640" s="6"/>
      <c r="AK1640" s="6"/>
      <c r="AL1640" s="6"/>
      <c r="AM1640" s="6"/>
      <c r="AN1640" s="6"/>
      <c r="AO1640" s="26"/>
      <c r="AP1640" s="11"/>
      <c r="AQ1640" s="7"/>
      <c r="AS1640" s="11"/>
      <c r="AT1640" s="6"/>
      <c r="AU1640" s="6"/>
      <c r="AW1640" s="7"/>
      <c r="AX1640" s="6"/>
      <c r="AY1640" s="6"/>
      <c r="AZ1640" s="6"/>
      <c r="BA1640" s="6"/>
      <c r="BB1640" s="24"/>
      <c r="BD1640" s="6"/>
      <c r="BE1640" s="6"/>
      <c r="BF1640" s="6"/>
      <c r="BH1640" s="6"/>
      <c r="BI1640" s="6"/>
      <c r="BJ1640" s="6"/>
      <c r="BK1640" s="6"/>
      <c r="BL1640" s="6"/>
      <c r="BM1640" s="6"/>
    </row>
    <row r="1641" spans="1:65" x14ac:dyDescent="0.25">
      <c r="AV1641" s="6"/>
    </row>
    <row r="1642" spans="1:65" x14ac:dyDescent="0.25">
      <c r="I1642" s="7"/>
      <c r="AH1642" s="7"/>
      <c r="AV1642" s="6"/>
    </row>
    <row r="1643" spans="1:65" x14ac:dyDescent="0.25">
      <c r="A1643" s="6"/>
      <c r="B1643" s="6"/>
      <c r="C1643" s="6"/>
      <c r="D1643" s="6"/>
      <c r="E1643" s="6"/>
      <c r="F1643" s="21"/>
      <c r="G1643" s="10"/>
      <c r="H1643" s="7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  <c r="AB1643" s="6"/>
      <c r="AC1643" s="6"/>
      <c r="AD1643" s="6"/>
      <c r="AE1643" s="6"/>
      <c r="AF1643" s="25"/>
      <c r="AG1643" s="7"/>
      <c r="AH1643" s="7"/>
      <c r="AI1643" s="7"/>
      <c r="AJ1643" s="6"/>
      <c r="AK1643" s="6"/>
      <c r="AL1643" s="6"/>
      <c r="AM1643" s="6"/>
      <c r="AN1643" s="6"/>
      <c r="AO1643" s="26"/>
      <c r="AP1643" s="11"/>
      <c r="AQ1643" s="7"/>
      <c r="AS1643" s="11"/>
      <c r="AT1643" s="6"/>
      <c r="AU1643" s="6"/>
      <c r="AW1643" s="7"/>
      <c r="AX1643" s="6"/>
      <c r="AY1643" s="6"/>
      <c r="AZ1643" s="6"/>
      <c r="BA1643" s="6"/>
      <c r="BB1643" s="24"/>
      <c r="BD1643" s="6"/>
      <c r="BE1643" s="6"/>
      <c r="BF1643" s="6"/>
      <c r="BH1643" s="6"/>
      <c r="BI1643" s="6"/>
      <c r="BJ1643" s="6"/>
      <c r="BK1643" s="6"/>
      <c r="BL1643" s="6"/>
      <c r="BM1643" s="6"/>
    </row>
    <row r="1644" spans="1:65" x14ac:dyDescent="0.25">
      <c r="A1644" s="6"/>
      <c r="B1644" s="6"/>
      <c r="C1644" s="6"/>
      <c r="D1644" s="6"/>
      <c r="E1644" s="6"/>
      <c r="F1644" s="21"/>
      <c r="G1644" s="10"/>
      <c r="H1644" s="7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  <c r="AB1644" s="6"/>
      <c r="AC1644" s="6"/>
      <c r="AD1644" s="6"/>
      <c r="AE1644" s="6"/>
      <c r="AF1644" s="25"/>
      <c r="AG1644" s="7"/>
      <c r="AH1644" s="7"/>
      <c r="AI1644" s="7"/>
      <c r="AJ1644" s="6"/>
      <c r="AK1644" s="6"/>
      <c r="AL1644" s="6"/>
      <c r="AM1644" s="6"/>
      <c r="AN1644" s="6"/>
      <c r="AO1644" s="26"/>
      <c r="AP1644" s="11"/>
      <c r="AQ1644" s="7"/>
      <c r="AS1644" s="11"/>
      <c r="AT1644" s="6"/>
      <c r="AU1644" s="6"/>
      <c r="AV1644" s="6"/>
      <c r="AW1644" s="7"/>
      <c r="AX1644" s="6"/>
      <c r="AY1644" s="6"/>
      <c r="AZ1644" s="6"/>
      <c r="BA1644" s="6"/>
      <c r="BB1644" s="24"/>
      <c r="BD1644" s="6"/>
      <c r="BE1644" s="6"/>
      <c r="BF1644" s="6"/>
      <c r="BH1644" s="6"/>
      <c r="BI1644" s="6"/>
      <c r="BJ1644" s="6"/>
      <c r="BK1644" s="6"/>
      <c r="BL1644" s="6"/>
      <c r="BM1644" s="6"/>
    </row>
    <row r="1647" spans="1:65" x14ac:dyDescent="0.25">
      <c r="A1647" s="6"/>
      <c r="B1647" s="6"/>
      <c r="C1647" s="6"/>
      <c r="D1647" s="6"/>
      <c r="E1647" s="6"/>
      <c r="F1647" s="21"/>
      <c r="G1647" s="10"/>
      <c r="H1647" s="7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  <c r="AB1647" s="6"/>
      <c r="AC1647" s="6"/>
      <c r="AD1647" s="6"/>
      <c r="AE1647" s="6"/>
      <c r="AF1647" s="25"/>
      <c r="AG1647" s="7"/>
      <c r="AH1647" s="7"/>
      <c r="AI1647" s="7"/>
      <c r="AJ1647" s="6"/>
      <c r="AK1647" s="6"/>
      <c r="AL1647" s="6"/>
      <c r="AM1647" s="6"/>
      <c r="AN1647" s="6"/>
      <c r="AO1647" s="26"/>
      <c r="AP1647" s="11"/>
      <c r="AQ1647" s="7"/>
      <c r="AS1647" s="11"/>
      <c r="AT1647" s="6"/>
      <c r="AU1647" s="6"/>
      <c r="AV1647" s="6"/>
      <c r="AW1647" s="7"/>
      <c r="AX1647" s="6"/>
      <c r="AY1647" s="6"/>
      <c r="AZ1647" s="6"/>
      <c r="BA1647" s="6"/>
      <c r="BB1647" s="24"/>
      <c r="BD1647" s="6"/>
      <c r="BE1647" s="6"/>
      <c r="BF1647" s="6"/>
      <c r="BH1647" s="6"/>
      <c r="BI1647" s="6"/>
      <c r="BJ1647" s="6"/>
      <c r="BK1647" s="6"/>
      <c r="BL1647" s="6"/>
      <c r="BM1647" s="6"/>
    </row>
    <row r="1648" spans="1:65" x14ac:dyDescent="0.25">
      <c r="I1648" s="7"/>
      <c r="AH1648" s="7"/>
      <c r="AV1648" s="6"/>
    </row>
    <row r="1649" spans="1:65" x14ac:dyDescent="0.25">
      <c r="A1649" s="6"/>
      <c r="B1649" s="6"/>
      <c r="C1649" s="6"/>
      <c r="D1649" s="6"/>
      <c r="E1649" s="6"/>
      <c r="F1649" s="21"/>
      <c r="G1649" s="10"/>
      <c r="H1649" s="7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  <c r="AB1649" s="6"/>
      <c r="AC1649" s="6"/>
      <c r="AD1649" s="6"/>
      <c r="AE1649" s="6"/>
      <c r="AF1649" s="25"/>
      <c r="AG1649" s="7"/>
      <c r="AH1649" s="7"/>
      <c r="AI1649" s="7"/>
      <c r="AJ1649" s="6"/>
      <c r="AK1649" s="6"/>
      <c r="AL1649" s="6"/>
      <c r="AM1649" s="6"/>
      <c r="AN1649" s="6"/>
      <c r="AO1649" s="26"/>
      <c r="AP1649" s="11"/>
      <c r="AQ1649" s="7"/>
      <c r="AS1649" s="11"/>
      <c r="AT1649" s="6"/>
      <c r="AU1649" s="6"/>
      <c r="AW1649" s="7"/>
      <c r="AX1649" s="6"/>
      <c r="AY1649" s="6"/>
      <c r="AZ1649" s="6"/>
      <c r="BA1649" s="6"/>
      <c r="BB1649" s="24"/>
      <c r="BD1649" s="6"/>
      <c r="BE1649" s="6"/>
      <c r="BF1649" s="6"/>
      <c r="BH1649" s="6"/>
      <c r="BI1649" s="6"/>
      <c r="BJ1649" s="6"/>
      <c r="BK1649" s="6"/>
      <c r="BL1649" s="6"/>
      <c r="BM1649" s="6"/>
    </row>
    <row r="1650" spans="1:65" x14ac:dyDescent="0.25">
      <c r="AV1650" s="6"/>
    </row>
    <row r="1651" spans="1:65" x14ac:dyDescent="0.25">
      <c r="I1651" s="7"/>
      <c r="AH1651" s="7"/>
      <c r="AV1651" s="6"/>
    </row>
    <row r="1652" spans="1:65" x14ac:dyDescent="0.25">
      <c r="A1652" s="6"/>
      <c r="B1652" s="6"/>
      <c r="C1652" s="6"/>
      <c r="D1652" s="6"/>
      <c r="E1652" s="6"/>
      <c r="F1652" s="21"/>
      <c r="G1652" s="10"/>
      <c r="H1652" s="7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  <c r="AB1652" s="6"/>
      <c r="AC1652" s="6"/>
      <c r="AD1652" s="6"/>
      <c r="AE1652" s="6"/>
      <c r="AF1652" s="25"/>
      <c r="AG1652" s="7"/>
      <c r="AH1652" s="7"/>
      <c r="AI1652" s="7"/>
      <c r="AJ1652" s="6"/>
      <c r="AK1652" s="6"/>
      <c r="AL1652" s="6"/>
      <c r="AM1652" s="6"/>
      <c r="AN1652" s="6"/>
      <c r="AO1652" s="26"/>
      <c r="AP1652" s="11"/>
      <c r="AQ1652" s="7"/>
      <c r="AS1652" s="11"/>
      <c r="AT1652" s="6"/>
      <c r="AU1652" s="6"/>
      <c r="AW1652" s="7"/>
      <c r="AX1652" s="6"/>
      <c r="AY1652" s="6"/>
      <c r="AZ1652" s="6"/>
      <c r="BA1652" s="6"/>
      <c r="BB1652" s="24"/>
      <c r="BD1652" s="6"/>
      <c r="BE1652" s="6"/>
      <c r="BF1652" s="6"/>
      <c r="BH1652" s="6"/>
      <c r="BI1652" s="6"/>
      <c r="BJ1652" s="6"/>
      <c r="BK1652" s="6"/>
      <c r="BL1652" s="6"/>
      <c r="BM1652" s="6"/>
    </row>
    <row r="1653" spans="1:65" x14ac:dyDescent="0.25">
      <c r="A1653" s="6"/>
      <c r="B1653" s="6"/>
      <c r="C1653" s="6"/>
      <c r="D1653" s="6"/>
      <c r="E1653" s="6"/>
      <c r="F1653" s="6"/>
      <c r="G1653" s="6"/>
      <c r="H1653" s="7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  <c r="AB1653" s="6"/>
      <c r="AC1653" s="6"/>
      <c r="AD1653" s="6"/>
      <c r="AE1653" s="6"/>
      <c r="AF1653" s="6"/>
      <c r="AG1653" s="7"/>
      <c r="AH1653" s="7"/>
      <c r="AI1653" s="7"/>
      <c r="AJ1653" s="6"/>
      <c r="AK1653" s="6"/>
      <c r="AL1653" s="6"/>
      <c r="AM1653" s="6"/>
      <c r="AN1653" s="6"/>
      <c r="AO1653" s="6"/>
      <c r="AP1653" s="6"/>
      <c r="AQ1653" s="7"/>
      <c r="AS1653" s="6"/>
      <c r="AT1653" s="6"/>
      <c r="AU1653" s="6"/>
      <c r="AV1653" s="6"/>
      <c r="AW1653" s="7"/>
      <c r="AX1653" s="6"/>
      <c r="AY1653" s="6"/>
      <c r="AZ1653" s="6"/>
      <c r="BA1653" s="6"/>
      <c r="BB1653" s="6"/>
      <c r="BD1653" s="6"/>
      <c r="BE1653" s="6"/>
      <c r="BF1653" s="6"/>
      <c r="BH1653" s="6"/>
      <c r="BI1653" s="6"/>
      <c r="BJ1653" s="6"/>
      <c r="BK1653" s="6"/>
      <c r="BL1653" s="6"/>
      <c r="BM1653" s="6"/>
    </row>
    <row r="1656" spans="1:65" x14ac:dyDescent="0.25">
      <c r="A1656" s="6"/>
      <c r="B1656" s="6"/>
      <c r="C1656" s="6"/>
      <c r="D1656" s="6"/>
      <c r="E1656" s="6"/>
      <c r="F1656" s="21"/>
      <c r="G1656" s="10"/>
      <c r="H1656" s="7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  <c r="AB1656" s="6"/>
      <c r="AC1656" s="6"/>
      <c r="AD1656" s="6"/>
      <c r="AE1656" s="6"/>
      <c r="AF1656" s="25"/>
      <c r="AG1656" s="7"/>
      <c r="AH1656" s="7"/>
      <c r="AI1656" s="7"/>
      <c r="AJ1656" s="6"/>
      <c r="AK1656" s="6"/>
      <c r="AL1656" s="6"/>
      <c r="AM1656" s="6"/>
      <c r="AN1656" s="6"/>
      <c r="AO1656" s="26"/>
      <c r="AP1656" s="11"/>
      <c r="AQ1656" s="7"/>
      <c r="AS1656" s="11"/>
      <c r="AT1656" s="6"/>
      <c r="AU1656" s="6"/>
      <c r="AV1656" s="6"/>
      <c r="AW1656" s="7"/>
      <c r="AX1656" s="6"/>
      <c r="AY1656" s="6"/>
      <c r="AZ1656" s="6"/>
      <c r="BA1656" s="6"/>
      <c r="BB1656" s="24"/>
      <c r="BD1656" s="6"/>
      <c r="BE1656" s="6"/>
      <c r="BF1656" s="6"/>
      <c r="BH1656" s="6"/>
      <c r="BI1656" s="6"/>
      <c r="BJ1656" s="6"/>
      <c r="BK1656" s="6"/>
      <c r="BL1656" s="6"/>
      <c r="BM1656" s="6"/>
    </row>
    <row r="1657" spans="1:65" x14ac:dyDescent="0.25">
      <c r="I1657" s="7"/>
      <c r="AH1657" s="7"/>
      <c r="AV1657" s="6"/>
    </row>
    <row r="1658" spans="1:65" x14ac:dyDescent="0.25">
      <c r="A1658" s="6"/>
      <c r="B1658" s="6"/>
      <c r="C1658" s="6"/>
      <c r="D1658" s="6"/>
      <c r="E1658" s="6"/>
      <c r="F1658" s="21"/>
      <c r="G1658" s="10"/>
      <c r="H1658" s="7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  <c r="AB1658" s="6"/>
      <c r="AC1658" s="6"/>
      <c r="AD1658" s="6"/>
      <c r="AE1658" s="6"/>
      <c r="AF1658" s="25"/>
      <c r="AG1658" s="7"/>
      <c r="AH1658" s="7"/>
      <c r="AI1658" s="7"/>
      <c r="AJ1658" s="6"/>
      <c r="AK1658" s="6"/>
      <c r="AL1658" s="6"/>
      <c r="AM1658" s="6"/>
      <c r="AN1658" s="6"/>
      <c r="AO1658" s="26"/>
      <c r="AP1658" s="11"/>
      <c r="AQ1658" s="7"/>
      <c r="AS1658" s="11"/>
      <c r="AT1658" s="6"/>
      <c r="AU1658" s="6"/>
      <c r="AW1658" s="7"/>
      <c r="AX1658" s="6"/>
      <c r="AY1658" s="6"/>
      <c r="AZ1658" s="6"/>
      <c r="BA1658" s="6"/>
      <c r="BB1658" s="24"/>
      <c r="BD1658" s="6"/>
      <c r="BE1658" s="6"/>
      <c r="BF1658" s="6"/>
      <c r="BH1658" s="6"/>
      <c r="BI1658" s="6"/>
      <c r="BJ1658" s="6"/>
      <c r="BK1658" s="6"/>
      <c r="BL1658" s="6"/>
      <c r="BM1658" s="6"/>
    </row>
    <row r="1659" spans="1:65" x14ac:dyDescent="0.25">
      <c r="AV1659" s="6"/>
    </row>
    <row r="1660" spans="1:65" x14ac:dyDescent="0.25">
      <c r="I1660" s="7"/>
      <c r="AH1660" s="7"/>
      <c r="AV1660" s="6"/>
    </row>
    <row r="1661" spans="1:65" x14ac:dyDescent="0.25">
      <c r="A1661" s="6"/>
      <c r="B1661" s="6"/>
      <c r="C1661" s="6"/>
      <c r="D1661" s="6"/>
      <c r="E1661" s="6"/>
      <c r="F1661" s="21"/>
      <c r="G1661" s="10"/>
      <c r="H1661" s="7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  <c r="AB1661" s="6"/>
      <c r="AC1661" s="6"/>
      <c r="AD1661" s="6"/>
      <c r="AE1661" s="6"/>
      <c r="AF1661" s="25"/>
      <c r="AG1661" s="7"/>
      <c r="AH1661" s="7"/>
      <c r="AI1661" s="7"/>
      <c r="AJ1661" s="6"/>
      <c r="AK1661" s="6"/>
      <c r="AL1661" s="6"/>
      <c r="AM1661" s="6"/>
      <c r="AN1661" s="6"/>
      <c r="AO1661" s="26"/>
      <c r="AP1661" s="11"/>
      <c r="AQ1661" s="7"/>
      <c r="AS1661" s="11"/>
      <c r="AT1661" s="6"/>
      <c r="AU1661" s="6"/>
      <c r="AW1661" s="7"/>
      <c r="AX1661" s="6"/>
      <c r="AY1661" s="6"/>
      <c r="AZ1661" s="6"/>
      <c r="BA1661" s="6"/>
      <c r="BB1661" s="24"/>
      <c r="BD1661" s="6"/>
      <c r="BE1661" s="6"/>
      <c r="BF1661" s="6"/>
      <c r="BH1661" s="6"/>
      <c r="BI1661" s="6"/>
      <c r="BJ1661" s="6"/>
      <c r="BK1661" s="6"/>
      <c r="BL1661" s="6"/>
      <c r="BM1661" s="6"/>
    </row>
    <row r="1662" spans="1:65" x14ac:dyDescent="0.25">
      <c r="A1662" s="6"/>
      <c r="B1662" s="6"/>
      <c r="C1662" s="6"/>
      <c r="D1662" s="6"/>
      <c r="E1662" s="6"/>
      <c r="F1662" s="21"/>
      <c r="G1662" s="10"/>
      <c r="H1662" s="7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  <c r="AB1662" s="6"/>
      <c r="AC1662" s="6"/>
      <c r="AD1662" s="6"/>
      <c r="AE1662" s="6"/>
      <c r="AF1662" s="25"/>
      <c r="AG1662" s="7"/>
      <c r="AH1662" s="7"/>
      <c r="AI1662" s="7"/>
      <c r="AJ1662" s="6"/>
      <c r="AK1662" s="6"/>
      <c r="AL1662" s="6"/>
      <c r="AM1662" s="6"/>
      <c r="AN1662" s="6"/>
      <c r="AO1662" s="26"/>
      <c r="AP1662" s="11"/>
      <c r="AQ1662" s="7"/>
      <c r="AS1662" s="11"/>
      <c r="AT1662" s="6"/>
      <c r="AU1662" s="6"/>
      <c r="AV1662" s="6"/>
      <c r="AW1662" s="7"/>
      <c r="AX1662" s="6"/>
      <c r="AY1662" s="6"/>
      <c r="AZ1662" s="6"/>
      <c r="BA1662" s="6"/>
      <c r="BB1662" s="24"/>
      <c r="BD1662" s="6"/>
      <c r="BE1662" s="6"/>
      <c r="BF1662" s="6"/>
      <c r="BH1662" s="6"/>
      <c r="BI1662" s="6"/>
      <c r="BJ1662" s="6"/>
      <c r="BK1662" s="6"/>
      <c r="BL1662" s="6"/>
      <c r="BM1662" s="6"/>
    </row>
    <row r="1665" spans="1:65" x14ac:dyDescent="0.25">
      <c r="A1665" s="6"/>
      <c r="B1665" s="6"/>
      <c r="C1665" s="6"/>
      <c r="D1665" s="6"/>
      <c r="E1665" s="6"/>
      <c r="F1665" s="21"/>
      <c r="G1665" s="10"/>
      <c r="H1665" s="7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  <c r="AB1665" s="6"/>
      <c r="AC1665" s="6"/>
      <c r="AD1665" s="6"/>
      <c r="AE1665" s="6"/>
      <c r="AF1665" s="25"/>
      <c r="AG1665" s="7"/>
      <c r="AH1665" s="7"/>
      <c r="AI1665" s="7"/>
      <c r="AJ1665" s="6"/>
      <c r="AK1665" s="6"/>
      <c r="AL1665" s="6"/>
      <c r="AM1665" s="6"/>
      <c r="AN1665" s="6"/>
      <c r="AO1665" s="26"/>
      <c r="AP1665" s="11"/>
      <c r="AQ1665" s="7"/>
      <c r="AS1665" s="11"/>
      <c r="AT1665" s="6"/>
      <c r="AU1665" s="6"/>
      <c r="AV1665" s="6"/>
      <c r="AW1665" s="7"/>
      <c r="AX1665" s="6"/>
      <c r="AY1665" s="6"/>
      <c r="AZ1665" s="6"/>
      <c r="BA1665" s="6"/>
      <c r="BB1665" s="24"/>
      <c r="BD1665" s="6"/>
      <c r="BE1665" s="6"/>
      <c r="BF1665" s="6"/>
      <c r="BH1665" s="6"/>
      <c r="BI1665" s="6"/>
      <c r="BJ1665" s="6"/>
      <c r="BK1665" s="6"/>
      <c r="BL1665" s="6"/>
      <c r="BM1665" s="6"/>
    </row>
    <row r="1666" spans="1:65" x14ac:dyDescent="0.25">
      <c r="I1666" s="7"/>
      <c r="AH1666" s="7"/>
      <c r="AV1666" s="6"/>
    </row>
    <row r="1667" spans="1:65" x14ac:dyDescent="0.25">
      <c r="A1667" s="6"/>
      <c r="B1667" s="6"/>
      <c r="C1667" s="6"/>
      <c r="D1667" s="6"/>
      <c r="E1667" s="6"/>
      <c r="F1667" s="21"/>
      <c r="G1667" s="10"/>
      <c r="H1667" s="7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  <c r="AB1667" s="6"/>
      <c r="AC1667" s="6"/>
      <c r="AD1667" s="6"/>
      <c r="AE1667" s="6"/>
      <c r="AF1667" s="25"/>
      <c r="AG1667" s="7"/>
      <c r="AH1667" s="7"/>
      <c r="AI1667" s="7"/>
      <c r="AJ1667" s="6"/>
      <c r="AK1667" s="6"/>
      <c r="AL1667" s="6"/>
      <c r="AM1667" s="6"/>
      <c r="AN1667" s="6"/>
      <c r="AO1667" s="26"/>
      <c r="AP1667" s="11"/>
      <c r="AQ1667" s="7"/>
      <c r="AS1667" s="11"/>
      <c r="AT1667" s="6"/>
      <c r="AU1667" s="6"/>
      <c r="AW1667" s="7"/>
      <c r="AX1667" s="6"/>
      <c r="AY1667" s="6"/>
      <c r="AZ1667" s="6"/>
      <c r="BA1667" s="6"/>
      <c r="BB1667" s="24"/>
      <c r="BD1667" s="6"/>
      <c r="BE1667" s="6"/>
      <c r="BF1667" s="6"/>
      <c r="BH1667" s="6"/>
      <c r="BI1667" s="6"/>
      <c r="BJ1667" s="6"/>
      <c r="BK1667" s="6"/>
      <c r="BL1667" s="6"/>
      <c r="BM1667" s="6"/>
    </row>
    <row r="1668" spans="1:65" x14ac:dyDescent="0.25">
      <c r="AV1668" s="6"/>
    </row>
    <row r="1669" spans="1:65" x14ac:dyDescent="0.25">
      <c r="I1669" s="7"/>
      <c r="AH1669" s="7"/>
      <c r="AV1669" s="6"/>
    </row>
    <row r="1670" spans="1:65" x14ac:dyDescent="0.25">
      <c r="A1670" s="6"/>
      <c r="B1670" s="6"/>
      <c r="C1670" s="6"/>
      <c r="D1670" s="6"/>
      <c r="E1670" s="6"/>
      <c r="F1670" s="21"/>
      <c r="G1670" s="10"/>
      <c r="H1670" s="7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  <c r="AB1670" s="6"/>
      <c r="AC1670" s="6"/>
      <c r="AD1670" s="6"/>
      <c r="AE1670" s="6"/>
      <c r="AF1670" s="25"/>
      <c r="AG1670" s="7"/>
      <c r="AH1670" s="7"/>
      <c r="AI1670" s="7"/>
      <c r="AJ1670" s="6"/>
      <c r="AK1670" s="6"/>
      <c r="AL1670" s="6"/>
      <c r="AM1670" s="6"/>
      <c r="AN1670" s="6"/>
      <c r="AO1670" s="26"/>
      <c r="AP1670" s="11"/>
      <c r="AQ1670" s="7"/>
      <c r="AS1670" s="11"/>
      <c r="AT1670" s="6"/>
      <c r="AU1670" s="6"/>
      <c r="AW1670" s="7"/>
      <c r="AX1670" s="6"/>
      <c r="AY1670" s="6"/>
      <c r="AZ1670" s="6"/>
      <c r="BA1670" s="6"/>
      <c r="BB1670" s="24"/>
      <c r="BD1670" s="6"/>
      <c r="BE1670" s="6"/>
      <c r="BF1670" s="6"/>
      <c r="BH1670" s="6"/>
      <c r="BI1670" s="6"/>
      <c r="BJ1670" s="6"/>
      <c r="BK1670" s="6"/>
      <c r="BL1670" s="6"/>
      <c r="BM1670" s="6"/>
    </row>
    <row r="1671" spans="1:65" x14ac:dyDescent="0.25">
      <c r="A1671" s="6"/>
      <c r="B1671" s="6"/>
      <c r="C1671" s="6"/>
      <c r="D1671" s="6"/>
      <c r="E1671" s="6"/>
      <c r="F1671" s="21"/>
      <c r="G1671" s="10"/>
      <c r="H1671" s="7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  <c r="AB1671" s="6"/>
      <c r="AC1671" s="6"/>
      <c r="AD1671" s="6"/>
      <c r="AE1671" s="6"/>
      <c r="AF1671" s="25"/>
      <c r="AG1671" s="7"/>
      <c r="AH1671" s="7"/>
      <c r="AI1671" s="7"/>
      <c r="AJ1671" s="6"/>
      <c r="AK1671" s="6"/>
      <c r="AL1671" s="6"/>
      <c r="AM1671" s="6"/>
      <c r="AN1671" s="6"/>
      <c r="AO1671" s="26"/>
      <c r="AP1671" s="11"/>
      <c r="AQ1671" s="7"/>
      <c r="AS1671" s="11"/>
      <c r="AT1671" s="6"/>
      <c r="AU1671" s="6"/>
      <c r="AV1671" s="6"/>
      <c r="AW1671" s="7"/>
      <c r="AX1671" s="6"/>
      <c r="AY1671" s="6"/>
      <c r="AZ1671" s="6"/>
      <c r="BA1671" s="6"/>
      <c r="BB1671" s="24"/>
      <c r="BD1671" s="6"/>
      <c r="BE1671" s="6"/>
      <c r="BF1671" s="6"/>
      <c r="BH1671" s="6"/>
      <c r="BI1671" s="6"/>
      <c r="BJ1671" s="6"/>
      <c r="BK1671" s="6"/>
      <c r="BL1671" s="6"/>
      <c r="BM1671" s="6"/>
    </row>
    <row r="1674" spans="1:65" x14ac:dyDescent="0.25">
      <c r="A1674" s="6"/>
      <c r="B1674" s="6"/>
      <c r="C1674" s="6"/>
      <c r="D1674" s="6"/>
      <c r="E1674" s="6"/>
      <c r="F1674" s="21"/>
      <c r="G1674" s="10"/>
      <c r="H1674" s="7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  <c r="AB1674" s="6"/>
      <c r="AC1674" s="6"/>
      <c r="AD1674" s="6"/>
      <c r="AE1674" s="6"/>
      <c r="AF1674" s="25"/>
      <c r="AG1674" s="7"/>
      <c r="AH1674" s="7"/>
      <c r="AI1674" s="7"/>
      <c r="AJ1674" s="6"/>
      <c r="AK1674" s="6"/>
      <c r="AL1674" s="6"/>
      <c r="AM1674" s="6"/>
      <c r="AN1674" s="6"/>
      <c r="AO1674" s="26"/>
      <c r="AP1674" s="11"/>
      <c r="AQ1674" s="7"/>
      <c r="AS1674" s="11"/>
      <c r="AT1674" s="6"/>
      <c r="AU1674" s="6"/>
      <c r="AV1674" s="6"/>
      <c r="AW1674" s="7"/>
      <c r="AX1674" s="6"/>
      <c r="AY1674" s="6"/>
      <c r="AZ1674" s="6"/>
      <c r="BA1674" s="6"/>
      <c r="BB1674" s="24"/>
      <c r="BD1674" s="6"/>
      <c r="BE1674" s="6"/>
      <c r="BF1674" s="6"/>
      <c r="BH1674" s="6"/>
      <c r="BI1674" s="6"/>
      <c r="BJ1674" s="6"/>
      <c r="BK1674" s="6"/>
      <c r="BL1674" s="6"/>
      <c r="BM1674" s="6"/>
    </row>
    <row r="1675" spans="1:65" x14ac:dyDescent="0.25">
      <c r="I1675" s="7"/>
      <c r="AH1675" s="7"/>
      <c r="AV1675" s="6"/>
    </row>
    <row r="1676" spans="1:65" x14ac:dyDescent="0.25">
      <c r="A1676" s="6"/>
      <c r="B1676" s="6"/>
      <c r="C1676" s="6"/>
      <c r="D1676" s="6"/>
      <c r="E1676" s="6"/>
      <c r="F1676" s="21"/>
      <c r="G1676" s="10"/>
      <c r="H1676" s="7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  <c r="AA1676" s="6"/>
      <c r="AB1676" s="6"/>
      <c r="AC1676" s="6"/>
      <c r="AD1676" s="6"/>
      <c r="AE1676" s="6"/>
      <c r="AF1676" s="25"/>
      <c r="AG1676" s="7"/>
      <c r="AH1676" s="7"/>
      <c r="AI1676" s="7"/>
      <c r="AJ1676" s="6"/>
      <c r="AK1676" s="6"/>
      <c r="AL1676" s="6"/>
      <c r="AM1676" s="6"/>
      <c r="AN1676" s="6"/>
      <c r="AO1676" s="26"/>
      <c r="AP1676" s="11"/>
      <c r="AQ1676" s="7"/>
      <c r="AS1676" s="11"/>
      <c r="AT1676" s="6"/>
      <c r="AU1676" s="6"/>
      <c r="AW1676" s="7"/>
      <c r="AX1676" s="6"/>
      <c r="AY1676" s="6"/>
      <c r="AZ1676" s="6"/>
      <c r="BA1676" s="6"/>
      <c r="BB1676" s="24"/>
      <c r="BD1676" s="6"/>
      <c r="BE1676" s="6"/>
      <c r="BF1676" s="6"/>
      <c r="BH1676" s="6"/>
      <c r="BI1676" s="6"/>
      <c r="BJ1676" s="6"/>
      <c r="BK1676" s="6"/>
      <c r="BL1676" s="6"/>
      <c r="BM1676" s="6"/>
    </row>
    <row r="1677" spans="1:65" x14ac:dyDescent="0.25">
      <c r="AV1677" s="6"/>
    </row>
    <row r="1678" spans="1:65" x14ac:dyDescent="0.25">
      <c r="I1678" s="7"/>
      <c r="AH1678" s="7"/>
      <c r="AV1678" s="6"/>
    </row>
    <row r="1679" spans="1:65" x14ac:dyDescent="0.25">
      <c r="A1679" s="6"/>
      <c r="B1679" s="6"/>
      <c r="C1679" s="6"/>
      <c r="D1679" s="6"/>
      <c r="E1679" s="6"/>
      <c r="F1679" s="21"/>
      <c r="G1679" s="10"/>
      <c r="H1679" s="7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  <c r="AA1679" s="6"/>
      <c r="AB1679" s="6"/>
      <c r="AC1679" s="6"/>
      <c r="AD1679" s="6"/>
      <c r="AE1679" s="6"/>
      <c r="AF1679" s="25"/>
      <c r="AG1679" s="7"/>
      <c r="AH1679" s="7"/>
      <c r="AI1679" s="7"/>
      <c r="AJ1679" s="6"/>
      <c r="AK1679" s="6"/>
      <c r="AL1679" s="6"/>
      <c r="AM1679" s="6"/>
      <c r="AN1679" s="6"/>
      <c r="AO1679" s="26"/>
      <c r="AP1679" s="11"/>
      <c r="AQ1679" s="7"/>
      <c r="AS1679" s="11"/>
      <c r="AT1679" s="6"/>
      <c r="AU1679" s="6"/>
      <c r="AW1679" s="7"/>
      <c r="AX1679" s="6"/>
      <c r="AY1679" s="6"/>
      <c r="AZ1679" s="6"/>
      <c r="BA1679" s="6"/>
      <c r="BB1679" s="24"/>
      <c r="BD1679" s="6"/>
      <c r="BE1679" s="6"/>
      <c r="BF1679" s="6"/>
      <c r="BH1679" s="6"/>
      <c r="BI1679" s="6"/>
      <c r="BJ1679" s="6"/>
      <c r="BK1679" s="6"/>
      <c r="BL1679" s="6"/>
      <c r="BM1679" s="6"/>
    </row>
    <row r="1680" spans="1:65" x14ac:dyDescent="0.25">
      <c r="A1680" s="6"/>
      <c r="B1680" s="6"/>
      <c r="C1680" s="6"/>
      <c r="D1680" s="6"/>
      <c r="E1680" s="6"/>
      <c r="F1680" s="21"/>
      <c r="G1680" s="10"/>
      <c r="H1680" s="7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  <c r="AA1680" s="6"/>
      <c r="AB1680" s="6"/>
      <c r="AC1680" s="6"/>
      <c r="AD1680" s="6"/>
      <c r="AE1680" s="6"/>
      <c r="AF1680" s="25"/>
      <c r="AG1680" s="7"/>
      <c r="AH1680" s="7"/>
      <c r="AI1680" s="7"/>
      <c r="AJ1680" s="6"/>
      <c r="AK1680" s="6"/>
      <c r="AL1680" s="6"/>
      <c r="AM1680" s="6"/>
      <c r="AN1680" s="6"/>
      <c r="AO1680" s="26"/>
      <c r="AP1680" s="11"/>
      <c r="AQ1680" s="7"/>
      <c r="AS1680" s="11"/>
      <c r="AT1680" s="6"/>
      <c r="AU1680" s="6"/>
      <c r="AV1680" s="6"/>
      <c r="AW1680" s="7"/>
      <c r="AX1680" s="6"/>
      <c r="AY1680" s="6"/>
      <c r="AZ1680" s="6"/>
      <c r="BA1680" s="6"/>
      <c r="BB1680" s="24"/>
      <c r="BD1680" s="6"/>
      <c r="BE1680" s="6"/>
      <c r="BF1680" s="6"/>
      <c r="BH1680" s="6"/>
      <c r="BI1680" s="6"/>
      <c r="BJ1680" s="6"/>
      <c r="BK1680" s="6"/>
      <c r="BL1680" s="6"/>
      <c r="BM1680" s="6"/>
    </row>
    <row r="1683" spans="1:65" x14ac:dyDescent="0.25">
      <c r="A1683" s="6"/>
      <c r="B1683" s="6"/>
      <c r="C1683" s="6"/>
      <c r="D1683" s="6"/>
      <c r="E1683" s="6"/>
      <c r="F1683" s="21"/>
      <c r="G1683" s="10"/>
      <c r="H1683" s="7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  <c r="AA1683" s="6"/>
      <c r="AB1683" s="6"/>
      <c r="AC1683" s="6"/>
      <c r="AD1683" s="6"/>
      <c r="AE1683" s="6"/>
      <c r="AF1683" s="25"/>
      <c r="AG1683" s="7"/>
      <c r="AH1683" s="7"/>
      <c r="AI1683" s="7"/>
      <c r="AJ1683" s="6"/>
      <c r="AK1683" s="6"/>
      <c r="AL1683" s="6"/>
      <c r="AM1683" s="6"/>
      <c r="AN1683" s="6"/>
      <c r="AO1683" s="26"/>
      <c r="AP1683" s="11"/>
      <c r="AQ1683" s="7"/>
      <c r="AS1683" s="11"/>
      <c r="AT1683" s="6"/>
      <c r="AU1683" s="6"/>
      <c r="AV1683" s="6"/>
      <c r="AW1683" s="7"/>
      <c r="AX1683" s="6"/>
      <c r="AY1683" s="6"/>
      <c r="AZ1683" s="6"/>
      <c r="BA1683" s="6"/>
      <c r="BB1683" s="24"/>
      <c r="BD1683" s="6"/>
      <c r="BE1683" s="6"/>
      <c r="BF1683" s="6"/>
      <c r="BH1683" s="6"/>
      <c r="BI1683" s="6"/>
      <c r="BJ1683" s="6"/>
      <c r="BK1683" s="6"/>
      <c r="BL1683" s="6"/>
      <c r="BM1683" s="6"/>
    </row>
    <row r="1684" spans="1:65" x14ac:dyDescent="0.25">
      <c r="I1684" s="7"/>
      <c r="AH1684" s="7"/>
      <c r="AV1684" s="6"/>
    </row>
    <row r="1685" spans="1:65" x14ac:dyDescent="0.25">
      <c r="A1685" s="6"/>
      <c r="B1685" s="6"/>
      <c r="C1685" s="6"/>
      <c r="D1685" s="6"/>
      <c r="E1685" s="6"/>
      <c r="F1685" s="21"/>
      <c r="G1685" s="10"/>
      <c r="H1685" s="7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  <c r="AA1685" s="6"/>
      <c r="AB1685" s="6"/>
      <c r="AC1685" s="6"/>
      <c r="AD1685" s="6"/>
      <c r="AE1685" s="6"/>
      <c r="AF1685" s="25"/>
      <c r="AG1685" s="7"/>
      <c r="AH1685" s="7"/>
      <c r="AI1685" s="7"/>
      <c r="AJ1685" s="6"/>
      <c r="AK1685" s="6"/>
      <c r="AL1685" s="6"/>
      <c r="AM1685" s="6"/>
      <c r="AN1685" s="6"/>
      <c r="AO1685" s="26"/>
      <c r="AP1685" s="11"/>
      <c r="AQ1685" s="7"/>
      <c r="AS1685" s="11"/>
      <c r="AT1685" s="6"/>
      <c r="AU1685" s="6"/>
      <c r="AW1685" s="7"/>
      <c r="AX1685" s="6"/>
      <c r="AY1685" s="6"/>
      <c r="AZ1685" s="6"/>
      <c r="BA1685" s="6"/>
      <c r="BB1685" s="24"/>
      <c r="BD1685" s="6"/>
      <c r="BE1685" s="6"/>
      <c r="BF1685" s="6"/>
      <c r="BH1685" s="6"/>
      <c r="BI1685" s="6"/>
      <c r="BJ1685" s="6"/>
      <c r="BK1685" s="6"/>
      <c r="BL1685" s="6"/>
      <c r="BM1685" s="6"/>
    </row>
    <row r="1686" spans="1:65" x14ac:dyDescent="0.25">
      <c r="AV1686" s="6"/>
    </row>
    <row r="1687" spans="1:65" x14ac:dyDescent="0.25">
      <c r="I1687" s="7"/>
      <c r="AH1687" s="7"/>
      <c r="AV1687" s="6"/>
    </row>
    <row r="1688" spans="1:65" x14ac:dyDescent="0.25">
      <c r="A1688" s="6"/>
      <c r="B1688" s="6"/>
      <c r="C1688" s="6"/>
      <c r="D1688" s="6"/>
      <c r="E1688" s="6"/>
      <c r="F1688" s="21"/>
      <c r="G1688" s="10"/>
      <c r="H1688" s="7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  <c r="AA1688" s="6"/>
      <c r="AB1688" s="6"/>
      <c r="AC1688" s="6"/>
      <c r="AD1688" s="6"/>
      <c r="AE1688" s="6"/>
      <c r="AF1688" s="25"/>
      <c r="AG1688" s="7"/>
      <c r="AH1688" s="7"/>
      <c r="AI1688" s="7"/>
      <c r="AJ1688" s="6"/>
      <c r="AK1688" s="6"/>
      <c r="AL1688" s="6"/>
      <c r="AM1688" s="6"/>
      <c r="AN1688" s="6"/>
      <c r="AO1688" s="26"/>
      <c r="AP1688" s="11"/>
      <c r="AQ1688" s="7"/>
      <c r="AS1688" s="11"/>
      <c r="AT1688" s="6"/>
      <c r="AU1688" s="6"/>
      <c r="AW1688" s="7"/>
      <c r="AX1688" s="6"/>
      <c r="AY1688" s="6"/>
      <c r="AZ1688" s="6"/>
      <c r="BA1688" s="6"/>
      <c r="BB1688" s="24"/>
      <c r="BD1688" s="6"/>
      <c r="BE1688" s="6"/>
      <c r="BF1688" s="6"/>
      <c r="BH1688" s="6"/>
      <c r="BI1688" s="6"/>
      <c r="BJ1688" s="6"/>
      <c r="BK1688" s="6"/>
      <c r="BL1688" s="6"/>
      <c r="BM1688" s="6"/>
    </row>
    <row r="1689" spans="1:65" x14ac:dyDescent="0.25">
      <c r="A1689" s="6"/>
      <c r="B1689" s="6"/>
      <c r="C1689" s="6"/>
      <c r="D1689" s="6"/>
      <c r="E1689" s="6"/>
      <c r="F1689" s="21"/>
      <c r="G1689" s="10"/>
      <c r="H1689" s="7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  <c r="AA1689" s="6"/>
      <c r="AB1689" s="6"/>
      <c r="AC1689" s="6"/>
      <c r="AD1689" s="6"/>
      <c r="AE1689" s="6"/>
      <c r="AF1689" s="25"/>
      <c r="AG1689" s="7"/>
      <c r="AH1689" s="7"/>
      <c r="AI1689" s="7"/>
      <c r="AJ1689" s="6"/>
      <c r="AK1689" s="6"/>
      <c r="AL1689" s="6"/>
      <c r="AM1689" s="6"/>
      <c r="AN1689" s="6"/>
      <c r="AO1689" s="26"/>
      <c r="AP1689" s="11"/>
      <c r="AQ1689" s="7"/>
      <c r="AS1689" s="11"/>
      <c r="AT1689" s="6"/>
      <c r="AU1689" s="6"/>
      <c r="AV1689" s="6"/>
      <c r="AW1689" s="7"/>
      <c r="AX1689" s="6"/>
      <c r="AY1689" s="6"/>
      <c r="AZ1689" s="6"/>
      <c r="BA1689" s="6"/>
      <c r="BB1689" s="24"/>
      <c r="BD1689" s="6"/>
      <c r="BE1689" s="6"/>
      <c r="BF1689" s="6"/>
      <c r="BH1689" s="6"/>
      <c r="BI1689" s="6"/>
      <c r="BJ1689" s="6"/>
      <c r="BK1689" s="6"/>
      <c r="BL1689" s="6"/>
      <c r="BM1689" s="6"/>
    </row>
    <row r="1692" spans="1:65" x14ac:dyDescent="0.25">
      <c r="A1692" s="6"/>
      <c r="B1692" s="6"/>
      <c r="C1692" s="6"/>
      <c r="D1692" s="6"/>
      <c r="E1692" s="6"/>
      <c r="F1692" s="21"/>
      <c r="G1692" s="10"/>
      <c r="H1692" s="7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  <c r="AA1692" s="6"/>
      <c r="AB1692" s="6"/>
      <c r="AC1692" s="6"/>
      <c r="AD1692" s="6"/>
      <c r="AE1692" s="6"/>
      <c r="AF1692" s="25"/>
      <c r="AG1692" s="7"/>
      <c r="AH1692" s="7"/>
      <c r="AI1692" s="7"/>
      <c r="AJ1692" s="6"/>
      <c r="AK1692" s="6"/>
      <c r="AL1692" s="6"/>
      <c r="AM1692" s="6"/>
      <c r="AN1692" s="6"/>
      <c r="AO1692" s="26"/>
      <c r="AP1692" s="11"/>
      <c r="AQ1692" s="7"/>
      <c r="AS1692" s="11"/>
      <c r="AT1692" s="6"/>
      <c r="AU1692" s="6"/>
      <c r="AV1692" s="6"/>
      <c r="AW1692" s="7"/>
      <c r="AX1692" s="6"/>
      <c r="AY1692" s="6"/>
      <c r="AZ1692" s="6"/>
      <c r="BA1692" s="6"/>
      <c r="BB1692" s="24"/>
      <c r="BD1692" s="6"/>
      <c r="BE1692" s="6"/>
      <c r="BF1692" s="6"/>
      <c r="BH1692" s="6"/>
      <c r="BI1692" s="6"/>
      <c r="BJ1692" s="6"/>
      <c r="BK1692" s="6"/>
      <c r="BL1692" s="6"/>
      <c r="BM1692" s="6"/>
    </row>
    <row r="1693" spans="1:65" x14ac:dyDescent="0.25">
      <c r="I1693" s="7"/>
      <c r="AH1693" s="7"/>
      <c r="AV1693" s="6"/>
    </row>
    <row r="1694" spans="1:65" x14ac:dyDescent="0.25">
      <c r="A1694" s="6"/>
      <c r="B1694" s="6"/>
      <c r="C1694" s="6"/>
      <c r="D1694" s="6"/>
      <c r="E1694" s="6"/>
      <c r="F1694" s="21"/>
      <c r="G1694" s="10"/>
      <c r="H1694" s="7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  <c r="AA1694" s="6"/>
      <c r="AB1694" s="6"/>
      <c r="AC1694" s="6"/>
      <c r="AD1694" s="6"/>
      <c r="AE1694" s="6"/>
      <c r="AF1694" s="25"/>
      <c r="AG1694" s="7"/>
      <c r="AH1694" s="7"/>
      <c r="AI1694" s="7"/>
      <c r="AJ1694" s="6"/>
      <c r="AK1694" s="6"/>
      <c r="AL1694" s="6"/>
      <c r="AM1694" s="6"/>
      <c r="AN1694" s="6"/>
      <c r="AO1694" s="26"/>
      <c r="AP1694" s="11"/>
      <c r="AQ1694" s="7"/>
      <c r="AS1694" s="11"/>
      <c r="AT1694" s="6"/>
      <c r="AU1694" s="6"/>
      <c r="AW1694" s="7"/>
      <c r="AX1694" s="6"/>
      <c r="AY1694" s="6"/>
      <c r="AZ1694" s="6"/>
      <c r="BA1694" s="6"/>
      <c r="BB1694" s="24"/>
      <c r="BD1694" s="6"/>
      <c r="BE1694" s="6"/>
      <c r="BF1694" s="6"/>
      <c r="BH1694" s="6"/>
      <c r="BI1694" s="6"/>
      <c r="BJ1694" s="6"/>
      <c r="BK1694" s="6"/>
      <c r="BL1694" s="6"/>
      <c r="BM1694" s="6"/>
    </row>
    <row r="1695" spans="1:65" x14ac:dyDescent="0.25">
      <c r="AV1695" s="6"/>
    </row>
    <row r="1696" spans="1:65" x14ac:dyDescent="0.25">
      <c r="I1696" s="7"/>
      <c r="AH1696" s="7"/>
      <c r="AV1696" s="6"/>
    </row>
    <row r="1697" spans="1:65" x14ac:dyDescent="0.25">
      <c r="A1697" s="6"/>
      <c r="B1697" s="6"/>
      <c r="C1697" s="6"/>
      <c r="D1697" s="6"/>
      <c r="E1697" s="6"/>
      <c r="F1697" s="21"/>
      <c r="G1697" s="10"/>
      <c r="H1697" s="7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  <c r="AA1697" s="6"/>
      <c r="AB1697" s="6"/>
      <c r="AC1697" s="6"/>
      <c r="AD1697" s="6"/>
      <c r="AE1697" s="6"/>
      <c r="AF1697" s="25"/>
      <c r="AG1697" s="7"/>
      <c r="AH1697" s="7"/>
      <c r="AI1697" s="7"/>
      <c r="AJ1697" s="6"/>
      <c r="AK1697" s="6"/>
      <c r="AL1697" s="6"/>
      <c r="AM1697" s="6"/>
      <c r="AN1697" s="6"/>
      <c r="AO1697" s="26"/>
      <c r="AP1697" s="11"/>
      <c r="AQ1697" s="7"/>
      <c r="AS1697" s="11"/>
      <c r="AT1697" s="6"/>
      <c r="AU1697" s="6"/>
      <c r="AW1697" s="7"/>
      <c r="AX1697" s="6"/>
      <c r="AY1697" s="6"/>
      <c r="AZ1697" s="6"/>
      <c r="BA1697" s="6"/>
      <c r="BB1697" s="24"/>
      <c r="BD1697" s="6"/>
      <c r="BE1697" s="6"/>
      <c r="BF1697" s="6"/>
      <c r="BH1697" s="6"/>
      <c r="BI1697" s="6"/>
      <c r="BJ1697" s="6"/>
      <c r="BK1697" s="6"/>
      <c r="BL1697" s="6"/>
      <c r="BM1697" s="6"/>
    </row>
    <row r="1698" spans="1:65" x14ac:dyDescent="0.25">
      <c r="A1698" s="6"/>
      <c r="B1698" s="6"/>
      <c r="C1698" s="6"/>
      <c r="D1698" s="6"/>
      <c r="E1698" s="6"/>
      <c r="F1698" s="21"/>
      <c r="G1698" s="10"/>
      <c r="H1698" s="7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  <c r="AA1698" s="6"/>
      <c r="AB1698" s="6"/>
      <c r="AC1698" s="6"/>
      <c r="AD1698" s="6"/>
      <c r="AE1698" s="6"/>
      <c r="AF1698" s="25"/>
      <c r="AG1698" s="7"/>
      <c r="AH1698" s="7"/>
      <c r="AI1698" s="7"/>
      <c r="AJ1698" s="6"/>
      <c r="AK1698" s="6"/>
      <c r="AL1698" s="6"/>
      <c r="AM1698" s="6"/>
      <c r="AN1698" s="6"/>
      <c r="AO1698" s="26"/>
      <c r="AP1698" s="11"/>
      <c r="AQ1698" s="7"/>
      <c r="AS1698" s="11"/>
      <c r="AT1698" s="6"/>
      <c r="AU1698" s="6"/>
      <c r="AV1698" s="6"/>
      <c r="AW1698" s="7"/>
      <c r="AX1698" s="6"/>
      <c r="AY1698" s="6"/>
      <c r="AZ1698" s="6"/>
      <c r="BA1698" s="6"/>
      <c r="BB1698" s="24"/>
      <c r="BD1698" s="6"/>
      <c r="BE1698" s="6"/>
      <c r="BF1698" s="6"/>
      <c r="BH1698" s="6"/>
      <c r="BI1698" s="6"/>
      <c r="BJ1698" s="6"/>
      <c r="BK1698" s="6"/>
      <c r="BL1698" s="6"/>
      <c r="BM1698" s="6"/>
    </row>
    <row r="1701" spans="1:65" x14ac:dyDescent="0.25">
      <c r="A1701" s="6"/>
      <c r="B1701" s="6"/>
      <c r="C1701" s="6"/>
      <c r="D1701" s="6"/>
      <c r="E1701" s="6"/>
      <c r="F1701" s="21"/>
      <c r="G1701" s="10"/>
      <c r="H1701" s="7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  <c r="AB1701" s="6"/>
      <c r="AC1701" s="6"/>
      <c r="AD1701" s="6"/>
      <c r="AE1701" s="6"/>
      <c r="AF1701" s="25"/>
      <c r="AG1701" s="7"/>
      <c r="AH1701" s="7"/>
      <c r="AI1701" s="7"/>
      <c r="AJ1701" s="6"/>
      <c r="AK1701" s="6"/>
      <c r="AL1701" s="6"/>
      <c r="AM1701" s="6"/>
      <c r="AN1701" s="6"/>
      <c r="AO1701" s="26"/>
      <c r="AP1701" s="11"/>
      <c r="AQ1701" s="7"/>
      <c r="AS1701" s="11"/>
      <c r="AT1701" s="6"/>
      <c r="AU1701" s="6"/>
      <c r="AV1701" s="6"/>
      <c r="AW1701" s="7"/>
      <c r="AX1701" s="6"/>
      <c r="AY1701" s="6"/>
      <c r="AZ1701" s="6"/>
      <c r="BA1701" s="6"/>
      <c r="BB1701" s="24"/>
      <c r="BD1701" s="6"/>
      <c r="BE1701" s="6"/>
      <c r="BF1701" s="6"/>
      <c r="BH1701" s="6"/>
      <c r="BI1701" s="6"/>
      <c r="BJ1701" s="6"/>
      <c r="BK1701" s="6"/>
      <c r="BL1701" s="6"/>
      <c r="BM1701" s="6"/>
    </row>
    <row r="1702" spans="1:65" x14ac:dyDescent="0.25">
      <c r="I1702" s="7"/>
      <c r="AH1702" s="7"/>
      <c r="AV1702" s="6"/>
    </row>
    <row r="1703" spans="1:65" x14ac:dyDescent="0.25">
      <c r="A1703" s="6"/>
      <c r="B1703" s="6"/>
      <c r="C1703" s="6"/>
      <c r="D1703" s="6"/>
      <c r="E1703" s="6"/>
      <c r="F1703" s="21"/>
      <c r="G1703" s="10"/>
      <c r="H1703" s="7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  <c r="AA1703" s="6"/>
      <c r="AB1703" s="6"/>
      <c r="AC1703" s="6"/>
      <c r="AD1703" s="6"/>
      <c r="AE1703" s="6"/>
      <c r="AF1703" s="25"/>
      <c r="AG1703" s="7"/>
      <c r="AH1703" s="7"/>
      <c r="AI1703" s="7"/>
      <c r="AJ1703" s="6"/>
      <c r="AK1703" s="6"/>
      <c r="AL1703" s="6"/>
      <c r="AM1703" s="6"/>
      <c r="AN1703" s="6"/>
      <c r="AO1703" s="26"/>
      <c r="AP1703" s="11"/>
      <c r="AQ1703" s="7"/>
      <c r="AS1703" s="11"/>
      <c r="AT1703" s="6"/>
      <c r="AU1703" s="6"/>
      <c r="AW1703" s="7"/>
      <c r="AX1703" s="6"/>
      <c r="AY1703" s="6"/>
      <c r="AZ1703" s="6"/>
      <c r="BA1703" s="6"/>
      <c r="BB1703" s="24"/>
      <c r="BD1703" s="6"/>
      <c r="BE1703" s="6"/>
      <c r="BF1703" s="6"/>
      <c r="BH1703" s="6"/>
      <c r="BI1703" s="6"/>
      <c r="BJ1703" s="6"/>
      <c r="BK1703" s="6"/>
      <c r="BL1703" s="6"/>
      <c r="BM1703" s="6"/>
    </row>
    <row r="1704" spans="1:65" x14ac:dyDescent="0.25">
      <c r="AV1704" s="6"/>
    </row>
    <row r="1705" spans="1:65" x14ac:dyDescent="0.25">
      <c r="I1705" s="7"/>
      <c r="AH1705" s="7"/>
      <c r="AV1705" s="6"/>
    </row>
    <row r="1706" spans="1:65" x14ac:dyDescent="0.25">
      <c r="A1706" s="6"/>
      <c r="B1706" s="6"/>
      <c r="C1706" s="6"/>
      <c r="D1706" s="6"/>
      <c r="E1706" s="6"/>
      <c r="F1706" s="21"/>
      <c r="G1706" s="10"/>
      <c r="H1706" s="7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  <c r="AA1706" s="6"/>
      <c r="AB1706" s="6"/>
      <c r="AC1706" s="6"/>
      <c r="AD1706" s="6"/>
      <c r="AE1706" s="6"/>
      <c r="AF1706" s="25"/>
      <c r="AG1706" s="7"/>
      <c r="AH1706" s="7"/>
      <c r="AI1706" s="7"/>
      <c r="AJ1706" s="6"/>
      <c r="AK1706" s="6"/>
      <c r="AL1706" s="6"/>
      <c r="AM1706" s="6"/>
      <c r="AN1706" s="6"/>
      <c r="AO1706" s="26"/>
      <c r="AP1706" s="11"/>
      <c r="AQ1706" s="7"/>
      <c r="AS1706" s="11"/>
      <c r="AT1706" s="6"/>
      <c r="AU1706" s="6"/>
      <c r="AW1706" s="7"/>
      <c r="AX1706" s="6"/>
      <c r="AY1706" s="6"/>
      <c r="AZ1706" s="6"/>
      <c r="BA1706" s="6"/>
      <c r="BB1706" s="24"/>
      <c r="BD1706" s="6"/>
      <c r="BE1706" s="6"/>
      <c r="BF1706" s="6"/>
      <c r="BH1706" s="6"/>
      <c r="BI1706" s="6"/>
      <c r="BJ1706" s="6"/>
      <c r="BK1706" s="6"/>
      <c r="BL1706" s="6"/>
      <c r="BM1706" s="6"/>
    </row>
    <row r="1707" spans="1:65" x14ac:dyDescent="0.25">
      <c r="A1707" s="6"/>
      <c r="B1707" s="6"/>
      <c r="C1707" s="6"/>
      <c r="D1707" s="6"/>
      <c r="E1707" s="6"/>
      <c r="F1707" s="21"/>
      <c r="G1707" s="10"/>
      <c r="H1707" s="7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  <c r="AB1707" s="6"/>
      <c r="AC1707" s="6"/>
      <c r="AD1707" s="6"/>
      <c r="AE1707" s="6"/>
      <c r="AF1707" s="25"/>
      <c r="AG1707" s="7"/>
      <c r="AH1707" s="7"/>
      <c r="AI1707" s="7"/>
      <c r="AJ1707" s="6"/>
      <c r="AK1707" s="6"/>
      <c r="AL1707" s="6"/>
      <c r="AM1707" s="6"/>
      <c r="AN1707" s="6"/>
      <c r="AO1707" s="26"/>
      <c r="AP1707" s="11"/>
      <c r="AQ1707" s="7"/>
      <c r="AS1707" s="11"/>
      <c r="AT1707" s="6"/>
      <c r="AU1707" s="6"/>
      <c r="AV1707" s="6"/>
      <c r="AW1707" s="7"/>
      <c r="AX1707" s="6"/>
      <c r="AY1707" s="6"/>
      <c r="AZ1707" s="6"/>
      <c r="BA1707" s="6"/>
      <c r="BB1707" s="24"/>
      <c r="BD1707" s="6"/>
      <c r="BE1707" s="6"/>
      <c r="BF1707" s="6"/>
      <c r="BH1707" s="6"/>
      <c r="BI1707" s="6"/>
      <c r="BJ1707" s="6"/>
      <c r="BK1707" s="6"/>
      <c r="BL1707" s="6"/>
      <c r="BM1707" s="6"/>
    </row>
    <row r="1710" spans="1:65" x14ac:dyDescent="0.25">
      <c r="A1710" s="6"/>
      <c r="B1710" s="6"/>
      <c r="C1710" s="6"/>
      <c r="D1710" s="6"/>
      <c r="E1710" s="6"/>
      <c r="F1710" s="21"/>
      <c r="G1710" s="10"/>
      <c r="H1710" s="7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  <c r="AB1710" s="6"/>
      <c r="AC1710" s="6"/>
      <c r="AD1710" s="6"/>
      <c r="AE1710" s="6"/>
      <c r="AF1710" s="25"/>
      <c r="AG1710" s="7"/>
      <c r="AH1710" s="7"/>
      <c r="AI1710" s="7"/>
      <c r="AJ1710" s="6"/>
      <c r="AK1710" s="6"/>
      <c r="AL1710" s="6"/>
      <c r="AM1710" s="6"/>
      <c r="AN1710" s="6"/>
      <c r="AO1710" s="26"/>
      <c r="AP1710" s="11"/>
      <c r="AQ1710" s="7"/>
      <c r="AS1710" s="11"/>
      <c r="AT1710" s="6"/>
      <c r="AU1710" s="6"/>
      <c r="AV1710" s="6"/>
      <c r="AW1710" s="7"/>
      <c r="AX1710" s="6"/>
      <c r="AY1710" s="6"/>
      <c r="AZ1710" s="6"/>
      <c r="BA1710" s="6"/>
      <c r="BB1710" s="24"/>
      <c r="BD1710" s="6"/>
      <c r="BE1710" s="6"/>
      <c r="BF1710" s="6"/>
      <c r="BH1710" s="6"/>
      <c r="BI1710" s="6"/>
      <c r="BJ1710" s="6"/>
      <c r="BK1710" s="6"/>
      <c r="BL1710" s="6"/>
      <c r="BM1710" s="6"/>
    </row>
    <row r="1711" spans="1:65" x14ac:dyDescent="0.25">
      <c r="I1711" s="7"/>
      <c r="AH1711" s="7"/>
      <c r="AV1711" s="6"/>
    </row>
    <row r="1712" spans="1:65" x14ac:dyDescent="0.25">
      <c r="A1712" s="6"/>
      <c r="B1712" s="6"/>
      <c r="C1712" s="6"/>
      <c r="D1712" s="6"/>
      <c r="E1712" s="6"/>
      <c r="F1712" s="21"/>
      <c r="G1712" s="10"/>
      <c r="H1712" s="7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  <c r="AA1712" s="6"/>
      <c r="AB1712" s="6"/>
      <c r="AC1712" s="6"/>
      <c r="AD1712" s="6"/>
      <c r="AE1712" s="6"/>
      <c r="AF1712" s="25"/>
      <c r="AG1712" s="7"/>
      <c r="AH1712" s="7"/>
      <c r="AI1712" s="7"/>
      <c r="AJ1712" s="6"/>
      <c r="AK1712" s="6"/>
      <c r="AL1712" s="6"/>
      <c r="AM1712" s="6"/>
      <c r="AN1712" s="6"/>
      <c r="AO1712" s="26"/>
      <c r="AP1712" s="11"/>
      <c r="AQ1712" s="7"/>
      <c r="AS1712" s="11"/>
      <c r="AT1712" s="6"/>
      <c r="AU1712" s="6"/>
      <c r="AW1712" s="7"/>
      <c r="AX1712" s="6"/>
      <c r="AY1712" s="6"/>
      <c r="AZ1712" s="6"/>
      <c r="BA1712" s="6"/>
      <c r="BB1712" s="24"/>
      <c r="BD1712" s="6"/>
      <c r="BE1712" s="6"/>
      <c r="BF1712" s="6"/>
      <c r="BH1712" s="6"/>
      <c r="BI1712" s="6"/>
      <c r="BJ1712" s="6"/>
      <c r="BK1712" s="6"/>
      <c r="BL1712" s="6"/>
      <c r="BM1712" s="6"/>
    </row>
    <row r="1713" spans="1:65" x14ac:dyDescent="0.25">
      <c r="AV1713" s="6"/>
    </row>
    <row r="1714" spans="1:65" x14ac:dyDescent="0.25">
      <c r="I1714" s="7"/>
      <c r="AH1714" s="7"/>
      <c r="AV1714" s="6"/>
    </row>
    <row r="1715" spans="1:65" x14ac:dyDescent="0.25">
      <c r="A1715" s="6"/>
      <c r="B1715" s="6"/>
      <c r="C1715" s="6"/>
      <c r="D1715" s="6"/>
      <c r="E1715" s="6"/>
      <c r="F1715" s="21"/>
      <c r="G1715" s="10"/>
      <c r="H1715" s="7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  <c r="AB1715" s="6"/>
      <c r="AC1715" s="6"/>
      <c r="AD1715" s="6"/>
      <c r="AE1715" s="6"/>
      <c r="AF1715" s="25"/>
      <c r="AG1715" s="7"/>
      <c r="AH1715" s="7"/>
      <c r="AI1715" s="7"/>
      <c r="AJ1715" s="6"/>
      <c r="AK1715" s="6"/>
      <c r="AL1715" s="6"/>
      <c r="AM1715" s="6"/>
      <c r="AN1715" s="6"/>
      <c r="AO1715" s="26"/>
      <c r="AP1715" s="11"/>
      <c r="AQ1715" s="7"/>
      <c r="AS1715" s="11"/>
      <c r="AT1715" s="6"/>
      <c r="AU1715" s="6"/>
      <c r="AW1715" s="7"/>
      <c r="AX1715" s="6"/>
      <c r="AY1715" s="6"/>
      <c r="AZ1715" s="6"/>
      <c r="BA1715" s="6"/>
      <c r="BB1715" s="24"/>
      <c r="BD1715" s="6"/>
      <c r="BE1715" s="6"/>
      <c r="BF1715" s="6"/>
      <c r="BH1715" s="6"/>
      <c r="BI1715" s="6"/>
      <c r="BJ1715" s="6"/>
      <c r="BK1715" s="6"/>
      <c r="BL1715" s="6"/>
      <c r="BM1715" s="6"/>
    </row>
    <row r="1716" spans="1:65" x14ac:dyDescent="0.25">
      <c r="A1716" s="6"/>
      <c r="B1716" s="6"/>
      <c r="C1716" s="6"/>
      <c r="D1716" s="6"/>
      <c r="E1716" s="6"/>
      <c r="F1716" s="21"/>
      <c r="G1716" s="10"/>
      <c r="H1716" s="7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  <c r="AB1716" s="6"/>
      <c r="AC1716" s="6"/>
      <c r="AD1716" s="6"/>
      <c r="AE1716" s="6"/>
      <c r="AF1716" s="25"/>
      <c r="AG1716" s="7"/>
      <c r="AH1716" s="7"/>
      <c r="AI1716" s="7"/>
      <c r="AJ1716" s="6"/>
      <c r="AK1716" s="6"/>
      <c r="AL1716" s="6"/>
      <c r="AM1716" s="6"/>
      <c r="AN1716" s="6"/>
      <c r="AO1716" s="26"/>
      <c r="AP1716" s="11"/>
      <c r="AQ1716" s="7"/>
      <c r="AS1716" s="11"/>
      <c r="AT1716" s="6"/>
      <c r="AU1716" s="6"/>
      <c r="AV1716" s="6"/>
      <c r="AW1716" s="7"/>
      <c r="AX1716" s="6"/>
      <c r="AY1716" s="6"/>
      <c r="AZ1716" s="6"/>
      <c r="BA1716" s="6"/>
      <c r="BB1716" s="24"/>
      <c r="BD1716" s="6"/>
      <c r="BE1716" s="6"/>
      <c r="BF1716" s="6"/>
      <c r="BH1716" s="6"/>
      <c r="BI1716" s="6"/>
      <c r="BJ1716" s="6"/>
      <c r="BK1716" s="6"/>
      <c r="BL1716" s="6"/>
      <c r="BM1716" s="6"/>
    </row>
    <row r="1719" spans="1:65" x14ac:dyDescent="0.25">
      <c r="A1719" s="6"/>
      <c r="B1719" s="6"/>
      <c r="C1719" s="6"/>
      <c r="D1719" s="6"/>
      <c r="E1719" s="6"/>
      <c r="F1719" s="21"/>
      <c r="G1719" s="10"/>
      <c r="H1719" s="7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  <c r="AB1719" s="6"/>
      <c r="AC1719" s="6"/>
      <c r="AD1719" s="6"/>
      <c r="AE1719" s="6"/>
      <c r="AF1719" s="25"/>
      <c r="AG1719" s="7"/>
      <c r="AH1719" s="7"/>
      <c r="AI1719" s="7"/>
      <c r="AJ1719" s="6"/>
      <c r="AK1719" s="6"/>
      <c r="AL1719" s="6"/>
      <c r="AM1719" s="6"/>
      <c r="AN1719" s="6"/>
      <c r="AO1719" s="26"/>
      <c r="AP1719" s="11"/>
      <c r="AQ1719" s="7"/>
      <c r="AS1719" s="11"/>
      <c r="AT1719" s="6"/>
      <c r="AU1719" s="6"/>
      <c r="AV1719" s="6"/>
      <c r="AW1719" s="7"/>
      <c r="AX1719" s="6"/>
      <c r="AY1719" s="6"/>
      <c r="AZ1719" s="6"/>
      <c r="BA1719" s="6"/>
      <c r="BB1719" s="24"/>
      <c r="BD1719" s="6"/>
      <c r="BE1719" s="6"/>
      <c r="BF1719" s="6"/>
      <c r="BH1719" s="6"/>
      <c r="BI1719" s="6"/>
      <c r="BJ1719" s="6"/>
      <c r="BK1719" s="6"/>
      <c r="BL1719" s="6"/>
      <c r="BM1719" s="6"/>
    </row>
    <row r="1720" spans="1:65" x14ac:dyDescent="0.25">
      <c r="I1720" s="7"/>
      <c r="AH1720" s="7"/>
      <c r="AV1720" s="6"/>
    </row>
    <row r="1721" spans="1:65" x14ac:dyDescent="0.25">
      <c r="A1721" s="6"/>
      <c r="B1721" s="6"/>
      <c r="C1721" s="6"/>
      <c r="D1721" s="6"/>
      <c r="E1721" s="6"/>
      <c r="F1721" s="21"/>
      <c r="G1721" s="10"/>
      <c r="H1721" s="7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  <c r="AA1721" s="6"/>
      <c r="AB1721" s="6"/>
      <c r="AC1721" s="6"/>
      <c r="AD1721" s="6"/>
      <c r="AE1721" s="6"/>
      <c r="AF1721" s="25"/>
      <c r="AG1721" s="7"/>
      <c r="AH1721" s="7"/>
      <c r="AI1721" s="7"/>
      <c r="AJ1721" s="6"/>
      <c r="AK1721" s="6"/>
      <c r="AL1721" s="6"/>
      <c r="AM1721" s="6"/>
      <c r="AN1721" s="6"/>
      <c r="AO1721" s="26"/>
      <c r="AP1721" s="11"/>
      <c r="AQ1721" s="7"/>
      <c r="AS1721" s="11"/>
      <c r="AT1721" s="6"/>
      <c r="AU1721" s="6"/>
      <c r="AW1721" s="7"/>
      <c r="AX1721" s="6"/>
      <c r="AY1721" s="6"/>
      <c r="AZ1721" s="6"/>
      <c r="BA1721" s="6"/>
      <c r="BB1721" s="24"/>
      <c r="BD1721" s="6"/>
      <c r="BE1721" s="6"/>
      <c r="BF1721" s="6"/>
      <c r="BH1721" s="6"/>
      <c r="BI1721" s="6"/>
      <c r="BJ1721" s="6"/>
      <c r="BK1721" s="6"/>
      <c r="BL1721" s="6"/>
      <c r="BM1721" s="6"/>
    </row>
    <row r="1722" spans="1:65" x14ac:dyDescent="0.25">
      <c r="AV1722" s="6"/>
    </row>
    <row r="1723" spans="1:65" x14ac:dyDescent="0.25">
      <c r="I1723" s="7"/>
      <c r="AH1723" s="7"/>
      <c r="AV1723" s="6"/>
    </row>
    <row r="1724" spans="1:65" x14ac:dyDescent="0.25">
      <c r="A1724" s="6"/>
      <c r="B1724" s="6"/>
      <c r="C1724" s="6"/>
      <c r="D1724" s="6"/>
      <c r="E1724" s="6"/>
      <c r="F1724" s="21"/>
      <c r="G1724" s="10"/>
      <c r="H1724" s="7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  <c r="AA1724" s="6"/>
      <c r="AB1724" s="6"/>
      <c r="AC1724" s="6"/>
      <c r="AD1724" s="6"/>
      <c r="AE1724" s="6"/>
      <c r="AF1724" s="25"/>
      <c r="AG1724" s="7"/>
      <c r="AH1724" s="7"/>
      <c r="AI1724" s="7"/>
      <c r="AJ1724" s="6"/>
      <c r="AK1724" s="6"/>
      <c r="AL1724" s="6"/>
      <c r="AM1724" s="6"/>
      <c r="AN1724" s="6"/>
      <c r="AO1724" s="26"/>
      <c r="AP1724" s="11"/>
      <c r="AQ1724" s="7"/>
      <c r="AS1724" s="11"/>
      <c r="AT1724" s="6"/>
      <c r="AU1724" s="6"/>
      <c r="AW1724" s="7"/>
      <c r="AX1724" s="6"/>
      <c r="AY1724" s="6"/>
      <c r="AZ1724" s="6"/>
      <c r="BA1724" s="6"/>
      <c r="BB1724" s="24"/>
      <c r="BD1724" s="6"/>
      <c r="BE1724" s="6"/>
      <c r="BF1724" s="6"/>
      <c r="BH1724" s="6"/>
      <c r="BI1724" s="6"/>
      <c r="BJ1724" s="6"/>
      <c r="BK1724" s="6"/>
      <c r="BL1724" s="6"/>
      <c r="BM1724" s="6"/>
    </row>
    <row r="1725" spans="1:65" x14ac:dyDescent="0.25">
      <c r="A1725" s="6"/>
      <c r="B1725" s="6"/>
      <c r="C1725" s="6"/>
      <c r="D1725" s="6"/>
      <c r="E1725" s="6"/>
      <c r="F1725" s="21"/>
      <c r="G1725" s="10"/>
      <c r="H1725" s="7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  <c r="AA1725" s="6"/>
      <c r="AB1725" s="6"/>
      <c r="AC1725" s="6"/>
      <c r="AD1725" s="6"/>
      <c r="AE1725" s="6"/>
      <c r="AF1725" s="25"/>
      <c r="AG1725" s="7"/>
      <c r="AH1725" s="7"/>
      <c r="AI1725" s="7"/>
      <c r="AJ1725" s="6"/>
      <c r="AK1725" s="6"/>
      <c r="AL1725" s="6"/>
      <c r="AM1725" s="6"/>
      <c r="AN1725" s="6"/>
      <c r="AO1725" s="26"/>
      <c r="AP1725" s="11"/>
      <c r="AQ1725" s="7"/>
      <c r="AS1725" s="11"/>
      <c r="AT1725" s="6"/>
      <c r="AU1725" s="6"/>
      <c r="AV1725" s="6"/>
      <c r="AW1725" s="7"/>
      <c r="AX1725" s="6"/>
      <c r="AY1725" s="6"/>
      <c r="AZ1725" s="6"/>
      <c r="BA1725" s="6"/>
      <c r="BB1725" s="24"/>
      <c r="BD1725" s="6"/>
      <c r="BE1725" s="6"/>
      <c r="BF1725" s="6"/>
      <c r="BH1725" s="6"/>
      <c r="BI1725" s="6"/>
      <c r="BJ1725" s="6"/>
      <c r="BK1725" s="6"/>
      <c r="BL1725" s="6"/>
      <c r="BM1725" s="6"/>
    </row>
    <row r="1728" spans="1:65" x14ac:dyDescent="0.25">
      <c r="A1728" s="6"/>
      <c r="B1728" s="6"/>
      <c r="C1728" s="6"/>
      <c r="D1728" s="6"/>
      <c r="E1728" s="6"/>
      <c r="F1728" s="21"/>
      <c r="G1728" s="10"/>
      <c r="H1728" s="7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  <c r="AA1728" s="6"/>
      <c r="AB1728" s="6"/>
      <c r="AC1728" s="6"/>
      <c r="AD1728" s="6"/>
      <c r="AE1728" s="6"/>
      <c r="AF1728" s="25"/>
      <c r="AG1728" s="7"/>
      <c r="AH1728" s="7"/>
      <c r="AI1728" s="7"/>
      <c r="AJ1728" s="6"/>
      <c r="AK1728" s="6"/>
      <c r="AL1728" s="6"/>
      <c r="AM1728" s="6"/>
      <c r="AN1728" s="6"/>
      <c r="AO1728" s="26"/>
      <c r="AP1728" s="11"/>
      <c r="AQ1728" s="7"/>
      <c r="AS1728" s="11"/>
      <c r="AT1728" s="6"/>
      <c r="AU1728" s="6"/>
      <c r="AV1728" s="6"/>
      <c r="AW1728" s="7"/>
      <c r="AX1728" s="6"/>
      <c r="AY1728" s="6"/>
      <c r="AZ1728" s="6"/>
      <c r="BA1728" s="6"/>
      <c r="BB1728" s="24"/>
      <c r="BD1728" s="6"/>
      <c r="BE1728" s="6"/>
      <c r="BF1728" s="6"/>
      <c r="BH1728" s="6"/>
      <c r="BI1728" s="6"/>
      <c r="BJ1728" s="6"/>
      <c r="BK1728" s="6"/>
      <c r="BL1728" s="6"/>
      <c r="BM1728" s="6"/>
    </row>
    <row r="1729" spans="1:65" x14ac:dyDescent="0.25">
      <c r="I1729" s="7"/>
      <c r="AH1729" s="7"/>
      <c r="AV1729" s="6"/>
    </row>
    <row r="1730" spans="1:65" x14ac:dyDescent="0.25">
      <c r="A1730" s="6"/>
      <c r="B1730" s="6"/>
      <c r="C1730" s="6"/>
      <c r="D1730" s="6"/>
      <c r="E1730" s="6"/>
      <c r="F1730" s="21"/>
      <c r="G1730" s="10"/>
      <c r="H1730" s="7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  <c r="AA1730" s="6"/>
      <c r="AB1730" s="6"/>
      <c r="AC1730" s="6"/>
      <c r="AD1730" s="6"/>
      <c r="AE1730" s="6"/>
      <c r="AF1730" s="25"/>
      <c r="AG1730" s="7"/>
      <c r="AH1730" s="7"/>
      <c r="AI1730" s="7"/>
      <c r="AJ1730" s="6"/>
      <c r="AK1730" s="6"/>
      <c r="AL1730" s="6"/>
      <c r="AM1730" s="6"/>
      <c r="AN1730" s="6"/>
      <c r="AO1730" s="26"/>
      <c r="AP1730" s="11"/>
      <c r="AQ1730" s="7"/>
      <c r="AS1730" s="11"/>
      <c r="AT1730" s="6"/>
      <c r="AU1730" s="6"/>
      <c r="AW1730" s="7"/>
      <c r="AX1730" s="6"/>
      <c r="AY1730" s="6"/>
      <c r="AZ1730" s="6"/>
      <c r="BA1730" s="6"/>
      <c r="BB1730" s="24"/>
      <c r="BD1730" s="6"/>
      <c r="BE1730" s="6"/>
      <c r="BF1730" s="6"/>
      <c r="BH1730" s="6"/>
      <c r="BI1730" s="6"/>
      <c r="BJ1730" s="6"/>
      <c r="BK1730" s="6"/>
      <c r="BL1730" s="6"/>
      <c r="BM1730" s="6"/>
    </row>
    <row r="1731" spans="1:65" x14ac:dyDescent="0.25">
      <c r="AV1731" s="6"/>
    </row>
    <row r="1732" spans="1:65" x14ac:dyDescent="0.25">
      <c r="I1732" s="7"/>
      <c r="AH1732" s="7"/>
      <c r="AV1732" s="6"/>
    </row>
    <row r="1733" spans="1:65" x14ac:dyDescent="0.25">
      <c r="A1733" s="6"/>
      <c r="B1733" s="6"/>
      <c r="C1733" s="6"/>
      <c r="D1733" s="6"/>
      <c r="E1733" s="6"/>
      <c r="F1733" s="21"/>
      <c r="G1733" s="10"/>
      <c r="H1733" s="7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  <c r="AA1733" s="6"/>
      <c r="AB1733" s="6"/>
      <c r="AC1733" s="6"/>
      <c r="AD1733" s="6"/>
      <c r="AE1733" s="6"/>
      <c r="AF1733" s="25"/>
      <c r="AG1733" s="7"/>
      <c r="AH1733" s="7"/>
      <c r="AI1733" s="7"/>
      <c r="AJ1733" s="6"/>
      <c r="AK1733" s="6"/>
      <c r="AL1733" s="6"/>
      <c r="AM1733" s="6"/>
      <c r="AN1733" s="6"/>
      <c r="AO1733" s="26"/>
      <c r="AP1733" s="11"/>
      <c r="AQ1733" s="7"/>
      <c r="AS1733" s="11"/>
      <c r="AT1733" s="6"/>
      <c r="AU1733" s="6"/>
      <c r="AW1733" s="7"/>
      <c r="AX1733" s="6"/>
      <c r="AY1733" s="6"/>
      <c r="AZ1733" s="6"/>
      <c r="BA1733" s="6"/>
      <c r="BB1733" s="24"/>
      <c r="BD1733" s="6"/>
      <c r="BE1733" s="6"/>
      <c r="BF1733" s="6"/>
      <c r="BH1733" s="6"/>
      <c r="BI1733" s="6"/>
      <c r="BJ1733" s="6"/>
      <c r="BK1733" s="6"/>
      <c r="BL1733" s="6"/>
      <c r="BM1733" s="6"/>
    </row>
    <row r="1734" spans="1:65" x14ac:dyDescent="0.25">
      <c r="A1734" s="6"/>
      <c r="B1734" s="6"/>
      <c r="C1734" s="6"/>
      <c r="D1734" s="6"/>
      <c r="E1734" s="6"/>
      <c r="F1734" s="21"/>
      <c r="G1734" s="10"/>
      <c r="H1734" s="7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  <c r="AA1734" s="6"/>
      <c r="AB1734" s="6"/>
      <c r="AC1734" s="6"/>
      <c r="AD1734" s="6"/>
      <c r="AE1734" s="6"/>
      <c r="AF1734" s="25"/>
      <c r="AG1734" s="7"/>
      <c r="AH1734" s="7"/>
      <c r="AI1734" s="7"/>
      <c r="AJ1734" s="6"/>
      <c r="AK1734" s="6"/>
      <c r="AL1734" s="6"/>
      <c r="AM1734" s="6"/>
      <c r="AN1734" s="6"/>
      <c r="AO1734" s="26"/>
      <c r="AP1734" s="11"/>
      <c r="AQ1734" s="7"/>
      <c r="AS1734" s="11"/>
      <c r="AT1734" s="6"/>
      <c r="AU1734" s="6"/>
      <c r="AV1734" s="6"/>
      <c r="AW1734" s="7"/>
      <c r="AX1734" s="6"/>
      <c r="AY1734" s="6"/>
      <c r="AZ1734" s="6"/>
      <c r="BA1734" s="6"/>
      <c r="BB1734" s="24"/>
      <c r="BD1734" s="6"/>
      <c r="BE1734" s="6"/>
      <c r="BF1734" s="6"/>
      <c r="BH1734" s="6"/>
      <c r="BI1734" s="6"/>
      <c r="BJ1734" s="6"/>
      <c r="BK1734" s="6"/>
      <c r="BL1734" s="6"/>
      <c r="BM1734" s="6"/>
    </row>
    <row r="1737" spans="1:65" x14ac:dyDescent="0.25">
      <c r="A1737" s="6"/>
      <c r="B1737" s="6"/>
      <c r="C1737" s="6"/>
      <c r="D1737" s="6"/>
      <c r="E1737" s="6"/>
      <c r="F1737" s="21"/>
      <c r="G1737" s="10"/>
      <c r="H1737" s="7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  <c r="AA1737" s="6"/>
      <c r="AB1737" s="6"/>
      <c r="AC1737" s="6"/>
      <c r="AD1737" s="6"/>
      <c r="AE1737" s="6"/>
      <c r="AF1737" s="25"/>
      <c r="AG1737" s="7"/>
      <c r="AH1737" s="7"/>
      <c r="AI1737" s="7"/>
      <c r="AJ1737" s="6"/>
      <c r="AK1737" s="6"/>
      <c r="AL1737" s="6"/>
      <c r="AM1737" s="6"/>
      <c r="AN1737" s="6"/>
      <c r="AO1737" s="26"/>
      <c r="AP1737" s="11"/>
      <c r="AQ1737" s="7"/>
      <c r="AS1737" s="11"/>
      <c r="AT1737" s="6"/>
      <c r="AU1737" s="6"/>
      <c r="AV1737" s="6"/>
      <c r="AW1737" s="7"/>
      <c r="AX1737" s="6"/>
      <c r="AY1737" s="6"/>
      <c r="AZ1737" s="6"/>
      <c r="BA1737" s="6"/>
      <c r="BB1737" s="24"/>
      <c r="BD1737" s="6"/>
      <c r="BE1737" s="6"/>
      <c r="BF1737" s="6"/>
      <c r="BH1737" s="6"/>
      <c r="BI1737" s="6"/>
      <c r="BJ1737" s="6"/>
      <c r="BK1737" s="6"/>
      <c r="BL1737" s="6"/>
      <c r="BM1737" s="6"/>
    </row>
    <row r="1738" spans="1:65" x14ac:dyDescent="0.25">
      <c r="I1738" s="7"/>
      <c r="AH1738" s="7"/>
      <c r="AV1738" s="6"/>
    </row>
    <row r="1739" spans="1:65" x14ac:dyDescent="0.25">
      <c r="A1739" s="6"/>
      <c r="B1739" s="6"/>
      <c r="C1739" s="6"/>
      <c r="D1739" s="6"/>
      <c r="E1739" s="6"/>
      <c r="F1739" s="21"/>
      <c r="G1739" s="10"/>
      <c r="H1739" s="7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  <c r="AA1739" s="6"/>
      <c r="AB1739" s="6"/>
      <c r="AC1739" s="6"/>
      <c r="AD1739" s="6"/>
      <c r="AE1739" s="6"/>
      <c r="AF1739" s="25"/>
      <c r="AG1739" s="7"/>
      <c r="AH1739" s="7"/>
      <c r="AI1739" s="7"/>
      <c r="AJ1739" s="6"/>
      <c r="AK1739" s="6"/>
      <c r="AL1739" s="6"/>
      <c r="AM1739" s="6"/>
      <c r="AN1739" s="6"/>
      <c r="AO1739" s="26"/>
      <c r="AP1739" s="11"/>
      <c r="AQ1739" s="7"/>
      <c r="AS1739" s="11"/>
      <c r="AT1739" s="6"/>
      <c r="AU1739" s="6"/>
      <c r="AW1739" s="7"/>
      <c r="AX1739" s="6"/>
      <c r="AY1739" s="6"/>
      <c r="AZ1739" s="6"/>
      <c r="BA1739" s="6"/>
      <c r="BB1739" s="24"/>
      <c r="BD1739" s="6"/>
      <c r="BE1739" s="6"/>
      <c r="BF1739" s="6"/>
      <c r="BH1739" s="6"/>
      <c r="BI1739" s="6"/>
      <c r="BJ1739" s="6"/>
      <c r="BK1739" s="6"/>
      <c r="BL1739" s="6"/>
      <c r="BM1739" s="6"/>
    </row>
    <row r="1740" spans="1:65" x14ac:dyDescent="0.25">
      <c r="AV1740" s="6"/>
    </row>
    <row r="1741" spans="1:65" x14ac:dyDescent="0.25">
      <c r="I1741" s="7"/>
      <c r="AH1741" s="7"/>
      <c r="AV1741" s="6"/>
    </row>
    <row r="1742" spans="1:65" x14ac:dyDescent="0.25">
      <c r="A1742" s="6"/>
      <c r="B1742" s="6"/>
      <c r="C1742" s="6"/>
      <c r="D1742" s="6"/>
      <c r="E1742" s="6"/>
      <c r="F1742" s="21"/>
      <c r="G1742" s="10"/>
      <c r="H1742" s="7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  <c r="AA1742" s="6"/>
      <c r="AB1742" s="6"/>
      <c r="AC1742" s="6"/>
      <c r="AD1742" s="6"/>
      <c r="AE1742" s="6"/>
      <c r="AF1742" s="25"/>
      <c r="AG1742" s="7"/>
      <c r="AH1742" s="7"/>
      <c r="AI1742" s="7"/>
      <c r="AJ1742" s="6"/>
      <c r="AK1742" s="6"/>
      <c r="AL1742" s="6"/>
      <c r="AM1742" s="6"/>
      <c r="AN1742" s="6"/>
      <c r="AO1742" s="26"/>
      <c r="AP1742" s="11"/>
      <c r="AQ1742" s="7"/>
      <c r="AS1742" s="11"/>
      <c r="AT1742" s="6"/>
      <c r="AU1742" s="6"/>
      <c r="AW1742" s="7"/>
      <c r="AX1742" s="6"/>
      <c r="AY1742" s="6"/>
      <c r="AZ1742" s="6"/>
      <c r="BA1742" s="6"/>
      <c r="BB1742" s="24"/>
      <c r="BD1742" s="6"/>
      <c r="BE1742" s="6"/>
      <c r="BF1742" s="6"/>
      <c r="BH1742" s="6"/>
      <c r="BI1742" s="6"/>
      <c r="BJ1742" s="6"/>
      <c r="BK1742" s="6"/>
      <c r="BL1742" s="6"/>
      <c r="BM1742" s="6"/>
    </row>
    <row r="1743" spans="1:65" x14ac:dyDescent="0.25">
      <c r="A1743" s="6"/>
      <c r="B1743" s="6"/>
      <c r="C1743" s="6"/>
      <c r="D1743" s="6"/>
      <c r="E1743" s="6"/>
      <c r="F1743" s="21"/>
      <c r="G1743" s="10"/>
      <c r="H1743" s="7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  <c r="AA1743" s="6"/>
      <c r="AB1743" s="6"/>
      <c r="AC1743" s="6"/>
      <c r="AD1743" s="6"/>
      <c r="AE1743" s="6"/>
      <c r="AF1743" s="25"/>
      <c r="AG1743" s="7"/>
      <c r="AH1743" s="7"/>
      <c r="AI1743" s="7"/>
      <c r="AJ1743" s="6"/>
      <c r="AK1743" s="6"/>
      <c r="AL1743" s="6"/>
      <c r="AM1743" s="6"/>
      <c r="AN1743" s="6"/>
      <c r="AO1743" s="26"/>
      <c r="AP1743" s="11"/>
      <c r="AQ1743" s="7"/>
      <c r="AS1743" s="11"/>
      <c r="AT1743" s="6"/>
      <c r="AU1743" s="6"/>
      <c r="AV1743" s="6"/>
      <c r="AW1743" s="7"/>
      <c r="AX1743" s="6"/>
      <c r="AY1743" s="6"/>
      <c r="AZ1743" s="6"/>
      <c r="BA1743" s="6"/>
      <c r="BB1743" s="24"/>
      <c r="BD1743" s="6"/>
      <c r="BE1743" s="6"/>
      <c r="BF1743" s="6"/>
      <c r="BH1743" s="6"/>
      <c r="BI1743" s="6"/>
      <c r="BJ1743" s="6"/>
      <c r="BK1743" s="6"/>
      <c r="BL1743" s="6"/>
      <c r="BM1743" s="6"/>
    </row>
    <row r="1746" spans="1:65" x14ac:dyDescent="0.25">
      <c r="A1746" s="6"/>
      <c r="B1746" s="6"/>
      <c r="C1746" s="6"/>
      <c r="D1746" s="6"/>
      <c r="E1746" s="6"/>
      <c r="F1746" s="21"/>
      <c r="G1746" s="10"/>
      <c r="H1746" s="7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  <c r="AB1746" s="6"/>
      <c r="AC1746" s="6"/>
      <c r="AD1746" s="6"/>
      <c r="AE1746" s="6"/>
      <c r="AF1746" s="25"/>
      <c r="AG1746" s="7"/>
      <c r="AH1746" s="7"/>
      <c r="AI1746" s="7"/>
      <c r="AJ1746" s="6"/>
      <c r="AK1746" s="6"/>
      <c r="AL1746" s="6"/>
      <c r="AM1746" s="6"/>
      <c r="AN1746" s="6"/>
      <c r="AO1746" s="26"/>
      <c r="AP1746" s="11"/>
      <c r="AQ1746" s="7"/>
      <c r="AS1746" s="11"/>
      <c r="AT1746" s="6"/>
      <c r="AU1746" s="6"/>
      <c r="AV1746" s="6"/>
      <c r="AW1746" s="7"/>
      <c r="AX1746" s="6"/>
      <c r="AY1746" s="6"/>
      <c r="AZ1746" s="6"/>
      <c r="BA1746" s="6"/>
      <c r="BB1746" s="24"/>
      <c r="BD1746" s="6"/>
      <c r="BE1746" s="6"/>
      <c r="BF1746" s="6"/>
      <c r="BH1746" s="6"/>
      <c r="BI1746" s="6"/>
      <c r="BJ1746" s="6"/>
      <c r="BK1746" s="6"/>
      <c r="BL1746" s="6"/>
      <c r="BM1746" s="6"/>
    </row>
    <row r="1747" spans="1:65" x14ac:dyDescent="0.25">
      <c r="I1747" s="7"/>
      <c r="AH1747" s="7"/>
      <c r="AV1747" s="6"/>
    </row>
    <row r="1748" spans="1:65" x14ac:dyDescent="0.25">
      <c r="A1748" s="6"/>
      <c r="B1748" s="6"/>
      <c r="C1748" s="6"/>
      <c r="D1748" s="6"/>
      <c r="E1748" s="6"/>
      <c r="F1748" s="21"/>
      <c r="G1748" s="10"/>
      <c r="H1748" s="7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  <c r="AB1748" s="6"/>
      <c r="AC1748" s="6"/>
      <c r="AD1748" s="6"/>
      <c r="AE1748" s="6"/>
      <c r="AF1748" s="25"/>
      <c r="AG1748" s="7"/>
      <c r="AH1748" s="7"/>
      <c r="AI1748" s="7"/>
      <c r="AJ1748" s="6"/>
      <c r="AK1748" s="6"/>
      <c r="AL1748" s="6"/>
      <c r="AM1748" s="6"/>
      <c r="AN1748" s="6"/>
      <c r="AO1748" s="26"/>
      <c r="AP1748" s="11"/>
      <c r="AQ1748" s="7"/>
      <c r="AS1748" s="11"/>
      <c r="AT1748" s="6"/>
      <c r="AU1748" s="6"/>
      <c r="AW1748" s="7"/>
      <c r="AX1748" s="6"/>
      <c r="AY1748" s="6"/>
      <c r="AZ1748" s="6"/>
      <c r="BA1748" s="6"/>
      <c r="BB1748" s="24"/>
      <c r="BD1748" s="6"/>
      <c r="BE1748" s="6"/>
      <c r="BF1748" s="6"/>
      <c r="BH1748" s="6"/>
      <c r="BI1748" s="6"/>
      <c r="BJ1748" s="6"/>
      <c r="BK1748" s="6"/>
      <c r="BL1748" s="6"/>
      <c r="BM1748" s="6"/>
    </row>
    <row r="1749" spans="1:65" x14ac:dyDescent="0.25">
      <c r="AV1749" s="6"/>
    </row>
    <row r="1750" spans="1:65" x14ac:dyDescent="0.25">
      <c r="I1750" s="7"/>
      <c r="AH1750" s="7"/>
      <c r="AV1750" s="6"/>
    </row>
    <row r="1751" spans="1:65" x14ac:dyDescent="0.25">
      <c r="A1751" s="6"/>
      <c r="B1751" s="6"/>
      <c r="C1751" s="6"/>
      <c r="D1751" s="6"/>
      <c r="E1751" s="6"/>
      <c r="F1751" s="21"/>
      <c r="G1751" s="10"/>
      <c r="H1751" s="7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  <c r="AB1751" s="6"/>
      <c r="AC1751" s="6"/>
      <c r="AD1751" s="6"/>
      <c r="AE1751" s="6"/>
      <c r="AF1751" s="25"/>
      <c r="AG1751" s="7"/>
      <c r="AH1751" s="7"/>
      <c r="AI1751" s="7"/>
      <c r="AJ1751" s="6"/>
      <c r="AK1751" s="6"/>
      <c r="AL1751" s="6"/>
      <c r="AM1751" s="6"/>
      <c r="AN1751" s="6"/>
      <c r="AO1751" s="26"/>
      <c r="AP1751" s="11"/>
      <c r="AQ1751" s="7"/>
      <c r="AS1751" s="11"/>
      <c r="AT1751" s="6"/>
      <c r="AU1751" s="6"/>
      <c r="AW1751" s="7"/>
      <c r="AX1751" s="6"/>
      <c r="AY1751" s="6"/>
      <c r="AZ1751" s="6"/>
      <c r="BA1751" s="6"/>
      <c r="BB1751" s="24"/>
      <c r="BD1751" s="6"/>
      <c r="BE1751" s="6"/>
      <c r="BF1751" s="6"/>
      <c r="BH1751" s="6"/>
      <c r="BI1751" s="6"/>
      <c r="BJ1751" s="6"/>
      <c r="BK1751" s="6"/>
      <c r="BL1751" s="6"/>
      <c r="BM1751" s="6"/>
    </row>
    <row r="1752" spans="1:65" x14ac:dyDescent="0.25">
      <c r="A1752" s="6"/>
      <c r="B1752" s="6"/>
      <c r="C1752" s="6"/>
      <c r="D1752" s="6"/>
      <c r="E1752" s="6"/>
      <c r="F1752" s="21"/>
      <c r="G1752" s="10"/>
      <c r="H1752" s="7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  <c r="AA1752" s="6"/>
      <c r="AB1752" s="6"/>
      <c r="AC1752" s="6"/>
      <c r="AD1752" s="6"/>
      <c r="AE1752" s="6"/>
      <c r="AF1752" s="25"/>
      <c r="AG1752" s="7"/>
      <c r="AH1752" s="7"/>
      <c r="AI1752" s="7"/>
      <c r="AJ1752" s="6"/>
      <c r="AK1752" s="6"/>
      <c r="AL1752" s="6"/>
      <c r="AM1752" s="6"/>
      <c r="AN1752" s="6"/>
      <c r="AO1752" s="26"/>
      <c r="AP1752" s="11"/>
      <c r="AQ1752" s="7"/>
      <c r="AS1752" s="11"/>
      <c r="AT1752" s="6"/>
      <c r="AU1752" s="6"/>
      <c r="AV1752" s="6"/>
      <c r="AW1752" s="7"/>
      <c r="AX1752" s="6"/>
      <c r="AY1752" s="6"/>
      <c r="AZ1752" s="6"/>
      <c r="BA1752" s="6"/>
      <c r="BB1752" s="24"/>
      <c r="BD1752" s="6"/>
      <c r="BE1752" s="6"/>
      <c r="BF1752" s="6"/>
      <c r="BH1752" s="6"/>
      <c r="BI1752" s="6"/>
      <c r="BJ1752" s="6"/>
      <c r="BK1752" s="6"/>
      <c r="BL1752" s="6"/>
      <c r="BM1752" s="6"/>
    </row>
    <row r="1755" spans="1:65" x14ac:dyDescent="0.25">
      <c r="A1755" s="6"/>
      <c r="B1755" s="6"/>
      <c r="C1755" s="6"/>
      <c r="D1755" s="6"/>
      <c r="E1755" s="6"/>
      <c r="F1755" s="21"/>
      <c r="G1755" s="10"/>
      <c r="H1755" s="7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  <c r="AB1755" s="6"/>
      <c r="AC1755" s="6"/>
      <c r="AD1755" s="6"/>
      <c r="AE1755" s="6"/>
      <c r="AF1755" s="25"/>
      <c r="AG1755" s="7"/>
      <c r="AH1755" s="7"/>
      <c r="AI1755" s="7"/>
      <c r="AJ1755" s="6"/>
      <c r="AK1755" s="6"/>
      <c r="AL1755" s="6"/>
      <c r="AM1755" s="6"/>
      <c r="AN1755" s="6"/>
      <c r="AO1755" s="26"/>
      <c r="AP1755" s="11"/>
      <c r="AQ1755" s="7"/>
      <c r="AS1755" s="11"/>
      <c r="AT1755" s="6"/>
      <c r="AU1755" s="6"/>
      <c r="AV1755" s="6"/>
      <c r="AW1755" s="7"/>
      <c r="AX1755" s="6"/>
      <c r="AY1755" s="6"/>
      <c r="AZ1755" s="6"/>
      <c r="BA1755" s="6"/>
      <c r="BB1755" s="24"/>
      <c r="BD1755" s="6"/>
      <c r="BE1755" s="6"/>
      <c r="BF1755" s="6"/>
      <c r="BH1755" s="6"/>
      <c r="BI1755" s="6"/>
      <c r="BJ1755" s="6"/>
      <c r="BK1755" s="6"/>
      <c r="BL1755" s="6"/>
      <c r="BM1755" s="6"/>
    </row>
    <row r="1756" spans="1:65" x14ac:dyDescent="0.25">
      <c r="I1756" s="7"/>
      <c r="AH1756" s="7"/>
      <c r="AV1756" s="6"/>
    </row>
    <row r="1757" spans="1:65" x14ac:dyDescent="0.25">
      <c r="A1757" s="6"/>
      <c r="B1757" s="6"/>
      <c r="C1757" s="6"/>
      <c r="D1757" s="6"/>
      <c r="E1757" s="6"/>
      <c r="F1757" s="21"/>
      <c r="G1757" s="10"/>
      <c r="H1757" s="7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  <c r="AB1757" s="6"/>
      <c r="AC1757" s="6"/>
      <c r="AD1757" s="6"/>
      <c r="AE1757" s="6"/>
      <c r="AF1757" s="25"/>
      <c r="AG1757" s="7"/>
      <c r="AH1757" s="7"/>
      <c r="AI1757" s="7"/>
      <c r="AJ1757" s="6"/>
      <c r="AK1757" s="6"/>
      <c r="AL1757" s="6"/>
      <c r="AM1757" s="6"/>
      <c r="AN1757" s="6"/>
      <c r="AO1757" s="26"/>
      <c r="AP1757" s="11"/>
      <c r="AQ1757" s="7"/>
      <c r="AS1757" s="11"/>
      <c r="AT1757" s="6"/>
      <c r="AU1757" s="6"/>
      <c r="AW1757" s="7"/>
      <c r="AX1757" s="6"/>
      <c r="AY1757" s="6"/>
      <c r="AZ1757" s="6"/>
      <c r="BA1757" s="6"/>
      <c r="BB1757" s="24"/>
      <c r="BD1757" s="6"/>
      <c r="BE1757" s="6"/>
      <c r="BF1757" s="6"/>
      <c r="BH1757" s="6"/>
      <c r="BI1757" s="6"/>
      <c r="BJ1757" s="6"/>
      <c r="BK1757" s="6"/>
      <c r="BL1757" s="6"/>
      <c r="BM1757" s="6"/>
    </row>
    <row r="1758" spans="1:65" x14ac:dyDescent="0.25">
      <c r="AV1758" s="6"/>
    </row>
    <row r="1759" spans="1:65" x14ac:dyDescent="0.25">
      <c r="I1759" s="7"/>
      <c r="AH1759" s="7"/>
      <c r="AV1759" s="6"/>
    </row>
    <row r="1760" spans="1:65" x14ac:dyDescent="0.25">
      <c r="A1760" s="6"/>
      <c r="B1760" s="6"/>
      <c r="C1760" s="6"/>
      <c r="D1760" s="6"/>
      <c r="E1760" s="6"/>
      <c r="F1760" s="21"/>
      <c r="G1760" s="10"/>
      <c r="H1760" s="7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  <c r="AB1760" s="6"/>
      <c r="AC1760" s="6"/>
      <c r="AD1760" s="6"/>
      <c r="AE1760" s="6"/>
      <c r="AF1760" s="25"/>
      <c r="AG1760" s="7"/>
      <c r="AH1760" s="7"/>
      <c r="AI1760" s="7"/>
      <c r="AJ1760" s="6"/>
      <c r="AK1760" s="6"/>
      <c r="AL1760" s="6"/>
      <c r="AM1760" s="6"/>
      <c r="AN1760" s="6"/>
      <c r="AO1760" s="26"/>
      <c r="AP1760" s="11"/>
      <c r="AQ1760" s="7"/>
      <c r="AS1760" s="11"/>
      <c r="AT1760" s="6"/>
      <c r="AU1760" s="6"/>
      <c r="AW1760" s="7"/>
      <c r="AX1760" s="6"/>
      <c r="AY1760" s="6"/>
      <c r="AZ1760" s="6"/>
      <c r="BA1760" s="6"/>
      <c r="BB1760" s="24"/>
      <c r="BD1760" s="6"/>
      <c r="BE1760" s="6"/>
      <c r="BF1760" s="6"/>
      <c r="BH1760" s="6"/>
      <c r="BI1760" s="6"/>
      <c r="BJ1760" s="6"/>
      <c r="BK1760" s="6"/>
      <c r="BL1760" s="6"/>
      <c r="BM1760" s="6"/>
    </row>
    <row r="1761" spans="1:65" x14ac:dyDescent="0.25">
      <c r="A1761" s="6"/>
      <c r="B1761" s="6"/>
      <c r="C1761" s="6"/>
      <c r="D1761" s="6"/>
      <c r="E1761" s="6"/>
      <c r="F1761" s="21"/>
      <c r="G1761" s="10"/>
      <c r="H1761" s="7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  <c r="AB1761" s="6"/>
      <c r="AC1761" s="6"/>
      <c r="AD1761" s="6"/>
      <c r="AE1761" s="6"/>
      <c r="AF1761" s="25"/>
      <c r="AG1761" s="7"/>
      <c r="AH1761" s="7"/>
      <c r="AI1761" s="7"/>
      <c r="AJ1761" s="6"/>
      <c r="AK1761" s="6"/>
      <c r="AL1761" s="6"/>
      <c r="AM1761" s="6"/>
      <c r="AN1761" s="6"/>
      <c r="AO1761" s="26"/>
      <c r="AP1761" s="11"/>
      <c r="AQ1761" s="7"/>
      <c r="AS1761" s="11"/>
      <c r="AT1761" s="6"/>
      <c r="AU1761" s="6"/>
      <c r="AV1761" s="6"/>
      <c r="AW1761" s="7"/>
      <c r="AX1761" s="6"/>
      <c r="AY1761" s="6"/>
      <c r="AZ1761" s="6"/>
      <c r="BA1761" s="6"/>
      <c r="BB1761" s="24"/>
      <c r="BD1761" s="6"/>
      <c r="BE1761" s="6"/>
      <c r="BF1761" s="6"/>
      <c r="BH1761" s="6"/>
      <c r="BI1761" s="6"/>
      <c r="BJ1761" s="6"/>
      <c r="BK1761" s="6"/>
      <c r="BL1761" s="6"/>
      <c r="BM1761" s="6"/>
    </row>
    <row r="1764" spans="1:65" x14ac:dyDescent="0.25">
      <c r="A1764" s="6"/>
      <c r="B1764" s="6"/>
      <c r="C1764" s="6"/>
      <c r="D1764" s="6"/>
      <c r="E1764" s="6"/>
      <c r="F1764" s="21"/>
      <c r="G1764" s="10"/>
      <c r="H1764" s="7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  <c r="AA1764" s="6"/>
      <c r="AB1764" s="6"/>
      <c r="AC1764" s="6"/>
      <c r="AD1764" s="6"/>
      <c r="AE1764" s="6"/>
      <c r="AF1764" s="25"/>
      <c r="AG1764" s="7"/>
      <c r="AH1764" s="7"/>
      <c r="AI1764" s="7"/>
      <c r="AJ1764" s="6"/>
      <c r="AK1764" s="6"/>
      <c r="AL1764" s="6"/>
      <c r="AM1764" s="6"/>
      <c r="AN1764" s="6"/>
      <c r="AO1764" s="26"/>
      <c r="AP1764" s="11"/>
      <c r="AQ1764" s="7"/>
      <c r="AS1764" s="11"/>
      <c r="AT1764" s="6"/>
      <c r="AU1764" s="6"/>
      <c r="AV1764" s="6"/>
      <c r="AW1764" s="7"/>
      <c r="AX1764" s="6"/>
      <c r="AY1764" s="6"/>
      <c r="AZ1764" s="6"/>
      <c r="BA1764" s="6"/>
      <c r="BB1764" s="24"/>
      <c r="BD1764" s="6"/>
      <c r="BE1764" s="6"/>
      <c r="BF1764" s="6"/>
      <c r="BH1764" s="6"/>
      <c r="BI1764" s="6"/>
      <c r="BJ1764" s="6"/>
      <c r="BK1764" s="6"/>
      <c r="BL1764" s="6"/>
      <c r="BM1764" s="6"/>
    </row>
    <row r="1765" spans="1:65" x14ac:dyDescent="0.25">
      <c r="I1765" s="7"/>
      <c r="AH1765" s="7"/>
      <c r="AV1765" s="6"/>
    </row>
    <row r="1766" spans="1:65" x14ac:dyDescent="0.25">
      <c r="A1766" s="6"/>
      <c r="B1766" s="6"/>
      <c r="C1766" s="6"/>
      <c r="D1766" s="6"/>
      <c r="E1766" s="6"/>
      <c r="F1766" s="21"/>
      <c r="G1766" s="10"/>
      <c r="H1766" s="7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  <c r="AA1766" s="6"/>
      <c r="AB1766" s="6"/>
      <c r="AC1766" s="6"/>
      <c r="AD1766" s="6"/>
      <c r="AE1766" s="6"/>
      <c r="AF1766" s="25"/>
      <c r="AG1766" s="7"/>
      <c r="AH1766" s="7"/>
      <c r="AI1766" s="7"/>
      <c r="AJ1766" s="6"/>
      <c r="AK1766" s="6"/>
      <c r="AL1766" s="6"/>
      <c r="AM1766" s="6"/>
      <c r="AN1766" s="6"/>
      <c r="AO1766" s="26"/>
      <c r="AP1766" s="11"/>
      <c r="AQ1766" s="7"/>
      <c r="AS1766" s="11"/>
      <c r="AT1766" s="6"/>
      <c r="AU1766" s="6"/>
      <c r="AW1766" s="7"/>
      <c r="AX1766" s="6"/>
      <c r="AY1766" s="6"/>
      <c r="AZ1766" s="6"/>
      <c r="BA1766" s="6"/>
      <c r="BB1766" s="24"/>
      <c r="BD1766" s="6"/>
      <c r="BE1766" s="6"/>
      <c r="BF1766" s="6"/>
      <c r="BH1766" s="6"/>
      <c r="BI1766" s="6"/>
      <c r="BJ1766" s="6"/>
      <c r="BK1766" s="6"/>
      <c r="BL1766" s="6"/>
      <c r="BM1766" s="6"/>
    </row>
    <row r="1767" spans="1:65" x14ac:dyDescent="0.25">
      <c r="AV1767" s="6"/>
    </row>
    <row r="1768" spans="1:65" x14ac:dyDescent="0.25">
      <c r="I1768" s="7"/>
      <c r="AH1768" s="7"/>
      <c r="AV1768" s="6"/>
    </row>
    <row r="1769" spans="1:65" x14ac:dyDescent="0.25">
      <c r="A1769" s="6"/>
      <c r="B1769" s="6"/>
      <c r="C1769" s="6"/>
      <c r="D1769" s="6"/>
      <c r="E1769" s="6"/>
      <c r="F1769" s="21"/>
      <c r="G1769" s="10"/>
      <c r="H1769" s="7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  <c r="AA1769" s="6"/>
      <c r="AB1769" s="6"/>
      <c r="AC1769" s="6"/>
      <c r="AD1769" s="6"/>
      <c r="AE1769" s="6"/>
      <c r="AF1769" s="25"/>
      <c r="AG1769" s="7"/>
      <c r="AH1769" s="7"/>
      <c r="AI1769" s="7"/>
      <c r="AJ1769" s="6"/>
      <c r="AK1769" s="6"/>
      <c r="AL1769" s="6"/>
      <c r="AM1769" s="6"/>
      <c r="AN1769" s="6"/>
      <c r="AO1769" s="26"/>
      <c r="AP1769" s="11"/>
      <c r="AQ1769" s="7"/>
      <c r="AS1769" s="11"/>
      <c r="AT1769" s="6"/>
      <c r="AU1769" s="6"/>
      <c r="AW1769" s="7"/>
      <c r="AX1769" s="6"/>
      <c r="AY1769" s="6"/>
      <c r="AZ1769" s="6"/>
      <c r="BA1769" s="6"/>
      <c r="BB1769" s="24"/>
      <c r="BD1769" s="6"/>
      <c r="BE1769" s="6"/>
      <c r="BF1769" s="6"/>
      <c r="BH1769" s="6"/>
      <c r="BI1769" s="6"/>
      <c r="BJ1769" s="6"/>
      <c r="BK1769" s="6"/>
      <c r="BL1769" s="6"/>
      <c r="BM1769" s="6"/>
    </row>
    <row r="1770" spans="1:65" x14ac:dyDescent="0.25">
      <c r="A1770" s="6"/>
      <c r="B1770" s="6"/>
      <c r="C1770" s="6"/>
      <c r="D1770" s="6"/>
      <c r="E1770" s="6"/>
      <c r="F1770" s="21"/>
      <c r="G1770" s="10"/>
      <c r="H1770" s="7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  <c r="AA1770" s="6"/>
      <c r="AB1770" s="6"/>
      <c r="AC1770" s="6"/>
      <c r="AD1770" s="6"/>
      <c r="AE1770" s="6"/>
      <c r="AF1770" s="25"/>
      <c r="AG1770" s="7"/>
      <c r="AH1770" s="7"/>
      <c r="AI1770" s="7"/>
      <c r="AJ1770" s="6"/>
      <c r="AK1770" s="6"/>
      <c r="AL1770" s="6"/>
      <c r="AM1770" s="6"/>
      <c r="AN1770" s="6"/>
      <c r="AO1770" s="26"/>
      <c r="AP1770" s="11"/>
      <c r="AQ1770" s="7"/>
      <c r="AS1770" s="11"/>
      <c r="AT1770" s="6"/>
      <c r="AU1770" s="6"/>
      <c r="AV1770" s="6"/>
      <c r="AW1770" s="7"/>
      <c r="AX1770" s="6"/>
      <c r="AY1770" s="6"/>
      <c r="AZ1770" s="6"/>
      <c r="BA1770" s="6"/>
      <c r="BB1770" s="24"/>
      <c r="BD1770" s="6"/>
      <c r="BE1770" s="6"/>
      <c r="BF1770" s="6"/>
      <c r="BH1770" s="6"/>
      <c r="BI1770" s="6"/>
      <c r="BJ1770" s="6"/>
      <c r="BK1770" s="6"/>
      <c r="BL1770" s="6"/>
      <c r="BM1770" s="6"/>
    </row>
    <row r="1773" spans="1:65" x14ac:dyDescent="0.25">
      <c r="A1773" s="6"/>
      <c r="B1773" s="6"/>
      <c r="C1773" s="6"/>
      <c r="D1773" s="6"/>
      <c r="E1773" s="6"/>
      <c r="F1773" s="21"/>
      <c r="G1773" s="10"/>
      <c r="H1773" s="7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  <c r="AB1773" s="6"/>
      <c r="AC1773" s="6"/>
      <c r="AD1773" s="6"/>
      <c r="AE1773" s="6"/>
      <c r="AF1773" s="25"/>
      <c r="AG1773" s="7"/>
      <c r="AH1773" s="7"/>
      <c r="AI1773" s="7"/>
      <c r="AJ1773" s="6"/>
      <c r="AK1773" s="6"/>
      <c r="AL1773" s="6"/>
      <c r="AM1773" s="6"/>
      <c r="AN1773" s="6"/>
      <c r="AO1773" s="26"/>
      <c r="AP1773" s="11"/>
      <c r="AQ1773" s="7"/>
      <c r="AS1773" s="11"/>
      <c r="AT1773" s="6"/>
      <c r="AU1773" s="6"/>
      <c r="AV1773" s="6"/>
      <c r="AW1773" s="7"/>
      <c r="AX1773" s="6"/>
      <c r="AY1773" s="6"/>
      <c r="AZ1773" s="6"/>
      <c r="BA1773" s="6"/>
      <c r="BB1773" s="24"/>
      <c r="BD1773" s="6"/>
      <c r="BE1773" s="6"/>
      <c r="BF1773" s="6"/>
      <c r="BH1773" s="6"/>
      <c r="BI1773" s="6"/>
      <c r="BJ1773" s="6"/>
      <c r="BK1773" s="6"/>
      <c r="BL1773" s="6"/>
      <c r="BM1773" s="6"/>
    </row>
    <row r="1774" spans="1:65" x14ac:dyDescent="0.25">
      <c r="I1774" s="7"/>
      <c r="AH1774" s="7"/>
      <c r="AV1774" s="6"/>
    </row>
    <row r="1775" spans="1:65" x14ac:dyDescent="0.25">
      <c r="A1775" s="6"/>
      <c r="B1775" s="6"/>
      <c r="C1775" s="6"/>
      <c r="D1775" s="6"/>
      <c r="E1775" s="6"/>
      <c r="F1775" s="21"/>
      <c r="G1775" s="10"/>
      <c r="H1775" s="7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  <c r="AB1775" s="6"/>
      <c r="AC1775" s="6"/>
      <c r="AD1775" s="6"/>
      <c r="AE1775" s="6"/>
      <c r="AF1775" s="25"/>
      <c r="AG1775" s="7"/>
      <c r="AH1775" s="7"/>
      <c r="AI1775" s="7"/>
      <c r="AJ1775" s="6"/>
      <c r="AK1775" s="6"/>
      <c r="AL1775" s="6"/>
      <c r="AM1775" s="6"/>
      <c r="AN1775" s="6"/>
      <c r="AO1775" s="26"/>
      <c r="AP1775" s="11"/>
      <c r="AQ1775" s="7"/>
      <c r="AS1775" s="11"/>
      <c r="AT1775" s="6"/>
      <c r="AU1775" s="6"/>
      <c r="AW1775" s="7"/>
      <c r="AX1775" s="6"/>
      <c r="AY1775" s="6"/>
      <c r="AZ1775" s="6"/>
      <c r="BA1775" s="6"/>
      <c r="BB1775" s="24"/>
      <c r="BD1775" s="6"/>
      <c r="BE1775" s="6"/>
      <c r="BF1775" s="6"/>
      <c r="BH1775" s="6"/>
      <c r="BI1775" s="6"/>
      <c r="BJ1775" s="6"/>
      <c r="BK1775" s="6"/>
      <c r="BL1775" s="6"/>
      <c r="BM1775" s="6"/>
    </row>
    <row r="1776" spans="1:65" x14ac:dyDescent="0.25">
      <c r="AV1776" s="6"/>
    </row>
    <row r="1777" spans="1:65" x14ac:dyDescent="0.25">
      <c r="I1777" s="7"/>
      <c r="AH1777" s="7"/>
      <c r="AV1777" s="6"/>
    </row>
    <row r="1778" spans="1:65" x14ac:dyDescent="0.25">
      <c r="A1778" s="6"/>
      <c r="B1778" s="6"/>
      <c r="C1778" s="6"/>
      <c r="D1778" s="6"/>
      <c r="E1778" s="6"/>
      <c r="F1778" s="21"/>
      <c r="G1778" s="10"/>
      <c r="H1778" s="7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  <c r="AB1778" s="6"/>
      <c r="AC1778" s="6"/>
      <c r="AD1778" s="6"/>
      <c r="AE1778" s="6"/>
      <c r="AF1778" s="25"/>
      <c r="AG1778" s="7"/>
      <c r="AH1778" s="7"/>
      <c r="AI1778" s="7"/>
      <c r="AJ1778" s="6"/>
      <c r="AK1778" s="6"/>
      <c r="AL1778" s="6"/>
      <c r="AM1778" s="6"/>
      <c r="AN1778" s="6"/>
      <c r="AO1778" s="26"/>
      <c r="AP1778" s="11"/>
      <c r="AQ1778" s="7"/>
      <c r="AS1778" s="11"/>
      <c r="AT1778" s="6"/>
      <c r="AU1778" s="6"/>
      <c r="AW1778" s="7"/>
      <c r="AX1778" s="6"/>
      <c r="AY1778" s="6"/>
      <c r="AZ1778" s="6"/>
      <c r="BA1778" s="6"/>
      <c r="BB1778" s="24"/>
      <c r="BD1778" s="6"/>
      <c r="BE1778" s="6"/>
      <c r="BF1778" s="6"/>
      <c r="BH1778" s="6"/>
      <c r="BI1778" s="6"/>
      <c r="BJ1778" s="6"/>
      <c r="BK1778" s="6"/>
      <c r="BL1778" s="6"/>
      <c r="BM1778" s="6"/>
    </row>
    <row r="1779" spans="1:65" x14ac:dyDescent="0.25">
      <c r="A1779" s="6"/>
      <c r="B1779" s="6"/>
      <c r="C1779" s="6"/>
      <c r="D1779" s="6"/>
      <c r="E1779" s="6"/>
      <c r="F1779" s="21"/>
      <c r="G1779" s="10"/>
      <c r="H1779" s="7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  <c r="AB1779" s="6"/>
      <c r="AC1779" s="6"/>
      <c r="AD1779" s="6"/>
      <c r="AE1779" s="6"/>
      <c r="AF1779" s="25"/>
      <c r="AG1779" s="7"/>
      <c r="AH1779" s="7"/>
      <c r="AI1779" s="7"/>
      <c r="AJ1779" s="6"/>
      <c r="AK1779" s="6"/>
      <c r="AL1779" s="6"/>
      <c r="AM1779" s="6"/>
      <c r="AN1779" s="6"/>
      <c r="AO1779" s="26"/>
      <c r="AP1779" s="11"/>
      <c r="AQ1779" s="7"/>
      <c r="AS1779" s="11"/>
      <c r="AT1779" s="6"/>
      <c r="AU1779" s="6"/>
      <c r="AV1779" s="6"/>
      <c r="AW1779" s="7"/>
      <c r="AX1779" s="6"/>
      <c r="AY1779" s="6"/>
      <c r="AZ1779" s="6"/>
      <c r="BA1779" s="6"/>
      <c r="BB1779" s="24"/>
      <c r="BD1779" s="6"/>
      <c r="BE1779" s="6"/>
      <c r="BF1779" s="6"/>
      <c r="BH1779" s="6"/>
      <c r="BI1779" s="6"/>
      <c r="BJ1779" s="6"/>
      <c r="BK1779" s="6"/>
      <c r="BL1779" s="6"/>
      <c r="BM1779" s="6"/>
    </row>
    <row r="1782" spans="1:65" x14ac:dyDescent="0.25">
      <c r="A1782" s="6"/>
      <c r="B1782" s="6"/>
      <c r="C1782" s="6"/>
      <c r="D1782" s="6"/>
      <c r="E1782" s="6"/>
      <c r="F1782" s="21"/>
      <c r="G1782" s="10"/>
      <c r="H1782" s="7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  <c r="AB1782" s="6"/>
      <c r="AC1782" s="6"/>
      <c r="AD1782" s="6"/>
      <c r="AE1782" s="6"/>
      <c r="AF1782" s="25"/>
      <c r="AG1782" s="7"/>
      <c r="AH1782" s="7"/>
      <c r="AI1782" s="7"/>
      <c r="AJ1782" s="6"/>
      <c r="AK1782" s="6"/>
      <c r="AL1782" s="6"/>
      <c r="AM1782" s="6"/>
      <c r="AN1782" s="6"/>
      <c r="AO1782" s="26"/>
      <c r="AP1782" s="11"/>
      <c r="AQ1782" s="7"/>
      <c r="AS1782" s="11"/>
      <c r="AT1782" s="6"/>
      <c r="AU1782" s="6"/>
      <c r="AV1782" s="6"/>
      <c r="AW1782" s="7"/>
      <c r="AX1782" s="6"/>
      <c r="AY1782" s="6"/>
      <c r="AZ1782" s="6"/>
      <c r="BA1782" s="6"/>
      <c r="BB1782" s="24"/>
      <c r="BD1782" s="6"/>
      <c r="BE1782" s="6"/>
      <c r="BF1782" s="6"/>
      <c r="BH1782" s="6"/>
      <c r="BI1782" s="6"/>
      <c r="BJ1782" s="6"/>
      <c r="BK1782" s="6"/>
      <c r="BL1782" s="6"/>
      <c r="BM1782" s="6"/>
    </row>
    <row r="1783" spans="1:65" x14ac:dyDescent="0.25">
      <c r="I1783" s="7"/>
      <c r="AH1783" s="7"/>
      <c r="AV1783" s="6"/>
    </row>
    <row r="1784" spans="1:65" x14ac:dyDescent="0.25">
      <c r="A1784" s="6"/>
      <c r="B1784" s="6"/>
      <c r="C1784" s="6"/>
      <c r="D1784" s="6"/>
      <c r="E1784" s="6"/>
      <c r="F1784" s="21"/>
      <c r="G1784" s="10"/>
      <c r="H1784" s="7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  <c r="AA1784" s="6"/>
      <c r="AB1784" s="6"/>
      <c r="AC1784" s="6"/>
      <c r="AD1784" s="6"/>
      <c r="AE1784" s="6"/>
      <c r="AF1784" s="25"/>
      <c r="AG1784" s="7"/>
      <c r="AH1784" s="7"/>
      <c r="AI1784" s="7"/>
      <c r="AJ1784" s="6"/>
      <c r="AK1784" s="6"/>
      <c r="AL1784" s="6"/>
      <c r="AM1784" s="6"/>
      <c r="AN1784" s="6"/>
      <c r="AO1784" s="26"/>
      <c r="AP1784" s="11"/>
      <c r="AQ1784" s="7"/>
      <c r="AS1784" s="11"/>
      <c r="AT1784" s="6"/>
      <c r="AU1784" s="6"/>
      <c r="AW1784" s="7"/>
      <c r="AX1784" s="6"/>
      <c r="AY1784" s="6"/>
      <c r="AZ1784" s="6"/>
      <c r="BA1784" s="6"/>
      <c r="BB1784" s="24"/>
      <c r="BD1784" s="6"/>
      <c r="BE1784" s="6"/>
      <c r="BF1784" s="6"/>
      <c r="BH1784" s="6"/>
      <c r="BI1784" s="6"/>
      <c r="BJ1784" s="6"/>
      <c r="BK1784" s="6"/>
      <c r="BL1784" s="6"/>
      <c r="BM1784" s="6"/>
    </row>
    <row r="1785" spans="1:65" x14ac:dyDescent="0.25">
      <c r="AV1785" s="6"/>
    </row>
    <row r="1786" spans="1:65" x14ac:dyDescent="0.25">
      <c r="I1786" s="7"/>
      <c r="AH1786" s="7"/>
      <c r="AV1786" s="6"/>
    </row>
    <row r="1787" spans="1:65" x14ac:dyDescent="0.25">
      <c r="A1787" s="6"/>
      <c r="B1787" s="6"/>
      <c r="C1787" s="6"/>
      <c r="D1787" s="6"/>
      <c r="E1787" s="6"/>
      <c r="F1787" s="21"/>
      <c r="G1787" s="10"/>
      <c r="H1787" s="7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  <c r="AA1787" s="6"/>
      <c r="AB1787" s="6"/>
      <c r="AC1787" s="6"/>
      <c r="AD1787" s="6"/>
      <c r="AE1787" s="6"/>
      <c r="AF1787" s="25"/>
      <c r="AG1787" s="7"/>
      <c r="AH1787" s="7"/>
      <c r="AI1787" s="7"/>
      <c r="AJ1787" s="6"/>
      <c r="AK1787" s="6"/>
      <c r="AL1787" s="6"/>
      <c r="AM1787" s="6"/>
      <c r="AN1787" s="6"/>
      <c r="AO1787" s="26"/>
      <c r="AP1787" s="11"/>
      <c r="AQ1787" s="7"/>
      <c r="AS1787" s="11"/>
      <c r="AT1787" s="6"/>
      <c r="AU1787" s="6"/>
      <c r="AW1787" s="7"/>
      <c r="AX1787" s="6"/>
      <c r="AY1787" s="6"/>
      <c r="AZ1787" s="6"/>
      <c r="BA1787" s="6"/>
      <c r="BB1787" s="24"/>
      <c r="BD1787" s="6"/>
      <c r="BE1787" s="6"/>
      <c r="BF1787" s="6"/>
      <c r="BH1787" s="6"/>
      <c r="BI1787" s="6"/>
      <c r="BJ1787" s="6"/>
      <c r="BK1787" s="6"/>
      <c r="BL1787" s="6"/>
      <c r="BM1787" s="6"/>
    </row>
    <row r="1788" spans="1:65" x14ac:dyDescent="0.25">
      <c r="A1788" s="6"/>
      <c r="B1788" s="6"/>
      <c r="C1788" s="6"/>
      <c r="D1788" s="6"/>
      <c r="E1788" s="6"/>
      <c r="F1788" s="21"/>
      <c r="G1788" s="10"/>
      <c r="H1788" s="7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  <c r="AA1788" s="6"/>
      <c r="AB1788" s="6"/>
      <c r="AC1788" s="6"/>
      <c r="AD1788" s="6"/>
      <c r="AE1788" s="6"/>
      <c r="AF1788" s="25"/>
      <c r="AG1788" s="7"/>
      <c r="AH1788" s="7"/>
      <c r="AI1788" s="7"/>
      <c r="AJ1788" s="6"/>
      <c r="AK1788" s="6"/>
      <c r="AL1788" s="6"/>
      <c r="AM1788" s="6"/>
      <c r="AN1788" s="6"/>
      <c r="AO1788" s="26"/>
      <c r="AP1788" s="11"/>
      <c r="AQ1788" s="7"/>
      <c r="AS1788" s="11"/>
      <c r="AT1788" s="6"/>
      <c r="AU1788" s="6"/>
      <c r="AV1788" s="6"/>
      <c r="AW1788" s="7"/>
      <c r="AX1788" s="6"/>
      <c r="AY1788" s="6"/>
      <c r="AZ1788" s="6"/>
      <c r="BA1788" s="6"/>
      <c r="BB1788" s="24"/>
      <c r="BD1788" s="6"/>
      <c r="BE1788" s="6"/>
      <c r="BF1788" s="6"/>
      <c r="BH1788" s="6"/>
      <c r="BI1788" s="6"/>
      <c r="BJ1788" s="6"/>
      <c r="BK1788" s="6"/>
      <c r="BL1788" s="6"/>
      <c r="BM1788" s="6"/>
    </row>
    <row r="1791" spans="1:65" x14ac:dyDescent="0.25">
      <c r="A1791" s="6"/>
      <c r="B1791" s="6"/>
      <c r="C1791" s="6"/>
      <c r="D1791" s="6"/>
      <c r="E1791" s="6"/>
      <c r="F1791" s="21"/>
      <c r="G1791" s="10"/>
      <c r="H1791" s="7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  <c r="AB1791" s="6"/>
      <c r="AC1791" s="6"/>
      <c r="AD1791" s="6"/>
      <c r="AE1791" s="6"/>
      <c r="AF1791" s="25"/>
      <c r="AG1791" s="7"/>
      <c r="AH1791" s="7"/>
      <c r="AI1791" s="7"/>
      <c r="AJ1791" s="6"/>
      <c r="AK1791" s="6"/>
      <c r="AL1791" s="6"/>
      <c r="AM1791" s="6"/>
      <c r="AN1791" s="6"/>
      <c r="AO1791" s="26"/>
      <c r="AP1791" s="11"/>
      <c r="AQ1791" s="7"/>
      <c r="AS1791" s="11"/>
      <c r="AT1791" s="6"/>
      <c r="AU1791" s="6"/>
      <c r="AV1791" s="6"/>
      <c r="AW1791" s="7"/>
      <c r="AX1791" s="6"/>
      <c r="AY1791" s="6"/>
      <c r="AZ1791" s="6"/>
      <c r="BA1791" s="6"/>
      <c r="BB1791" s="24"/>
      <c r="BD1791" s="6"/>
      <c r="BE1791" s="6"/>
      <c r="BF1791" s="6"/>
      <c r="BH1791" s="6"/>
      <c r="BI1791" s="6"/>
      <c r="BJ1791" s="6"/>
      <c r="BK1791" s="6"/>
      <c r="BL1791" s="6"/>
      <c r="BM1791" s="6"/>
    </row>
    <row r="1792" spans="1:65" x14ac:dyDescent="0.25">
      <c r="I1792" s="7"/>
      <c r="AH1792" s="7"/>
      <c r="AV1792" s="6"/>
    </row>
    <row r="1793" spans="1:65" x14ac:dyDescent="0.25">
      <c r="A1793" s="6"/>
      <c r="B1793" s="6"/>
      <c r="C1793" s="6"/>
      <c r="D1793" s="6"/>
      <c r="E1793" s="6"/>
      <c r="F1793" s="21"/>
      <c r="G1793" s="10"/>
      <c r="H1793" s="7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  <c r="AB1793" s="6"/>
      <c r="AC1793" s="6"/>
      <c r="AD1793" s="6"/>
      <c r="AE1793" s="6"/>
      <c r="AF1793" s="25"/>
      <c r="AG1793" s="7"/>
      <c r="AH1793" s="7"/>
      <c r="AI1793" s="7"/>
      <c r="AJ1793" s="6"/>
      <c r="AK1793" s="6"/>
      <c r="AL1793" s="6"/>
      <c r="AM1793" s="6"/>
      <c r="AN1793" s="6"/>
      <c r="AO1793" s="26"/>
      <c r="AP1793" s="11"/>
      <c r="AQ1793" s="7"/>
      <c r="AS1793" s="11"/>
      <c r="AT1793" s="6"/>
      <c r="AU1793" s="6"/>
      <c r="AW1793" s="7"/>
      <c r="AX1793" s="6"/>
      <c r="AY1793" s="6"/>
      <c r="AZ1793" s="6"/>
      <c r="BA1793" s="6"/>
      <c r="BB1793" s="24"/>
      <c r="BD1793" s="6"/>
      <c r="BE1793" s="6"/>
      <c r="BF1793" s="6"/>
      <c r="BH1793" s="6"/>
      <c r="BI1793" s="6"/>
      <c r="BJ1793" s="6"/>
      <c r="BK1793" s="6"/>
      <c r="BL1793" s="6"/>
      <c r="BM1793" s="6"/>
    </row>
    <row r="1794" spans="1:65" x14ac:dyDescent="0.25">
      <c r="AV1794" s="6"/>
    </row>
    <row r="1795" spans="1:65" x14ac:dyDescent="0.25">
      <c r="I1795" s="7"/>
      <c r="AH1795" s="7"/>
      <c r="AV1795" s="6"/>
    </row>
    <row r="1796" spans="1:65" x14ac:dyDescent="0.25">
      <c r="A1796" s="6"/>
      <c r="B1796" s="6"/>
      <c r="C1796" s="6"/>
      <c r="D1796" s="6"/>
      <c r="E1796" s="6"/>
      <c r="F1796" s="21"/>
      <c r="G1796" s="10"/>
      <c r="H1796" s="7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  <c r="AB1796" s="6"/>
      <c r="AC1796" s="6"/>
      <c r="AD1796" s="6"/>
      <c r="AE1796" s="6"/>
      <c r="AF1796" s="25"/>
      <c r="AG1796" s="7"/>
      <c r="AH1796" s="7"/>
      <c r="AI1796" s="7"/>
      <c r="AJ1796" s="6"/>
      <c r="AK1796" s="6"/>
      <c r="AL1796" s="6"/>
      <c r="AM1796" s="6"/>
      <c r="AN1796" s="6"/>
      <c r="AO1796" s="26"/>
      <c r="AP1796" s="11"/>
      <c r="AQ1796" s="7"/>
      <c r="AS1796" s="11"/>
      <c r="AT1796" s="6"/>
      <c r="AU1796" s="6"/>
      <c r="AW1796" s="7"/>
      <c r="AX1796" s="6"/>
      <c r="AY1796" s="6"/>
      <c r="AZ1796" s="6"/>
      <c r="BA1796" s="6"/>
      <c r="BB1796" s="24"/>
      <c r="BD1796" s="6"/>
      <c r="BE1796" s="6"/>
      <c r="BF1796" s="6"/>
      <c r="BH1796" s="6"/>
      <c r="BI1796" s="6"/>
      <c r="BJ1796" s="6"/>
      <c r="BK1796" s="6"/>
      <c r="BL1796" s="6"/>
      <c r="BM1796" s="6"/>
    </row>
    <row r="1797" spans="1:65" x14ac:dyDescent="0.25">
      <c r="A1797" s="6"/>
      <c r="B1797" s="6"/>
      <c r="C1797" s="6"/>
      <c r="D1797" s="6"/>
      <c r="E1797" s="6"/>
      <c r="F1797" s="6"/>
      <c r="G1797" s="6"/>
      <c r="H1797" s="7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  <c r="AB1797" s="6"/>
      <c r="AC1797" s="6"/>
      <c r="AD1797" s="6"/>
      <c r="AE1797" s="6"/>
      <c r="AF1797" s="6"/>
      <c r="AG1797" s="7"/>
      <c r="AH1797" s="7"/>
      <c r="AI1797" s="7"/>
      <c r="AJ1797" s="6"/>
      <c r="AK1797" s="6"/>
      <c r="AL1797" s="6"/>
      <c r="AM1797" s="6"/>
      <c r="AN1797" s="6"/>
      <c r="AO1797" s="6"/>
      <c r="AP1797" s="6"/>
      <c r="AQ1797" s="7"/>
      <c r="AS1797" s="6"/>
      <c r="AT1797" s="6"/>
      <c r="AU1797" s="6"/>
      <c r="AV1797" s="6"/>
      <c r="AW1797" s="7"/>
      <c r="AX1797" s="6"/>
      <c r="AY1797" s="6"/>
      <c r="AZ1797" s="6"/>
      <c r="BA1797" s="6"/>
      <c r="BB1797" s="6"/>
      <c r="BD1797" s="6"/>
      <c r="BE1797" s="6"/>
      <c r="BF1797" s="6"/>
      <c r="BH1797" s="6"/>
      <c r="BI1797" s="6"/>
      <c r="BJ1797" s="6"/>
      <c r="BK1797" s="6"/>
      <c r="BL1797" s="6"/>
      <c r="BM1797" s="6"/>
    </row>
    <row r="1800" spans="1:65" x14ac:dyDescent="0.25">
      <c r="A1800" s="6"/>
      <c r="B1800" s="6"/>
      <c r="C1800" s="6"/>
      <c r="D1800" s="6"/>
      <c r="E1800" s="6"/>
      <c r="F1800" s="21"/>
      <c r="G1800" s="10"/>
      <c r="H1800" s="7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  <c r="AB1800" s="6"/>
      <c r="AC1800" s="6"/>
      <c r="AD1800" s="6"/>
      <c r="AE1800" s="6"/>
      <c r="AF1800" s="25"/>
      <c r="AG1800" s="7"/>
      <c r="AH1800" s="7"/>
      <c r="AI1800" s="7"/>
      <c r="AJ1800" s="6"/>
      <c r="AK1800" s="6"/>
      <c r="AL1800" s="6"/>
      <c r="AM1800" s="6"/>
      <c r="AN1800" s="6"/>
      <c r="AO1800" s="26"/>
      <c r="AP1800" s="11"/>
      <c r="AQ1800" s="7"/>
      <c r="AS1800" s="11"/>
      <c r="AT1800" s="6"/>
      <c r="AU1800" s="6"/>
      <c r="AV1800" s="6"/>
      <c r="AW1800" s="7"/>
      <c r="AX1800" s="6"/>
      <c r="AY1800" s="6"/>
      <c r="AZ1800" s="6"/>
      <c r="BA1800" s="6"/>
      <c r="BB1800" s="24"/>
      <c r="BD1800" s="6"/>
      <c r="BE1800" s="6"/>
      <c r="BF1800" s="6"/>
      <c r="BH1800" s="6"/>
      <c r="BI1800" s="6"/>
      <c r="BJ1800" s="6"/>
      <c r="BK1800" s="6"/>
      <c r="BL1800" s="6"/>
      <c r="BM1800" s="6"/>
    </row>
    <row r="1801" spans="1:65" x14ac:dyDescent="0.25">
      <c r="I1801" s="7"/>
      <c r="AH1801" s="7"/>
      <c r="AV1801" s="6"/>
    </row>
    <row r="1802" spans="1:65" x14ac:dyDescent="0.25">
      <c r="A1802" s="6"/>
      <c r="B1802" s="6"/>
      <c r="C1802" s="6"/>
      <c r="D1802" s="6"/>
      <c r="E1802" s="6"/>
      <c r="F1802" s="21"/>
      <c r="G1802" s="10"/>
      <c r="H1802" s="7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  <c r="AA1802" s="6"/>
      <c r="AB1802" s="6"/>
      <c r="AC1802" s="6"/>
      <c r="AD1802" s="6"/>
      <c r="AE1802" s="6"/>
      <c r="AF1802" s="25"/>
      <c r="AG1802" s="7"/>
      <c r="AH1802" s="7"/>
      <c r="AI1802" s="7"/>
      <c r="AJ1802" s="6"/>
      <c r="AK1802" s="6"/>
      <c r="AL1802" s="6"/>
      <c r="AM1802" s="6"/>
      <c r="AN1802" s="6"/>
      <c r="AO1802" s="26"/>
      <c r="AP1802" s="11"/>
      <c r="AQ1802" s="7"/>
      <c r="AS1802" s="11"/>
      <c r="AT1802" s="6"/>
      <c r="AU1802" s="6"/>
      <c r="AW1802" s="7"/>
      <c r="AX1802" s="6"/>
      <c r="AY1802" s="6"/>
      <c r="AZ1802" s="6"/>
      <c r="BA1802" s="6"/>
      <c r="BB1802" s="24"/>
      <c r="BD1802" s="6"/>
      <c r="BE1802" s="6"/>
      <c r="BF1802" s="6"/>
      <c r="BH1802" s="6"/>
      <c r="BI1802" s="6"/>
      <c r="BJ1802" s="6"/>
      <c r="BK1802" s="6"/>
      <c r="BL1802" s="6"/>
      <c r="BM1802" s="6"/>
    </row>
    <row r="1803" spans="1:65" x14ac:dyDescent="0.25">
      <c r="AV1803" s="6"/>
    </row>
    <row r="1804" spans="1:65" x14ac:dyDescent="0.25">
      <c r="I1804" s="7"/>
      <c r="AH1804" s="7"/>
      <c r="AV1804" s="6"/>
    </row>
    <row r="1805" spans="1:65" x14ac:dyDescent="0.25">
      <c r="A1805" s="6"/>
      <c r="B1805" s="6"/>
      <c r="C1805" s="6"/>
      <c r="D1805" s="6"/>
      <c r="E1805" s="6"/>
      <c r="F1805" s="21"/>
      <c r="G1805" s="10"/>
      <c r="H1805" s="7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  <c r="AA1805" s="6"/>
      <c r="AB1805" s="6"/>
      <c r="AC1805" s="6"/>
      <c r="AD1805" s="6"/>
      <c r="AE1805" s="6"/>
      <c r="AF1805" s="25"/>
      <c r="AG1805" s="7"/>
      <c r="AH1805" s="7"/>
      <c r="AI1805" s="7"/>
      <c r="AJ1805" s="6"/>
      <c r="AK1805" s="6"/>
      <c r="AL1805" s="6"/>
      <c r="AM1805" s="6"/>
      <c r="AN1805" s="6"/>
      <c r="AO1805" s="26"/>
      <c r="AP1805" s="11"/>
      <c r="AQ1805" s="7"/>
      <c r="AS1805" s="11"/>
      <c r="AT1805" s="6"/>
      <c r="AU1805" s="6"/>
      <c r="AW1805" s="7"/>
      <c r="AX1805" s="6"/>
      <c r="AY1805" s="6"/>
      <c r="AZ1805" s="6"/>
      <c r="BA1805" s="6"/>
      <c r="BB1805" s="24"/>
      <c r="BD1805" s="6"/>
      <c r="BE1805" s="6"/>
      <c r="BF1805" s="6"/>
      <c r="BH1805" s="6"/>
      <c r="BI1805" s="6"/>
      <c r="BJ1805" s="6"/>
      <c r="BK1805" s="6"/>
      <c r="BL1805" s="6"/>
      <c r="BM1805" s="6"/>
    </row>
    <row r="1806" spans="1:65" x14ac:dyDescent="0.25">
      <c r="A1806" s="6"/>
      <c r="B1806" s="6"/>
      <c r="C1806" s="6"/>
      <c r="D1806" s="6"/>
      <c r="E1806" s="6"/>
      <c r="F1806" s="21"/>
      <c r="G1806" s="10"/>
      <c r="H1806" s="7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  <c r="AB1806" s="6"/>
      <c r="AC1806" s="6"/>
      <c r="AD1806" s="6"/>
      <c r="AE1806" s="6"/>
      <c r="AF1806" s="25"/>
      <c r="AG1806" s="7"/>
      <c r="AH1806" s="7"/>
      <c r="AI1806" s="7"/>
      <c r="AJ1806" s="6"/>
      <c r="AK1806" s="6"/>
      <c r="AL1806" s="6"/>
      <c r="AM1806" s="6"/>
      <c r="AN1806" s="6"/>
      <c r="AO1806" s="26"/>
      <c r="AP1806" s="11"/>
      <c r="AQ1806" s="7"/>
      <c r="AS1806" s="11"/>
      <c r="AT1806" s="6"/>
      <c r="AU1806" s="6"/>
      <c r="AV1806" s="6"/>
      <c r="AW1806" s="7"/>
      <c r="AX1806" s="6"/>
      <c r="AY1806" s="6"/>
      <c r="AZ1806" s="6"/>
      <c r="BA1806" s="6"/>
      <c r="BB1806" s="24"/>
      <c r="BD1806" s="6"/>
      <c r="BE1806" s="6"/>
      <c r="BF1806" s="6"/>
      <c r="BH1806" s="6"/>
      <c r="BI1806" s="6"/>
      <c r="BJ1806" s="6"/>
      <c r="BK1806" s="6"/>
      <c r="BL1806" s="6"/>
      <c r="BM1806" s="6"/>
    </row>
    <row r="1809" spans="1:65" x14ac:dyDescent="0.25">
      <c r="A1809" s="6"/>
      <c r="B1809" s="6"/>
      <c r="C1809" s="6"/>
      <c r="D1809" s="6"/>
      <c r="E1809" s="6"/>
      <c r="F1809" s="21"/>
      <c r="G1809" s="10"/>
      <c r="H1809" s="7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  <c r="AB1809" s="6"/>
      <c r="AC1809" s="6"/>
      <c r="AD1809" s="6"/>
      <c r="AE1809" s="6"/>
      <c r="AF1809" s="25"/>
      <c r="AG1809" s="7"/>
      <c r="AH1809" s="7"/>
      <c r="AI1809" s="7"/>
      <c r="AJ1809" s="6"/>
      <c r="AK1809" s="6"/>
      <c r="AL1809" s="6"/>
      <c r="AM1809" s="6"/>
      <c r="AN1809" s="6"/>
      <c r="AO1809" s="26"/>
      <c r="AP1809" s="11"/>
      <c r="AQ1809" s="7"/>
      <c r="AS1809" s="11"/>
      <c r="AT1809" s="6"/>
      <c r="AU1809" s="6"/>
      <c r="AV1809" s="6"/>
      <c r="AW1809" s="7"/>
      <c r="AX1809" s="6"/>
      <c r="AY1809" s="6"/>
      <c r="AZ1809" s="6"/>
      <c r="BA1809" s="6"/>
      <c r="BB1809" s="24"/>
      <c r="BD1809" s="6"/>
      <c r="BE1809" s="6"/>
      <c r="BF1809" s="6"/>
      <c r="BH1809" s="6"/>
      <c r="BI1809" s="6"/>
      <c r="BJ1809" s="6"/>
      <c r="BK1809" s="6"/>
      <c r="BL1809" s="6"/>
      <c r="BM1809" s="6"/>
    </row>
    <row r="1810" spans="1:65" x14ac:dyDescent="0.25">
      <c r="I1810" s="7"/>
      <c r="AH1810" s="7"/>
      <c r="AV1810" s="6"/>
    </row>
    <row r="1811" spans="1:65" x14ac:dyDescent="0.25">
      <c r="A1811" s="6"/>
      <c r="B1811" s="6"/>
      <c r="C1811" s="6"/>
      <c r="D1811" s="6"/>
      <c r="E1811" s="6"/>
      <c r="F1811" s="21"/>
      <c r="G1811" s="10"/>
      <c r="H1811" s="7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  <c r="AB1811" s="6"/>
      <c r="AC1811" s="6"/>
      <c r="AD1811" s="6"/>
      <c r="AE1811" s="6"/>
      <c r="AF1811" s="25"/>
      <c r="AG1811" s="7"/>
      <c r="AH1811" s="7"/>
      <c r="AI1811" s="7"/>
      <c r="AJ1811" s="6"/>
      <c r="AK1811" s="6"/>
      <c r="AL1811" s="6"/>
      <c r="AM1811" s="6"/>
      <c r="AN1811" s="6"/>
      <c r="AO1811" s="26"/>
      <c r="AP1811" s="11"/>
      <c r="AQ1811" s="7"/>
      <c r="AS1811" s="11"/>
      <c r="AT1811" s="6"/>
      <c r="AU1811" s="6"/>
      <c r="AW1811" s="7"/>
      <c r="AX1811" s="6"/>
      <c r="AY1811" s="6"/>
      <c r="AZ1811" s="6"/>
      <c r="BA1811" s="6"/>
      <c r="BB1811" s="24"/>
      <c r="BD1811" s="6"/>
      <c r="BE1811" s="6"/>
      <c r="BF1811" s="6"/>
      <c r="BH1811" s="6"/>
      <c r="BI1811" s="6"/>
      <c r="BJ1811" s="6"/>
      <c r="BK1811" s="6"/>
      <c r="BL1811" s="6"/>
      <c r="BM1811" s="6"/>
    </row>
    <row r="1812" spans="1:65" x14ac:dyDescent="0.25">
      <c r="AV1812" s="6"/>
    </row>
    <row r="1813" spans="1:65" x14ac:dyDescent="0.25">
      <c r="I1813" s="7"/>
      <c r="AH1813" s="7"/>
      <c r="AV1813" s="6"/>
    </row>
    <row r="1814" spans="1:65" x14ac:dyDescent="0.25">
      <c r="A1814" s="6"/>
      <c r="B1814" s="6"/>
      <c r="C1814" s="6"/>
      <c r="D1814" s="6"/>
      <c r="E1814" s="6"/>
      <c r="F1814" s="21"/>
      <c r="G1814" s="10"/>
      <c r="H1814" s="7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  <c r="AB1814" s="6"/>
      <c r="AC1814" s="6"/>
      <c r="AD1814" s="6"/>
      <c r="AE1814" s="6"/>
      <c r="AF1814" s="25"/>
      <c r="AG1814" s="7"/>
      <c r="AH1814" s="7"/>
      <c r="AI1814" s="7"/>
      <c r="AJ1814" s="6"/>
      <c r="AK1814" s="6"/>
      <c r="AL1814" s="6"/>
      <c r="AM1814" s="6"/>
      <c r="AN1814" s="6"/>
      <c r="AO1814" s="26"/>
      <c r="AP1814" s="11"/>
      <c r="AQ1814" s="7"/>
      <c r="AS1814" s="11"/>
      <c r="AT1814" s="6"/>
      <c r="AU1814" s="6"/>
      <c r="AW1814" s="7"/>
      <c r="AX1814" s="6"/>
      <c r="AY1814" s="6"/>
      <c r="AZ1814" s="6"/>
      <c r="BA1814" s="6"/>
      <c r="BB1814" s="24"/>
      <c r="BD1814" s="6"/>
      <c r="BE1814" s="6"/>
      <c r="BF1814" s="6"/>
      <c r="BH1814" s="6"/>
      <c r="BI1814" s="6"/>
      <c r="BJ1814" s="6"/>
      <c r="BK1814" s="6"/>
      <c r="BL1814" s="6"/>
      <c r="BM1814" s="6"/>
    </row>
    <row r="1815" spans="1:65" x14ac:dyDescent="0.25">
      <c r="A1815" s="6"/>
      <c r="B1815" s="6"/>
      <c r="C1815" s="6"/>
      <c r="D1815" s="6"/>
      <c r="E1815" s="6"/>
      <c r="F1815" s="21"/>
      <c r="G1815" s="10"/>
      <c r="H1815" s="7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  <c r="AB1815" s="6"/>
      <c r="AC1815" s="6"/>
      <c r="AD1815" s="6"/>
      <c r="AE1815" s="6"/>
      <c r="AF1815" s="25"/>
      <c r="AG1815" s="7"/>
      <c r="AH1815" s="7"/>
      <c r="AI1815" s="7"/>
      <c r="AJ1815" s="6"/>
      <c r="AK1815" s="6"/>
      <c r="AL1815" s="6"/>
      <c r="AM1815" s="6"/>
      <c r="AN1815" s="6"/>
      <c r="AO1815" s="26"/>
      <c r="AP1815" s="11"/>
      <c r="AQ1815" s="7"/>
      <c r="AS1815" s="11"/>
      <c r="AT1815" s="6"/>
      <c r="AU1815" s="6"/>
      <c r="AV1815" s="6"/>
      <c r="AW1815" s="7"/>
      <c r="AX1815" s="6"/>
      <c r="AY1815" s="6"/>
      <c r="AZ1815" s="6"/>
      <c r="BA1815" s="6"/>
      <c r="BB1815" s="24"/>
      <c r="BD1815" s="6"/>
      <c r="BE1815" s="6"/>
      <c r="BF1815" s="6"/>
      <c r="BH1815" s="6"/>
      <c r="BI1815" s="6"/>
      <c r="BJ1815" s="6"/>
      <c r="BK1815" s="6"/>
      <c r="BL1815" s="6"/>
      <c r="BM1815" s="6"/>
    </row>
    <row r="1818" spans="1:65" x14ac:dyDescent="0.25">
      <c r="A1818" s="6"/>
      <c r="B1818" s="6"/>
      <c r="C1818" s="6"/>
      <c r="D1818" s="6"/>
      <c r="E1818" s="6"/>
      <c r="F1818" s="21"/>
      <c r="G1818" s="10"/>
      <c r="H1818" s="7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  <c r="AB1818" s="6"/>
      <c r="AC1818" s="6"/>
      <c r="AD1818" s="6"/>
      <c r="AE1818" s="6"/>
      <c r="AF1818" s="25"/>
      <c r="AG1818" s="7"/>
      <c r="AH1818" s="7"/>
      <c r="AI1818" s="7"/>
      <c r="AJ1818" s="6"/>
      <c r="AK1818" s="6"/>
      <c r="AL1818" s="6"/>
      <c r="AM1818" s="6"/>
      <c r="AN1818" s="6"/>
      <c r="AO1818" s="26"/>
      <c r="AP1818" s="11"/>
      <c r="AQ1818" s="7"/>
      <c r="AS1818" s="11"/>
      <c r="AT1818" s="6"/>
      <c r="AU1818" s="6"/>
      <c r="AV1818" s="6"/>
      <c r="AW1818" s="7"/>
      <c r="AX1818" s="6"/>
      <c r="AY1818" s="6"/>
      <c r="AZ1818" s="6"/>
      <c r="BA1818" s="6"/>
      <c r="BB1818" s="24"/>
      <c r="BD1818" s="6"/>
      <c r="BE1818" s="6"/>
      <c r="BF1818" s="6"/>
      <c r="BH1818" s="6"/>
      <c r="BI1818" s="6"/>
      <c r="BJ1818" s="6"/>
      <c r="BK1818" s="6"/>
      <c r="BL1818" s="6"/>
      <c r="BM1818" s="6"/>
    </row>
    <row r="1819" spans="1:65" x14ac:dyDescent="0.25">
      <c r="I1819" s="7"/>
      <c r="AH1819" s="7"/>
      <c r="AV1819" s="6"/>
    </row>
    <row r="1820" spans="1:65" x14ac:dyDescent="0.25">
      <c r="A1820" s="6"/>
      <c r="B1820" s="6"/>
      <c r="C1820" s="6"/>
      <c r="D1820" s="6"/>
      <c r="E1820" s="6"/>
      <c r="F1820" s="21"/>
      <c r="G1820" s="10"/>
      <c r="H1820" s="7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  <c r="AB1820" s="6"/>
      <c r="AC1820" s="6"/>
      <c r="AD1820" s="6"/>
      <c r="AE1820" s="6"/>
      <c r="AF1820" s="25"/>
      <c r="AG1820" s="7"/>
      <c r="AH1820" s="7"/>
      <c r="AI1820" s="7"/>
      <c r="AJ1820" s="6"/>
      <c r="AK1820" s="6"/>
      <c r="AL1820" s="6"/>
      <c r="AM1820" s="6"/>
      <c r="AN1820" s="6"/>
      <c r="AO1820" s="26"/>
      <c r="AP1820" s="11"/>
      <c r="AQ1820" s="7"/>
      <c r="AS1820" s="11"/>
      <c r="AT1820" s="6"/>
      <c r="AU1820" s="6"/>
      <c r="AW1820" s="7"/>
      <c r="AX1820" s="6"/>
      <c r="AY1820" s="6"/>
      <c r="AZ1820" s="6"/>
      <c r="BA1820" s="6"/>
      <c r="BB1820" s="24"/>
      <c r="BD1820" s="6"/>
      <c r="BE1820" s="6"/>
      <c r="BF1820" s="6"/>
      <c r="BH1820" s="6"/>
      <c r="BI1820" s="6"/>
      <c r="BJ1820" s="6"/>
      <c r="BK1820" s="6"/>
      <c r="BL1820" s="6"/>
      <c r="BM1820" s="6"/>
    </row>
    <row r="1821" spans="1:65" x14ac:dyDescent="0.25">
      <c r="AV1821" s="6"/>
    </row>
    <row r="1822" spans="1:65" x14ac:dyDescent="0.25">
      <c r="I1822" s="7"/>
      <c r="AH1822" s="7"/>
      <c r="AV1822" s="6"/>
    </row>
    <row r="1823" spans="1:65" x14ac:dyDescent="0.25">
      <c r="A1823" s="6"/>
      <c r="B1823" s="6"/>
      <c r="C1823" s="6"/>
      <c r="D1823" s="6"/>
      <c r="E1823" s="6"/>
      <c r="F1823" s="21"/>
      <c r="G1823" s="10"/>
      <c r="H1823" s="7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  <c r="AA1823" s="6"/>
      <c r="AB1823" s="6"/>
      <c r="AC1823" s="6"/>
      <c r="AD1823" s="6"/>
      <c r="AE1823" s="6"/>
      <c r="AF1823" s="25"/>
      <c r="AG1823" s="7"/>
      <c r="AH1823" s="7"/>
      <c r="AI1823" s="7"/>
      <c r="AJ1823" s="6"/>
      <c r="AK1823" s="6"/>
      <c r="AL1823" s="6"/>
      <c r="AM1823" s="6"/>
      <c r="AN1823" s="6"/>
      <c r="AO1823" s="26"/>
      <c r="AP1823" s="11"/>
      <c r="AQ1823" s="7"/>
      <c r="AS1823" s="11"/>
      <c r="AT1823" s="6"/>
      <c r="AU1823" s="6"/>
      <c r="AW1823" s="7"/>
      <c r="AX1823" s="6"/>
      <c r="AY1823" s="6"/>
      <c r="AZ1823" s="6"/>
      <c r="BA1823" s="6"/>
      <c r="BB1823" s="24"/>
      <c r="BD1823" s="6"/>
      <c r="BE1823" s="6"/>
      <c r="BF1823" s="6"/>
      <c r="BH1823" s="6"/>
      <c r="BI1823" s="6"/>
      <c r="BJ1823" s="6"/>
      <c r="BK1823" s="6"/>
      <c r="BL1823" s="6"/>
      <c r="BM1823" s="6"/>
    </row>
    <row r="1824" spans="1:65" x14ac:dyDescent="0.25">
      <c r="A1824" s="6"/>
      <c r="B1824" s="6"/>
      <c r="C1824" s="6"/>
      <c r="D1824" s="6"/>
      <c r="E1824" s="6"/>
      <c r="F1824" s="21"/>
      <c r="G1824" s="10"/>
      <c r="H1824" s="7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  <c r="AA1824" s="6"/>
      <c r="AB1824" s="6"/>
      <c r="AC1824" s="6"/>
      <c r="AD1824" s="6"/>
      <c r="AE1824" s="6"/>
      <c r="AF1824" s="25"/>
      <c r="AG1824" s="7"/>
      <c r="AH1824" s="7"/>
      <c r="AI1824" s="7"/>
      <c r="AJ1824" s="6"/>
      <c r="AK1824" s="6"/>
      <c r="AL1824" s="6"/>
      <c r="AM1824" s="6"/>
      <c r="AN1824" s="6"/>
      <c r="AO1824" s="26"/>
      <c r="AP1824" s="11"/>
      <c r="AQ1824" s="7"/>
      <c r="AS1824" s="11"/>
      <c r="AT1824" s="6"/>
      <c r="AU1824" s="6"/>
      <c r="AV1824" s="6"/>
      <c r="AW1824" s="7"/>
      <c r="AX1824" s="6"/>
      <c r="AY1824" s="6"/>
      <c r="AZ1824" s="6"/>
      <c r="BA1824" s="6"/>
      <c r="BB1824" s="24"/>
      <c r="BD1824" s="6"/>
      <c r="BE1824" s="6"/>
      <c r="BF1824" s="6"/>
      <c r="BH1824" s="6"/>
      <c r="BI1824" s="6"/>
      <c r="BJ1824" s="6"/>
      <c r="BK1824" s="6"/>
      <c r="BL1824" s="6"/>
      <c r="BM1824" s="6"/>
    </row>
    <row r="1827" spans="1:65" x14ac:dyDescent="0.25">
      <c r="A1827" s="6"/>
      <c r="B1827" s="6"/>
      <c r="C1827" s="6"/>
      <c r="D1827" s="6"/>
      <c r="E1827" s="6"/>
      <c r="F1827" s="21"/>
      <c r="G1827" s="10"/>
      <c r="H1827" s="7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  <c r="AB1827" s="6"/>
      <c r="AC1827" s="6"/>
      <c r="AD1827" s="6"/>
      <c r="AE1827" s="6"/>
      <c r="AF1827" s="25"/>
      <c r="AG1827" s="7"/>
      <c r="AH1827" s="7"/>
      <c r="AI1827" s="7"/>
      <c r="AJ1827" s="6"/>
      <c r="AK1827" s="6"/>
      <c r="AL1827" s="6"/>
      <c r="AM1827" s="6"/>
      <c r="AN1827" s="6"/>
      <c r="AO1827" s="26"/>
      <c r="AP1827" s="11"/>
      <c r="AQ1827" s="7"/>
      <c r="AS1827" s="11"/>
      <c r="AT1827" s="6"/>
      <c r="AU1827" s="6"/>
      <c r="AV1827" s="6"/>
      <c r="AW1827" s="7"/>
      <c r="AX1827" s="6"/>
      <c r="AY1827" s="6"/>
      <c r="AZ1827" s="6"/>
      <c r="BA1827" s="6"/>
      <c r="BB1827" s="24"/>
      <c r="BD1827" s="6"/>
      <c r="BE1827" s="6"/>
      <c r="BF1827" s="6"/>
      <c r="BH1827" s="6"/>
      <c r="BI1827" s="6"/>
      <c r="BJ1827" s="6"/>
      <c r="BK1827" s="6"/>
      <c r="BL1827" s="6"/>
      <c r="BM1827" s="6"/>
    </row>
    <row r="1828" spans="1:65" x14ac:dyDescent="0.25">
      <c r="I1828" s="7"/>
      <c r="AH1828" s="7"/>
      <c r="AV1828" s="6"/>
    </row>
    <row r="1829" spans="1:65" x14ac:dyDescent="0.25">
      <c r="A1829" s="6"/>
      <c r="B1829" s="6"/>
      <c r="C1829" s="6"/>
      <c r="D1829" s="6"/>
      <c r="E1829" s="6"/>
      <c r="F1829" s="21"/>
      <c r="G1829" s="10"/>
      <c r="H1829" s="7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  <c r="AB1829" s="6"/>
      <c r="AC1829" s="6"/>
      <c r="AD1829" s="6"/>
      <c r="AE1829" s="6"/>
      <c r="AF1829" s="25"/>
      <c r="AG1829" s="7"/>
      <c r="AH1829" s="7"/>
      <c r="AI1829" s="7"/>
      <c r="AJ1829" s="6"/>
      <c r="AK1829" s="6"/>
      <c r="AL1829" s="6"/>
      <c r="AM1829" s="6"/>
      <c r="AN1829" s="6"/>
      <c r="AO1829" s="26"/>
      <c r="AP1829" s="11"/>
      <c r="AQ1829" s="7"/>
      <c r="AS1829" s="11"/>
      <c r="AT1829" s="6"/>
      <c r="AU1829" s="6"/>
      <c r="AW1829" s="7"/>
      <c r="AX1829" s="6"/>
      <c r="AY1829" s="6"/>
      <c r="AZ1829" s="6"/>
      <c r="BA1829" s="6"/>
      <c r="BB1829" s="24"/>
      <c r="BD1829" s="6"/>
      <c r="BE1829" s="6"/>
      <c r="BF1829" s="6"/>
      <c r="BH1829" s="6"/>
      <c r="BI1829" s="6"/>
      <c r="BJ1829" s="6"/>
      <c r="BK1829" s="6"/>
      <c r="BL1829" s="6"/>
      <c r="BM1829" s="6"/>
    </row>
    <row r="1830" spans="1:65" x14ac:dyDescent="0.25">
      <c r="AV1830" s="6"/>
    </row>
    <row r="1831" spans="1:65" x14ac:dyDescent="0.25">
      <c r="I1831" s="7"/>
      <c r="AH1831" s="7"/>
      <c r="AV1831" s="6"/>
    </row>
    <row r="1832" spans="1:65" x14ac:dyDescent="0.25">
      <c r="A1832" s="6"/>
      <c r="B1832" s="6"/>
      <c r="C1832" s="6"/>
      <c r="D1832" s="6"/>
      <c r="E1832" s="6"/>
      <c r="F1832" s="21"/>
      <c r="G1832" s="10"/>
      <c r="H1832" s="7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  <c r="AB1832" s="6"/>
      <c r="AC1832" s="6"/>
      <c r="AD1832" s="6"/>
      <c r="AE1832" s="6"/>
      <c r="AF1832" s="25"/>
      <c r="AG1832" s="7"/>
      <c r="AH1832" s="7"/>
      <c r="AI1832" s="7"/>
      <c r="AJ1832" s="6"/>
      <c r="AK1832" s="6"/>
      <c r="AL1832" s="6"/>
      <c r="AM1832" s="6"/>
      <c r="AN1832" s="6"/>
      <c r="AO1832" s="26"/>
      <c r="AP1832" s="11"/>
      <c r="AQ1832" s="7"/>
      <c r="AS1832" s="11"/>
      <c r="AT1832" s="6"/>
      <c r="AU1832" s="6"/>
      <c r="AW1832" s="7"/>
      <c r="AX1832" s="6"/>
      <c r="AY1832" s="6"/>
      <c r="AZ1832" s="6"/>
      <c r="BA1832" s="6"/>
      <c r="BB1832" s="24"/>
      <c r="BD1832" s="6"/>
      <c r="BE1832" s="6"/>
      <c r="BF1832" s="6"/>
      <c r="BH1832" s="6"/>
      <c r="BI1832" s="6"/>
      <c r="BJ1832" s="6"/>
      <c r="BK1832" s="6"/>
      <c r="BL1832" s="6"/>
      <c r="BM1832" s="6"/>
    </row>
    <row r="1833" spans="1:65" x14ac:dyDescent="0.25">
      <c r="A1833" s="6"/>
      <c r="B1833" s="6"/>
      <c r="C1833" s="6"/>
      <c r="D1833" s="6"/>
      <c r="E1833" s="6"/>
      <c r="F1833" s="21"/>
      <c r="G1833" s="10"/>
      <c r="H1833" s="7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  <c r="AB1833" s="6"/>
      <c r="AC1833" s="6"/>
      <c r="AD1833" s="6"/>
      <c r="AE1833" s="6"/>
      <c r="AF1833" s="25"/>
      <c r="AG1833" s="7"/>
      <c r="AH1833" s="7"/>
      <c r="AI1833" s="7"/>
      <c r="AJ1833" s="6"/>
      <c r="AK1833" s="6"/>
      <c r="AL1833" s="6"/>
      <c r="AM1833" s="6"/>
      <c r="AN1833" s="6"/>
      <c r="AO1833" s="26"/>
      <c r="AP1833" s="11"/>
      <c r="AQ1833" s="7"/>
      <c r="AS1833" s="11"/>
      <c r="AT1833" s="6"/>
      <c r="AU1833" s="6"/>
      <c r="AV1833" s="6"/>
      <c r="AW1833" s="7"/>
      <c r="AX1833" s="6"/>
      <c r="AY1833" s="6"/>
      <c r="AZ1833" s="6"/>
      <c r="BA1833" s="6"/>
      <c r="BB1833" s="24"/>
      <c r="BD1833" s="6"/>
      <c r="BE1833" s="6"/>
      <c r="BF1833" s="6"/>
      <c r="BH1833" s="6"/>
      <c r="BI1833" s="6"/>
      <c r="BJ1833" s="6"/>
      <c r="BK1833" s="6"/>
      <c r="BL1833" s="6"/>
      <c r="BM1833" s="6"/>
    </row>
    <row r="1836" spans="1:65" x14ac:dyDescent="0.25">
      <c r="A1836" s="6"/>
      <c r="B1836" s="6"/>
      <c r="C1836" s="6"/>
      <c r="D1836" s="6"/>
      <c r="E1836" s="6"/>
      <c r="F1836" s="21"/>
      <c r="G1836" s="10"/>
      <c r="H1836" s="7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  <c r="AB1836" s="6"/>
      <c r="AC1836" s="6"/>
      <c r="AD1836" s="6"/>
      <c r="AE1836" s="6"/>
      <c r="AF1836" s="25"/>
      <c r="AG1836" s="7"/>
      <c r="AH1836" s="7"/>
      <c r="AI1836" s="7"/>
      <c r="AJ1836" s="6"/>
      <c r="AK1836" s="6"/>
      <c r="AL1836" s="6"/>
      <c r="AM1836" s="6"/>
      <c r="AN1836" s="6"/>
      <c r="AO1836" s="26"/>
      <c r="AP1836" s="11"/>
      <c r="AQ1836" s="7"/>
      <c r="AS1836" s="11"/>
      <c r="AT1836" s="6"/>
      <c r="AU1836" s="6"/>
      <c r="AV1836" s="6"/>
      <c r="AW1836" s="7"/>
      <c r="AX1836" s="6"/>
      <c r="AY1836" s="6"/>
      <c r="AZ1836" s="6"/>
      <c r="BA1836" s="6"/>
      <c r="BB1836" s="24"/>
      <c r="BD1836" s="6"/>
      <c r="BE1836" s="6"/>
      <c r="BF1836" s="6"/>
      <c r="BH1836" s="6"/>
      <c r="BI1836" s="6"/>
      <c r="BJ1836" s="6"/>
      <c r="BK1836" s="6"/>
      <c r="BL1836" s="6"/>
      <c r="BM1836" s="6"/>
    </row>
    <row r="1837" spans="1:65" x14ac:dyDescent="0.25">
      <c r="I1837" s="7"/>
      <c r="AH1837" s="7"/>
      <c r="AV1837" s="6"/>
    </row>
    <row r="1838" spans="1:65" x14ac:dyDescent="0.25">
      <c r="A1838" s="6"/>
      <c r="B1838" s="6"/>
      <c r="C1838" s="6"/>
      <c r="D1838" s="6"/>
      <c r="E1838" s="6"/>
      <c r="F1838" s="21"/>
      <c r="G1838" s="10"/>
      <c r="H1838" s="7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  <c r="AB1838" s="6"/>
      <c r="AC1838" s="6"/>
      <c r="AD1838" s="6"/>
      <c r="AE1838" s="6"/>
      <c r="AF1838" s="25"/>
      <c r="AG1838" s="7"/>
      <c r="AH1838" s="7"/>
      <c r="AI1838" s="7"/>
      <c r="AJ1838" s="6"/>
      <c r="AK1838" s="6"/>
      <c r="AL1838" s="6"/>
      <c r="AM1838" s="6"/>
      <c r="AN1838" s="6"/>
      <c r="AO1838" s="26"/>
      <c r="AP1838" s="11"/>
      <c r="AQ1838" s="7"/>
      <c r="AS1838" s="11"/>
      <c r="AT1838" s="6"/>
      <c r="AU1838" s="6"/>
      <c r="AW1838" s="7"/>
      <c r="AX1838" s="6"/>
      <c r="AY1838" s="6"/>
      <c r="AZ1838" s="6"/>
      <c r="BA1838" s="6"/>
      <c r="BB1838" s="24"/>
      <c r="BD1838" s="6"/>
      <c r="BE1838" s="6"/>
      <c r="BF1838" s="6"/>
      <c r="BH1838" s="6"/>
      <c r="BI1838" s="6"/>
      <c r="BJ1838" s="6"/>
      <c r="BK1838" s="6"/>
      <c r="BL1838" s="6"/>
      <c r="BM1838" s="6"/>
    </row>
    <row r="1839" spans="1:65" x14ac:dyDescent="0.25">
      <c r="AV1839" s="6"/>
    </row>
    <row r="1840" spans="1:65" x14ac:dyDescent="0.25">
      <c r="I1840" s="7"/>
      <c r="AH1840" s="7"/>
      <c r="AV1840" s="6"/>
    </row>
    <row r="1841" spans="1:65" x14ac:dyDescent="0.25">
      <c r="A1841" s="6"/>
      <c r="B1841" s="6"/>
      <c r="C1841" s="6"/>
      <c r="D1841" s="6"/>
      <c r="E1841" s="6"/>
      <c r="F1841" s="21"/>
      <c r="G1841" s="10"/>
      <c r="H1841" s="7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  <c r="AB1841" s="6"/>
      <c r="AC1841" s="6"/>
      <c r="AD1841" s="6"/>
      <c r="AE1841" s="6"/>
      <c r="AF1841" s="25"/>
      <c r="AG1841" s="7"/>
      <c r="AH1841" s="7"/>
      <c r="AI1841" s="7"/>
      <c r="AJ1841" s="6"/>
      <c r="AK1841" s="6"/>
      <c r="AL1841" s="6"/>
      <c r="AM1841" s="6"/>
      <c r="AN1841" s="6"/>
      <c r="AO1841" s="26"/>
      <c r="AP1841" s="11"/>
      <c r="AQ1841" s="7"/>
      <c r="AS1841" s="11"/>
      <c r="AT1841" s="6"/>
      <c r="AU1841" s="6"/>
      <c r="AW1841" s="7"/>
      <c r="AX1841" s="6"/>
      <c r="AY1841" s="6"/>
      <c r="AZ1841" s="6"/>
      <c r="BA1841" s="6"/>
      <c r="BB1841" s="24"/>
      <c r="BD1841" s="6"/>
      <c r="BE1841" s="6"/>
      <c r="BF1841" s="6"/>
      <c r="BH1841" s="6"/>
      <c r="BI1841" s="6"/>
      <c r="BJ1841" s="6"/>
      <c r="BK1841" s="6"/>
      <c r="BL1841" s="6"/>
      <c r="BM1841" s="6"/>
    </row>
    <row r="1842" spans="1:65" x14ac:dyDescent="0.25">
      <c r="A1842" s="6"/>
      <c r="B1842" s="6"/>
      <c r="C1842" s="6"/>
      <c r="D1842" s="6"/>
      <c r="E1842" s="6"/>
      <c r="F1842" s="21"/>
      <c r="G1842" s="10"/>
      <c r="H1842" s="7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  <c r="AB1842" s="6"/>
      <c r="AC1842" s="6"/>
      <c r="AD1842" s="6"/>
      <c r="AE1842" s="6"/>
      <c r="AF1842" s="25"/>
      <c r="AG1842" s="7"/>
      <c r="AH1842" s="7"/>
      <c r="AI1842" s="7"/>
      <c r="AJ1842" s="6"/>
      <c r="AK1842" s="6"/>
      <c r="AL1842" s="6"/>
      <c r="AM1842" s="6"/>
      <c r="AN1842" s="6"/>
      <c r="AO1842" s="26"/>
      <c r="AP1842" s="11"/>
      <c r="AQ1842" s="7"/>
      <c r="AS1842" s="11"/>
      <c r="AT1842" s="6"/>
      <c r="AU1842" s="6"/>
      <c r="AV1842" s="6"/>
      <c r="AW1842" s="7"/>
      <c r="AX1842" s="6"/>
      <c r="AY1842" s="6"/>
      <c r="AZ1842" s="6"/>
      <c r="BA1842" s="6"/>
      <c r="BB1842" s="24"/>
      <c r="BD1842" s="6"/>
      <c r="BE1842" s="6"/>
      <c r="BF1842" s="6"/>
      <c r="BH1842" s="6"/>
      <c r="BI1842" s="6"/>
      <c r="BJ1842" s="6"/>
      <c r="BK1842" s="6"/>
      <c r="BL1842" s="6"/>
      <c r="BM1842" s="6"/>
    </row>
    <row r="1845" spans="1:65" x14ac:dyDescent="0.25">
      <c r="A1845" s="6"/>
      <c r="B1845" s="6"/>
      <c r="C1845" s="6"/>
      <c r="D1845" s="6"/>
      <c r="E1845" s="6"/>
      <c r="F1845" s="21"/>
      <c r="G1845" s="10"/>
      <c r="H1845" s="7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  <c r="AA1845" s="6"/>
      <c r="AB1845" s="6"/>
      <c r="AC1845" s="6"/>
      <c r="AD1845" s="6"/>
      <c r="AE1845" s="6"/>
      <c r="AF1845" s="25"/>
      <c r="AG1845" s="7"/>
      <c r="AH1845" s="7"/>
      <c r="AI1845" s="7"/>
      <c r="AJ1845" s="6"/>
      <c r="AK1845" s="6"/>
      <c r="AL1845" s="6"/>
      <c r="AM1845" s="6"/>
      <c r="AN1845" s="6"/>
      <c r="AO1845" s="26"/>
      <c r="AP1845" s="11"/>
      <c r="AQ1845" s="7"/>
      <c r="AS1845" s="11"/>
      <c r="AT1845" s="6"/>
      <c r="AU1845" s="6"/>
      <c r="AV1845" s="6"/>
      <c r="AW1845" s="7"/>
      <c r="AX1845" s="6"/>
      <c r="AY1845" s="6"/>
      <c r="AZ1845" s="6"/>
      <c r="BA1845" s="6"/>
      <c r="BB1845" s="24"/>
      <c r="BD1845" s="6"/>
      <c r="BE1845" s="6"/>
      <c r="BF1845" s="6"/>
      <c r="BH1845" s="6"/>
      <c r="BI1845" s="6"/>
      <c r="BJ1845" s="6"/>
      <c r="BK1845" s="6"/>
      <c r="BL1845" s="6"/>
      <c r="BM1845" s="6"/>
    </row>
    <row r="1846" spans="1:65" x14ac:dyDescent="0.25">
      <c r="I1846" s="7"/>
      <c r="AH1846" s="7"/>
      <c r="AV1846" s="6"/>
    </row>
    <row r="1847" spans="1:65" x14ac:dyDescent="0.25">
      <c r="A1847" s="6"/>
      <c r="B1847" s="6"/>
      <c r="C1847" s="6"/>
      <c r="D1847" s="6"/>
      <c r="E1847" s="6"/>
      <c r="F1847" s="21"/>
      <c r="G1847" s="10"/>
      <c r="H1847" s="7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  <c r="AA1847" s="6"/>
      <c r="AB1847" s="6"/>
      <c r="AC1847" s="6"/>
      <c r="AD1847" s="6"/>
      <c r="AE1847" s="6"/>
      <c r="AF1847" s="25"/>
      <c r="AG1847" s="7"/>
      <c r="AH1847" s="7"/>
      <c r="AI1847" s="7"/>
      <c r="AJ1847" s="6"/>
      <c r="AK1847" s="6"/>
      <c r="AL1847" s="6"/>
      <c r="AM1847" s="6"/>
      <c r="AN1847" s="6"/>
      <c r="AO1847" s="26"/>
      <c r="AP1847" s="11"/>
      <c r="AQ1847" s="7"/>
      <c r="AS1847" s="11"/>
      <c r="AT1847" s="6"/>
      <c r="AU1847" s="6"/>
      <c r="AW1847" s="7"/>
      <c r="AX1847" s="6"/>
      <c r="AY1847" s="6"/>
      <c r="AZ1847" s="6"/>
      <c r="BA1847" s="6"/>
      <c r="BB1847" s="24"/>
      <c r="BD1847" s="6"/>
      <c r="BE1847" s="6"/>
      <c r="BF1847" s="6"/>
      <c r="BH1847" s="6"/>
      <c r="BI1847" s="6"/>
      <c r="BJ1847" s="6"/>
      <c r="BK1847" s="6"/>
      <c r="BL1847" s="6"/>
      <c r="BM1847" s="6"/>
    </row>
    <row r="1848" spans="1:65" x14ac:dyDescent="0.25">
      <c r="AV1848" s="6"/>
    </row>
    <row r="1849" spans="1:65" x14ac:dyDescent="0.25">
      <c r="I1849" s="7"/>
      <c r="AH1849" s="7"/>
      <c r="AV1849" s="6"/>
    </row>
    <row r="1850" spans="1:65" x14ac:dyDescent="0.25">
      <c r="A1850" s="6"/>
      <c r="B1850" s="6"/>
      <c r="C1850" s="6"/>
      <c r="D1850" s="6"/>
      <c r="E1850" s="6"/>
      <c r="F1850" s="21"/>
      <c r="G1850" s="10"/>
      <c r="H1850" s="7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  <c r="AB1850" s="6"/>
      <c r="AC1850" s="6"/>
      <c r="AD1850" s="6"/>
      <c r="AE1850" s="6"/>
      <c r="AF1850" s="25"/>
      <c r="AG1850" s="7"/>
      <c r="AH1850" s="7"/>
      <c r="AI1850" s="7"/>
      <c r="AJ1850" s="6"/>
      <c r="AK1850" s="6"/>
      <c r="AL1850" s="6"/>
      <c r="AM1850" s="6"/>
      <c r="AN1850" s="6"/>
      <c r="AO1850" s="26"/>
      <c r="AP1850" s="11"/>
      <c r="AQ1850" s="7"/>
      <c r="AS1850" s="11"/>
      <c r="AT1850" s="6"/>
      <c r="AU1850" s="6"/>
      <c r="AW1850" s="7"/>
      <c r="AX1850" s="6"/>
      <c r="AY1850" s="6"/>
      <c r="AZ1850" s="6"/>
      <c r="BA1850" s="6"/>
      <c r="BB1850" s="24"/>
      <c r="BD1850" s="6"/>
      <c r="BE1850" s="6"/>
      <c r="BF1850" s="6"/>
      <c r="BH1850" s="6"/>
      <c r="BI1850" s="6"/>
      <c r="BJ1850" s="6"/>
      <c r="BK1850" s="6"/>
      <c r="BL1850" s="6"/>
      <c r="BM1850" s="6"/>
    </row>
    <row r="1851" spans="1:65" x14ac:dyDescent="0.25">
      <c r="A1851" s="6"/>
      <c r="B1851" s="6"/>
      <c r="C1851" s="6"/>
      <c r="D1851" s="6"/>
      <c r="E1851" s="6"/>
      <c r="F1851" s="21"/>
      <c r="G1851" s="10"/>
      <c r="H1851" s="7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  <c r="AB1851" s="6"/>
      <c r="AC1851" s="6"/>
      <c r="AD1851" s="6"/>
      <c r="AE1851" s="6"/>
      <c r="AF1851" s="25"/>
      <c r="AG1851" s="7"/>
      <c r="AH1851" s="7"/>
      <c r="AI1851" s="7"/>
      <c r="AJ1851" s="6"/>
      <c r="AK1851" s="6"/>
      <c r="AL1851" s="6"/>
      <c r="AM1851" s="6"/>
      <c r="AN1851" s="6"/>
      <c r="AO1851" s="26"/>
      <c r="AP1851" s="11"/>
      <c r="AQ1851" s="7"/>
      <c r="AS1851" s="11"/>
      <c r="AT1851" s="6"/>
      <c r="AU1851" s="6"/>
      <c r="AV1851" s="6"/>
      <c r="AW1851" s="7"/>
      <c r="AX1851" s="6"/>
      <c r="AY1851" s="6"/>
      <c r="AZ1851" s="6"/>
      <c r="BA1851" s="6"/>
      <c r="BB1851" s="24"/>
      <c r="BD1851" s="6"/>
      <c r="BE1851" s="6"/>
      <c r="BF1851" s="6"/>
      <c r="BH1851" s="6"/>
      <c r="BI1851" s="6"/>
      <c r="BJ1851" s="6"/>
      <c r="BK1851" s="6"/>
      <c r="BL1851" s="6"/>
      <c r="BM1851" s="6"/>
    </row>
    <row r="1854" spans="1:65" x14ac:dyDescent="0.25">
      <c r="A1854" s="6"/>
      <c r="B1854" s="6"/>
      <c r="C1854" s="6"/>
      <c r="D1854" s="6"/>
      <c r="E1854" s="6"/>
      <c r="F1854" s="21"/>
      <c r="G1854" s="10"/>
      <c r="H1854" s="7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6"/>
      <c r="AB1854" s="6"/>
      <c r="AC1854" s="6"/>
      <c r="AD1854" s="6"/>
      <c r="AE1854" s="6"/>
      <c r="AF1854" s="25"/>
      <c r="AG1854" s="7"/>
      <c r="AH1854" s="7"/>
      <c r="AI1854" s="7"/>
      <c r="AJ1854" s="6"/>
      <c r="AK1854" s="6"/>
      <c r="AL1854" s="6"/>
      <c r="AM1854" s="6"/>
      <c r="AN1854" s="6"/>
      <c r="AO1854" s="26"/>
      <c r="AP1854" s="11"/>
      <c r="AQ1854" s="7"/>
      <c r="AS1854" s="11"/>
      <c r="AT1854" s="6"/>
      <c r="AU1854" s="6"/>
      <c r="AV1854" s="6"/>
      <c r="AW1854" s="7"/>
      <c r="AX1854" s="6"/>
      <c r="AY1854" s="6"/>
      <c r="AZ1854" s="6"/>
      <c r="BA1854" s="6"/>
      <c r="BB1854" s="24"/>
      <c r="BD1854" s="6"/>
      <c r="BE1854" s="6"/>
      <c r="BF1854" s="6"/>
      <c r="BH1854" s="6"/>
      <c r="BI1854" s="6"/>
      <c r="BJ1854" s="6"/>
      <c r="BK1854" s="6"/>
      <c r="BL1854" s="6"/>
      <c r="BM1854" s="6"/>
    </row>
    <row r="1855" spans="1:65" x14ac:dyDescent="0.25">
      <c r="I1855" s="7"/>
      <c r="AH1855" s="7"/>
      <c r="AV1855" s="6"/>
    </row>
    <row r="1856" spans="1:65" x14ac:dyDescent="0.25">
      <c r="A1856" s="6"/>
      <c r="B1856" s="6"/>
      <c r="C1856" s="6"/>
      <c r="D1856" s="6"/>
      <c r="E1856" s="6"/>
      <c r="F1856" s="21"/>
      <c r="G1856" s="10"/>
      <c r="H1856" s="7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  <c r="AB1856" s="6"/>
      <c r="AC1856" s="6"/>
      <c r="AD1856" s="6"/>
      <c r="AE1856" s="6"/>
      <c r="AF1856" s="25"/>
      <c r="AG1856" s="7"/>
      <c r="AH1856" s="7"/>
      <c r="AI1856" s="7"/>
      <c r="AJ1856" s="6"/>
      <c r="AK1856" s="6"/>
      <c r="AL1856" s="6"/>
      <c r="AM1856" s="6"/>
      <c r="AN1856" s="6"/>
      <c r="AO1856" s="26"/>
      <c r="AP1856" s="11"/>
      <c r="AQ1856" s="7"/>
      <c r="AS1856" s="11"/>
      <c r="AT1856" s="6"/>
      <c r="AU1856" s="6"/>
      <c r="AW1856" s="7"/>
      <c r="AX1856" s="6"/>
      <c r="AY1856" s="6"/>
      <c r="AZ1856" s="6"/>
      <c r="BA1856" s="6"/>
      <c r="BB1856" s="24"/>
      <c r="BD1856" s="6"/>
      <c r="BE1856" s="6"/>
      <c r="BF1856" s="6"/>
      <c r="BH1856" s="6"/>
      <c r="BI1856" s="6"/>
      <c r="BJ1856" s="6"/>
      <c r="BK1856" s="6"/>
      <c r="BL1856" s="6"/>
      <c r="BM1856" s="6"/>
    </row>
    <row r="1857" spans="1:65" x14ac:dyDescent="0.25">
      <c r="AV1857" s="6"/>
    </row>
    <row r="1858" spans="1:65" x14ac:dyDescent="0.25">
      <c r="I1858" s="7"/>
      <c r="AH1858" s="7"/>
      <c r="AV1858" s="6"/>
    </row>
    <row r="1859" spans="1:65" x14ac:dyDescent="0.25">
      <c r="A1859" s="6"/>
      <c r="B1859" s="6"/>
      <c r="C1859" s="6"/>
      <c r="D1859" s="6"/>
      <c r="E1859" s="6"/>
      <c r="F1859" s="21"/>
      <c r="G1859" s="10"/>
      <c r="H1859" s="7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  <c r="AB1859" s="6"/>
      <c r="AC1859" s="6"/>
      <c r="AD1859" s="6"/>
      <c r="AE1859" s="6"/>
      <c r="AF1859" s="25"/>
      <c r="AG1859" s="7"/>
      <c r="AH1859" s="7"/>
      <c r="AI1859" s="7"/>
      <c r="AJ1859" s="6"/>
      <c r="AK1859" s="6"/>
      <c r="AL1859" s="6"/>
      <c r="AM1859" s="6"/>
      <c r="AN1859" s="6"/>
      <c r="AO1859" s="26"/>
      <c r="AP1859" s="11"/>
      <c r="AQ1859" s="7"/>
      <c r="AS1859" s="11"/>
      <c r="AT1859" s="6"/>
      <c r="AU1859" s="6"/>
      <c r="AW1859" s="7"/>
      <c r="AX1859" s="6"/>
      <c r="AY1859" s="6"/>
      <c r="AZ1859" s="6"/>
      <c r="BA1859" s="6"/>
      <c r="BB1859" s="24"/>
      <c r="BD1859" s="6"/>
      <c r="BE1859" s="6"/>
      <c r="BF1859" s="6"/>
      <c r="BH1859" s="6"/>
      <c r="BI1859" s="6"/>
      <c r="BJ1859" s="6"/>
      <c r="BK1859" s="6"/>
      <c r="BL1859" s="6"/>
      <c r="BM1859" s="6"/>
    </row>
    <row r="1860" spans="1:65" x14ac:dyDescent="0.25">
      <c r="A1860" s="6"/>
      <c r="B1860" s="6"/>
      <c r="C1860" s="6"/>
      <c r="D1860" s="6"/>
      <c r="E1860" s="6"/>
      <c r="F1860" s="21"/>
      <c r="G1860" s="10"/>
      <c r="H1860" s="7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  <c r="AB1860" s="6"/>
      <c r="AC1860" s="6"/>
      <c r="AD1860" s="6"/>
      <c r="AE1860" s="6"/>
      <c r="AF1860" s="25"/>
      <c r="AG1860" s="7"/>
      <c r="AH1860" s="7"/>
      <c r="AI1860" s="7"/>
      <c r="AJ1860" s="6"/>
      <c r="AK1860" s="6"/>
      <c r="AL1860" s="6"/>
      <c r="AM1860" s="6"/>
      <c r="AN1860" s="6"/>
      <c r="AO1860" s="26"/>
      <c r="AP1860" s="11"/>
      <c r="AQ1860" s="7"/>
      <c r="AS1860" s="11"/>
      <c r="AT1860" s="6"/>
      <c r="AU1860" s="6"/>
      <c r="AV1860" s="6"/>
      <c r="AW1860" s="7"/>
      <c r="AX1860" s="6"/>
      <c r="AY1860" s="6"/>
      <c r="AZ1860" s="6"/>
      <c r="BA1860" s="6"/>
      <c r="BB1860" s="24"/>
      <c r="BD1860" s="6"/>
      <c r="BE1860" s="6"/>
      <c r="BF1860" s="6"/>
      <c r="BH1860" s="6"/>
      <c r="BI1860" s="6"/>
      <c r="BJ1860" s="6"/>
      <c r="BK1860" s="6"/>
      <c r="BL1860" s="6"/>
      <c r="BM1860" s="6"/>
    </row>
    <row r="1863" spans="1:65" x14ac:dyDescent="0.25">
      <c r="A1863" s="6"/>
      <c r="B1863" s="6"/>
      <c r="C1863" s="6"/>
      <c r="D1863" s="6"/>
      <c r="E1863" s="6"/>
      <c r="F1863" s="21"/>
      <c r="G1863" s="10"/>
      <c r="H1863" s="7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  <c r="AB1863" s="6"/>
      <c r="AC1863" s="6"/>
      <c r="AD1863" s="6"/>
      <c r="AE1863" s="6"/>
      <c r="AF1863" s="25"/>
      <c r="AG1863" s="7"/>
      <c r="AH1863" s="7"/>
      <c r="AI1863" s="7"/>
      <c r="AJ1863" s="6"/>
      <c r="AK1863" s="6"/>
      <c r="AL1863" s="6"/>
      <c r="AM1863" s="6"/>
      <c r="AN1863" s="6"/>
      <c r="AO1863" s="26"/>
      <c r="AP1863" s="11"/>
      <c r="AQ1863" s="7"/>
      <c r="AS1863" s="11"/>
      <c r="AT1863" s="6"/>
      <c r="AU1863" s="6"/>
      <c r="AV1863" s="6"/>
      <c r="AW1863" s="7"/>
      <c r="AX1863" s="6"/>
      <c r="AY1863" s="6"/>
      <c r="AZ1863" s="6"/>
      <c r="BA1863" s="6"/>
      <c r="BB1863" s="24"/>
      <c r="BD1863" s="6"/>
      <c r="BE1863" s="6"/>
      <c r="BF1863" s="6"/>
      <c r="BH1863" s="6"/>
      <c r="BI1863" s="6"/>
      <c r="BJ1863" s="6"/>
      <c r="BK1863" s="6"/>
      <c r="BL1863" s="6"/>
      <c r="BM1863" s="6"/>
    </row>
    <row r="1864" spans="1:65" x14ac:dyDescent="0.25">
      <c r="I1864" s="7"/>
      <c r="AH1864" s="7"/>
      <c r="AV1864" s="6"/>
    </row>
    <row r="1865" spans="1:65" x14ac:dyDescent="0.25">
      <c r="A1865" s="6"/>
      <c r="B1865" s="6"/>
      <c r="C1865" s="6"/>
      <c r="D1865" s="6"/>
      <c r="E1865" s="6"/>
      <c r="F1865" s="21"/>
      <c r="G1865" s="10"/>
      <c r="H1865" s="7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  <c r="AA1865" s="6"/>
      <c r="AB1865" s="6"/>
      <c r="AC1865" s="6"/>
      <c r="AD1865" s="6"/>
      <c r="AE1865" s="6"/>
      <c r="AF1865" s="25"/>
      <c r="AG1865" s="7"/>
      <c r="AH1865" s="7"/>
      <c r="AI1865" s="7"/>
      <c r="AJ1865" s="6"/>
      <c r="AK1865" s="6"/>
      <c r="AL1865" s="6"/>
      <c r="AM1865" s="6"/>
      <c r="AN1865" s="6"/>
      <c r="AO1865" s="26"/>
      <c r="AP1865" s="11"/>
      <c r="AQ1865" s="7"/>
      <c r="AS1865" s="11"/>
      <c r="AT1865" s="6"/>
      <c r="AU1865" s="6"/>
      <c r="AW1865" s="7"/>
      <c r="AX1865" s="6"/>
      <c r="AY1865" s="6"/>
      <c r="AZ1865" s="6"/>
      <c r="BA1865" s="6"/>
      <c r="BB1865" s="24"/>
      <c r="BD1865" s="6"/>
      <c r="BE1865" s="6"/>
      <c r="BF1865" s="6"/>
      <c r="BH1865" s="6"/>
      <c r="BI1865" s="6"/>
      <c r="BJ1865" s="6"/>
      <c r="BK1865" s="6"/>
      <c r="BL1865" s="6"/>
      <c r="BM1865" s="6"/>
    </row>
    <row r="1866" spans="1:65" x14ac:dyDescent="0.25">
      <c r="AV1866" s="6"/>
    </row>
    <row r="1867" spans="1:65" x14ac:dyDescent="0.25">
      <c r="I1867" s="7"/>
      <c r="AH1867" s="7"/>
      <c r="AV1867" s="6"/>
    </row>
    <row r="1868" spans="1:65" x14ac:dyDescent="0.25">
      <c r="A1868" s="6"/>
      <c r="B1868" s="6"/>
      <c r="C1868" s="6"/>
      <c r="D1868" s="6"/>
      <c r="E1868" s="6"/>
      <c r="F1868" s="21"/>
      <c r="G1868" s="10"/>
      <c r="H1868" s="7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  <c r="AA1868" s="6"/>
      <c r="AB1868" s="6"/>
      <c r="AC1868" s="6"/>
      <c r="AD1868" s="6"/>
      <c r="AE1868" s="6"/>
      <c r="AF1868" s="25"/>
      <c r="AG1868" s="7"/>
      <c r="AH1868" s="7"/>
      <c r="AI1868" s="7"/>
      <c r="AJ1868" s="6"/>
      <c r="AK1868" s="6"/>
      <c r="AL1868" s="6"/>
      <c r="AM1868" s="6"/>
      <c r="AN1868" s="6"/>
      <c r="AO1868" s="26"/>
      <c r="AP1868" s="11"/>
      <c r="AQ1868" s="7"/>
      <c r="AS1868" s="11"/>
      <c r="AT1868" s="6"/>
      <c r="AU1868" s="6"/>
      <c r="AW1868" s="7"/>
      <c r="AX1868" s="6"/>
      <c r="AY1868" s="6"/>
      <c r="AZ1868" s="6"/>
      <c r="BA1868" s="6"/>
      <c r="BB1868" s="24"/>
      <c r="BD1868" s="6"/>
      <c r="BE1868" s="6"/>
      <c r="BF1868" s="6"/>
      <c r="BH1868" s="6"/>
      <c r="BI1868" s="6"/>
      <c r="BJ1868" s="6"/>
      <c r="BK1868" s="6"/>
      <c r="BL1868" s="6"/>
      <c r="BM1868" s="6"/>
    </row>
    <row r="1869" spans="1:65" x14ac:dyDescent="0.25">
      <c r="A1869" s="6"/>
      <c r="B1869" s="6"/>
      <c r="C1869" s="6"/>
      <c r="D1869" s="6"/>
      <c r="E1869" s="6"/>
      <c r="F1869" s="21"/>
      <c r="G1869" s="10"/>
      <c r="H1869" s="7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  <c r="AA1869" s="6"/>
      <c r="AB1869" s="6"/>
      <c r="AC1869" s="6"/>
      <c r="AD1869" s="6"/>
      <c r="AE1869" s="6"/>
      <c r="AF1869" s="25"/>
      <c r="AG1869" s="7"/>
      <c r="AH1869" s="7"/>
      <c r="AI1869" s="7"/>
      <c r="AJ1869" s="6"/>
      <c r="AK1869" s="6"/>
      <c r="AL1869" s="6"/>
      <c r="AM1869" s="6"/>
      <c r="AN1869" s="6"/>
      <c r="AO1869" s="26"/>
      <c r="AP1869" s="11"/>
      <c r="AQ1869" s="7"/>
      <c r="AS1869" s="11"/>
      <c r="AT1869" s="6"/>
      <c r="AU1869" s="6"/>
      <c r="AV1869" s="6"/>
      <c r="AW1869" s="7"/>
      <c r="AX1869" s="6"/>
      <c r="AY1869" s="6"/>
      <c r="AZ1869" s="6"/>
      <c r="BA1869" s="6"/>
      <c r="BB1869" s="24"/>
      <c r="BD1869" s="6"/>
      <c r="BE1869" s="6"/>
      <c r="BF1869" s="6"/>
      <c r="BH1869" s="6"/>
      <c r="BI1869" s="6"/>
      <c r="BJ1869" s="6"/>
      <c r="BK1869" s="6"/>
      <c r="BL1869" s="6"/>
      <c r="BM1869" s="6"/>
    </row>
    <row r="1872" spans="1:65" x14ac:dyDescent="0.25">
      <c r="A1872" s="6"/>
      <c r="B1872" s="6"/>
      <c r="C1872" s="6"/>
      <c r="D1872" s="6"/>
      <c r="E1872" s="6"/>
      <c r="F1872" s="21"/>
      <c r="G1872" s="10"/>
      <c r="H1872" s="7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  <c r="AB1872" s="6"/>
      <c r="AC1872" s="6"/>
      <c r="AD1872" s="6"/>
      <c r="AE1872" s="6"/>
      <c r="AF1872" s="25"/>
      <c r="AG1872" s="7"/>
      <c r="AH1872" s="7"/>
      <c r="AI1872" s="7"/>
      <c r="AJ1872" s="6"/>
      <c r="AK1872" s="6"/>
      <c r="AL1872" s="6"/>
      <c r="AM1872" s="6"/>
      <c r="AN1872" s="6"/>
      <c r="AO1872" s="26"/>
      <c r="AP1872" s="11"/>
      <c r="AQ1872" s="7"/>
      <c r="AS1872" s="11"/>
      <c r="AT1872" s="6"/>
      <c r="AU1872" s="6"/>
      <c r="AV1872" s="6"/>
      <c r="AW1872" s="7"/>
      <c r="AX1872" s="6"/>
      <c r="AY1872" s="6"/>
      <c r="AZ1872" s="6"/>
      <c r="BA1872" s="6"/>
      <c r="BB1872" s="24"/>
      <c r="BD1872" s="6"/>
      <c r="BE1872" s="6"/>
      <c r="BF1872" s="6"/>
      <c r="BH1872" s="6"/>
      <c r="BI1872" s="6"/>
      <c r="BJ1872" s="6"/>
      <c r="BK1872" s="6"/>
      <c r="BL1872" s="6"/>
      <c r="BM1872" s="6"/>
    </row>
    <row r="1873" spans="1:65" x14ac:dyDescent="0.25">
      <c r="I1873" s="7"/>
      <c r="AH1873" s="7"/>
      <c r="AV1873" s="6"/>
    </row>
    <row r="1874" spans="1:65" x14ac:dyDescent="0.25">
      <c r="A1874" s="6"/>
      <c r="B1874" s="6"/>
      <c r="C1874" s="6"/>
      <c r="D1874" s="6"/>
      <c r="E1874" s="6"/>
      <c r="F1874" s="21"/>
      <c r="G1874" s="10"/>
      <c r="H1874" s="7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  <c r="AB1874" s="6"/>
      <c r="AC1874" s="6"/>
      <c r="AD1874" s="6"/>
      <c r="AE1874" s="6"/>
      <c r="AF1874" s="25"/>
      <c r="AG1874" s="7"/>
      <c r="AH1874" s="7"/>
      <c r="AI1874" s="7"/>
      <c r="AJ1874" s="6"/>
      <c r="AK1874" s="6"/>
      <c r="AL1874" s="6"/>
      <c r="AM1874" s="6"/>
      <c r="AN1874" s="6"/>
      <c r="AO1874" s="26"/>
      <c r="AP1874" s="11"/>
      <c r="AQ1874" s="7"/>
      <c r="AS1874" s="11"/>
      <c r="AT1874" s="6"/>
      <c r="AU1874" s="6"/>
      <c r="AW1874" s="7"/>
      <c r="AX1874" s="6"/>
      <c r="AY1874" s="6"/>
      <c r="AZ1874" s="6"/>
      <c r="BA1874" s="6"/>
      <c r="BB1874" s="24"/>
      <c r="BD1874" s="6"/>
      <c r="BE1874" s="6"/>
      <c r="BF1874" s="6"/>
      <c r="BH1874" s="6"/>
      <c r="BI1874" s="6"/>
      <c r="BJ1874" s="6"/>
      <c r="BK1874" s="6"/>
      <c r="BL1874" s="6"/>
      <c r="BM1874" s="6"/>
    </row>
    <row r="1875" spans="1:65" x14ac:dyDescent="0.25">
      <c r="AV1875" s="6"/>
    </row>
    <row r="1876" spans="1:65" x14ac:dyDescent="0.25">
      <c r="I1876" s="7"/>
      <c r="AH1876" s="7"/>
      <c r="AV1876" s="6"/>
    </row>
    <row r="1877" spans="1:65" x14ac:dyDescent="0.25">
      <c r="A1877" s="6"/>
      <c r="B1877" s="6"/>
      <c r="C1877" s="6"/>
      <c r="D1877" s="6"/>
      <c r="E1877" s="6"/>
      <c r="F1877" s="21"/>
      <c r="G1877" s="10"/>
      <c r="H1877" s="7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  <c r="AB1877" s="6"/>
      <c r="AC1877" s="6"/>
      <c r="AD1877" s="6"/>
      <c r="AE1877" s="6"/>
      <c r="AF1877" s="25"/>
      <c r="AG1877" s="7"/>
      <c r="AH1877" s="7"/>
      <c r="AI1877" s="7"/>
      <c r="AJ1877" s="6"/>
      <c r="AK1877" s="6"/>
      <c r="AL1877" s="6"/>
      <c r="AM1877" s="6"/>
      <c r="AN1877" s="6"/>
      <c r="AO1877" s="26"/>
      <c r="AP1877" s="11"/>
      <c r="AQ1877" s="7"/>
      <c r="AS1877" s="11"/>
      <c r="AT1877" s="6"/>
      <c r="AU1877" s="6"/>
      <c r="AW1877" s="7"/>
      <c r="AX1877" s="6"/>
      <c r="AY1877" s="6"/>
      <c r="AZ1877" s="6"/>
      <c r="BA1877" s="6"/>
      <c r="BB1877" s="24"/>
      <c r="BD1877" s="6"/>
      <c r="BE1877" s="6"/>
      <c r="BF1877" s="6"/>
      <c r="BH1877" s="6"/>
      <c r="BI1877" s="6"/>
      <c r="BJ1877" s="6"/>
      <c r="BK1877" s="6"/>
      <c r="BL1877" s="6"/>
      <c r="BM1877" s="6"/>
    </row>
    <row r="1878" spans="1:65" x14ac:dyDescent="0.25">
      <c r="A1878" s="6"/>
      <c r="B1878" s="6"/>
      <c r="C1878" s="6"/>
      <c r="D1878" s="6"/>
      <c r="E1878" s="6"/>
      <c r="F1878" s="21"/>
      <c r="G1878" s="10"/>
      <c r="H1878" s="7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  <c r="AB1878" s="6"/>
      <c r="AC1878" s="6"/>
      <c r="AD1878" s="6"/>
      <c r="AE1878" s="6"/>
      <c r="AF1878" s="25"/>
      <c r="AG1878" s="7"/>
      <c r="AH1878" s="7"/>
      <c r="AI1878" s="7"/>
      <c r="AJ1878" s="6"/>
      <c r="AK1878" s="6"/>
      <c r="AL1878" s="6"/>
      <c r="AM1878" s="6"/>
      <c r="AN1878" s="6"/>
      <c r="AO1878" s="26"/>
      <c r="AP1878" s="11"/>
      <c r="AQ1878" s="7"/>
      <c r="AS1878" s="11"/>
      <c r="AT1878" s="6"/>
      <c r="AU1878" s="6"/>
      <c r="AV1878" s="6"/>
      <c r="AW1878" s="7"/>
      <c r="AX1878" s="6"/>
      <c r="AY1878" s="6"/>
      <c r="AZ1878" s="6"/>
      <c r="BA1878" s="6"/>
      <c r="BB1878" s="24"/>
      <c r="BD1878" s="6"/>
      <c r="BE1878" s="6"/>
      <c r="BF1878" s="6"/>
      <c r="BH1878" s="6"/>
      <c r="BI1878" s="6"/>
      <c r="BJ1878" s="6"/>
      <c r="BK1878" s="6"/>
      <c r="BL1878" s="6"/>
      <c r="BM1878" s="6"/>
    </row>
    <row r="1880" spans="1:65" x14ac:dyDescent="0.25">
      <c r="AW1880" s="7"/>
    </row>
    <row r="1881" spans="1:65" x14ac:dyDescent="0.25">
      <c r="A1881" s="6"/>
      <c r="B1881" s="6"/>
      <c r="C1881" s="6"/>
      <c r="D1881" s="6"/>
      <c r="E1881" s="6"/>
      <c r="F1881" s="21"/>
      <c r="G1881" s="10"/>
      <c r="H1881" s="7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  <c r="AB1881" s="6"/>
      <c r="AC1881" s="6"/>
      <c r="AD1881" s="6"/>
      <c r="AE1881" s="6"/>
      <c r="AF1881" s="25"/>
      <c r="AG1881" s="7"/>
      <c r="AH1881" s="7"/>
      <c r="AI1881" s="7"/>
      <c r="AJ1881" s="6"/>
      <c r="AK1881" s="6"/>
      <c r="AL1881" s="6"/>
      <c r="AM1881" s="6"/>
      <c r="AN1881" s="6"/>
      <c r="AO1881" s="26"/>
      <c r="AP1881" s="11"/>
      <c r="AQ1881" s="7"/>
      <c r="AS1881" s="11"/>
      <c r="AT1881" s="6"/>
      <c r="AU1881" s="6"/>
      <c r="AV1881" s="6"/>
      <c r="AW1881" s="7"/>
      <c r="AX1881" s="6"/>
      <c r="AY1881" s="6"/>
      <c r="AZ1881" s="6"/>
      <c r="BA1881" s="6"/>
      <c r="BB1881" s="24"/>
      <c r="BD1881" s="6"/>
      <c r="BE1881" s="6"/>
      <c r="BF1881" s="6"/>
      <c r="BH1881" s="6"/>
      <c r="BI1881" s="6"/>
      <c r="BJ1881" s="6"/>
      <c r="BK1881" s="6"/>
      <c r="BL1881" s="6"/>
      <c r="BM1881" s="6"/>
    </row>
    <row r="1882" spans="1:65" x14ac:dyDescent="0.25">
      <c r="I1882" s="7"/>
      <c r="AH1882" s="7"/>
      <c r="AV1882" s="6"/>
    </row>
    <row r="1883" spans="1:65" x14ac:dyDescent="0.25">
      <c r="A1883" s="6"/>
      <c r="B1883" s="6"/>
      <c r="C1883" s="6"/>
      <c r="D1883" s="6"/>
      <c r="E1883" s="6"/>
      <c r="F1883" s="21"/>
      <c r="G1883" s="10"/>
      <c r="H1883" s="7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  <c r="AB1883" s="6"/>
      <c r="AC1883" s="6"/>
      <c r="AD1883" s="6"/>
      <c r="AE1883" s="6"/>
      <c r="AF1883" s="25"/>
      <c r="AG1883" s="7"/>
      <c r="AH1883" s="7"/>
      <c r="AI1883" s="7"/>
      <c r="AJ1883" s="6"/>
      <c r="AK1883" s="6"/>
      <c r="AL1883" s="6"/>
      <c r="AM1883" s="6"/>
      <c r="AN1883" s="6"/>
      <c r="AO1883" s="26"/>
      <c r="AP1883" s="11"/>
      <c r="AQ1883" s="7"/>
      <c r="AS1883" s="11"/>
      <c r="AT1883" s="6"/>
      <c r="AU1883" s="6"/>
      <c r="AW1883" s="7"/>
      <c r="AX1883" s="6"/>
      <c r="AY1883" s="6"/>
      <c r="AZ1883" s="6"/>
      <c r="BA1883" s="6"/>
      <c r="BB1883" s="24"/>
      <c r="BD1883" s="6"/>
      <c r="BE1883" s="6"/>
      <c r="BF1883" s="6"/>
      <c r="BH1883" s="6"/>
      <c r="BI1883" s="6"/>
      <c r="BJ1883" s="6"/>
      <c r="BK1883" s="6"/>
      <c r="BL1883" s="6"/>
      <c r="BM1883" s="6"/>
    </row>
    <row r="1884" spans="1:65" x14ac:dyDescent="0.25">
      <c r="AV1884" s="6"/>
    </row>
    <row r="1885" spans="1:65" x14ac:dyDescent="0.25">
      <c r="I1885" s="7"/>
      <c r="AH1885" s="7"/>
      <c r="AV1885" s="6"/>
    </row>
    <row r="1886" spans="1:65" x14ac:dyDescent="0.25">
      <c r="A1886" s="6"/>
      <c r="B1886" s="6"/>
      <c r="C1886" s="6"/>
      <c r="D1886" s="6"/>
      <c r="E1886" s="6"/>
      <c r="F1886" s="21"/>
      <c r="G1886" s="10"/>
      <c r="H1886" s="7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  <c r="AA1886" s="6"/>
      <c r="AB1886" s="6"/>
      <c r="AC1886" s="6"/>
      <c r="AD1886" s="6"/>
      <c r="AE1886" s="6"/>
      <c r="AF1886" s="25"/>
      <c r="AG1886" s="7"/>
      <c r="AH1886" s="7"/>
      <c r="AI1886" s="7"/>
      <c r="AJ1886" s="6"/>
      <c r="AK1886" s="6"/>
      <c r="AL1886" s="6"/>
      <c r="AM1886" s="6"/>
      <c r="AN1886" s="6"/>
      <c r="AO1886" s="26"/>
      <c r="AP1886" s="11"/>
      <c r="AQ1886" s="7"/>
      <c r="AS1886" s="11"/>
      <c r="AT1886" s="6"/>
      <c r="AU1886" s="6"/>
      <c r="AW1886" s="7"/>
      <c r="AX1886" s="6"/>
      <c r="AY1886" s="6"/>
      <c r="AZ1886" s="6"/>
      <c r="BA1886" s="6"/>
      <c r="BB1886" s="24"/>
      <c r="BD1886" s="6"/>
      <c r="BE1886" s="6"/>
      <c r="BF1886" s="6"/>
      <c r="BH1886" s="6"/>
      <c r="BI1886" s="6"/>
      <c r="BJ1886" s="6"/>
      <c r="BK1886" s="6"/>
      <c r="BL1886" s="6"/>
      <c r="BM1886" s="6"/>
    </row>
    <row r="1887" spans="1:65" x14ac:dyDescent="0.25">
      <c r="A1887" s="6"/>
      <c r="B1887" s="6"/>
      <c r="C1887" s="6"/>
      <c r="D1887" s="6"/>
      <c r="E1887" s="6"/>
      <c r="F1887" s="21"/>
      <c r="G1887" s="10"/>
      <c r="H1887" s="7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  <c r="AA1887" s="6"/>
      <c r="AB1887" s="6"/>
      <c r="AC1887" s="6"/>
      <c r="AD1887" s="6"/>
      <c r="AE1887" s="6"/>
      <c r="AF1887" s="25"/>
      <c r="AG1887" s="7"/>
      <c r="AH1887" s="7"/>
      <c r="AI1887" s="7"/>
      <c r="AJ1887" s="6"/>
      <c r="AK1887" s="6"/>
      <c r="AL1887" s="6"/>
      <c r="AM1887" s="6"/>
      <c r="AN1887" s="6"/>
      <c r="AO1887" s="26"/>
      <c r="AP1887" s="11"/>
      <c r="AQ1887" s="7"/>
      <c r="AS1887" s="11"/>
      <c r="AT1887" s="6"/>
      <c r="AU1887" s="6"/>
      <c r="AV1887" s="6"/>
      <c r="AW1887" s="7"/>
      <c r="AX1887" s="6"/>
      <c r="AY1887" s="6"/>
      <c r="AZ1887" s="6"/>
      <c r="BA1887" s="6"/>
      <c r="BB1887" s="24"/>
      <c r="BD1887" s="6"/>
      <c r="BE1887" s="6"/>
      <c r="BF1887" s="6"/>
      <c r="BH1887" s="6"/>
      <c r="BI1887" s="6"/>
      <c r="BJ1887" s="6"/>
      <c r="BK1887" s="6"/>
      <c r="BL1887" s="6"/>
      <c r="BM1887" s="6"/>
    </row>
    <row r="1890" spans="1:65" x14ac:dyDescent="0.25">
      <c r="A1890" s="6"/>
      <c r="B1890" s="6"/>
      <c r="C1890" s="6"/>
      <c r="D1890" s="6"/>
      <c r="E1890" s="6"/>
      <c r="F1890" s="21"/>
      <c r="G1890" s="10"/>
      <c r="H1890" s="7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6"/>
      <c r="AB1890" s="6"/>
      <c r="AC1890" s="6"/>
      <c r="AD1890" s="6"/>
      <c r="AE1890" s="6"/>
      <c r="AF1890" s="25"/>
      <c r="AG1890" s="7"/>
      <c r="AH1890" s="7"/>
      <c r="AI1890" s="7"/>
      <c r="AJ1890" s="6"/>
      <c r="AK1890" s="6"/>
      <c r="AL1890" s="6"/>
      <c r="AM1890" s="6"/>
      <c r="AN1890" s="6"/>
      <c r="AO1890" s="26"/>
      <c r="AP1890" s="11"/>
      <c r="AQ1890" s="7"/>
      <c r="AS1890" s="11"/>
      <c r="AT1890" s="6"/>
      <c r="AU1890" s="6"/>
      <c r="AV1890" s="6"/>
      <c r="AW1890" s="7"/>
      <c r="AX1890" s="6"/>
      <c r="AY1890" s="6"/>
      <c r="AZ1890" s="6"/>
      <c r="BA1890" s="6"/>
      <c r="BB1890" s="24"/>
      <c r="BD1890" s="6"/>
      <c r="BE1890" s="6"/>
      <c r="BF1890" s="6"/>
      <c r="BH1890" s="6"/>
      <c r="BI1890" s="6"/>
      <c r="BJ1890" s="6"/>
      <c r="BK1890" s="6"/>
      <c r="BL1890" s="6"/>
      <c r="BM1890" s="6"/>
    </row>
    <row r="1891" spans="1:65" x14ac:dyDescent="0.25">
      <c r="I1891" s="7"/>
      <c r="AH1891" s="7"/>
      <c r="AV1891" s="6"/>
    </row>
    <row r="1892" spans="1:65" x14ac:dyDescent="0.25">
      <c r="A1892" s="6"/>
      <c r="B1892" s="6"/>
      <c r="C1892" s="6"/>
      <c r="D1892" s="6"/>
      <c r="E1892" s="6"/>
      <c r="F1892" s="21"/>
      <c r="G1892" s="10"/>
      <c r="H1892" s="7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6"/>
      <c r="AB1892" s="6"/>
      <c r="AC1892" s="6"/>
      <c r="AD1892" s="6"/>
      <c r="AE1892" s="6"/>
      <c r="AF1892" s="25"/>
      <c r="AG1892" s="7"/>
      <c r="AH1892" s="7"/>
      <c r="AI1892" s="7"/>
      <c r="AJ1892" s="6"/>
      <c r="AK1892" s="6"/>
      <c r="AL1892" s="6"/>
      <c r="AM1892" s="6"/>
      <c r="AN1892" s="6"/>
      <c r="AO1892" s="26"/>
      <c r="AP1892" s="11"/>
      <c r="AQ1892" s="7"/>
      <c r="AS1892" s="11"/>
      <c r="AT1892" s="6"/>
      <c r="AU1892" s="6"/>
      <c r="AW1892" s="7"/>
      <c r="AX1892" s="6"/>
      <c r="AY1892" s="6"/>
      <c r="AZ1892" s="6"/>
      <c r="BA1892" s="6"/>
      <c r="BB1892" s="24"/>
      <c r="BD1892" s="6"/>
      <c r="BE1892" s="6"/>
      <c r="BF1892" s="6"/>
      <c r="BH1892" s="6"/>
      <c r="BI1892" s="6"/>
      <c r="BJ1892" s="6"/>
      <c r="BK1892" s="6"/>
      <c r="BL1892" s="6"/>
      <c r="BM1892" s="6"/>
    </row>
    <row r="1893" spans="1:65" x14ac:dyDescent="0.25">
      <c r="AV1893" s="6"/>
    </row>
    <row r="1894" spans="1:65" x14ac:dyDescent="0.25">
      <c r="I1894" s="7"/>
      <c r="AH1894" s="7"/>
      <c r="AV1894" s="6"/>
    </row>
    <row r="1895" spans="1:65" x14ac:dyDescent="0.25">
      <c r="A1895" s="6"/>
      <c r="B1895" s="6"/>
      <c r="C1895" s="6"/>
      <c r="D1895" s="6"/>
      <c r="E1895" s="6"/>
      <c r="F1895" s="21"/>
      <c r="G1895" s="10"/>
      <c r="H1895" s="7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6"/>
      <c r="AB1895" s="6"/>
      <c r="AC1895" s="6"/>
      <c r="AD1895" s="6"/>
      <c r="AE1895" s="6"/>
      <c r="AF1895" s="25"/>
      <c r="AG1895" s="7"/>
      <c r="AH1895" s="7"/>
      <c r="AI1895" s="7"/>
      <c r="AJ1895" s="6"/>
      <c r="AK1895" s="6"/>
      <c r="AL1895" s="6"/>
      <c r="AM1895" s="6"/>
      <c r="AN1895" s="6"/>
      <c r="AO1895" s="26"/>
      <c r="AP1895" s="11"/>
      <c r="AQ1895" s="7"/>
      <c r="AS1895" s="11"/>
      <c r="AT1895" s="6"/>
      <c r="AU1895" s="6"/>
      <c r="AW1895" s="7"/>
      <c r="AX1895" s="6"/>
      <c r="AY1895" s="6"/>
      <c r="AZ1895" s="6"/>
      <c r="BA1895" s="6"/>
      <c r="BB1895" s="24"/>
      <c r="BD1895" s="6"/>
      <c r="BE1895" s="6"/>
      <c r="BF1895" s="6"/>
      <c r="BH1895" s="6"/>
      <c r="BI1895" s="6"/>
      <c r="BJ1895" s="6"/>
      <c r="BK1895" s="6"/>
      <c r="BL1895" s="6"/>
      <c r="BM1895" s="6"/>
    </row>
    <row r="1896" spans="1:65" x14ac:dyDescent="0.25">
      <c r="A1896" s="6"/>
      <c r="B1896" s="6"/>
      <c r="C1896" s="6"/>
      <c r="D1896" s="6"/>
      <c r="E1896" s="6"/>
      <c r="F1896" s="21"/>
      <c r="G1896" s="10"/>
      <c r="H1896" s="7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  <c r="AB1896" s="6"/>
      <c r="AC1896" s="6"/>
      <c r="AD1896" s="6"/>
      <c r="AE1896" s="6"/>
      <c r="AF1896" s="25"/>
      <c r="AG1896" s="7"/>
      <c r="AH1896" s="7"/>
      <c r="AI1896" s="7"/>
      <c r="AJ1896" s="6"/>
      <c r="AK1896" s="6"/>
      <c r="AL1896" s="6"/>
      <c r="AM1896" s="6"/>
      <c r="AN1896" s="6"/>
      <c r="AO1896" s="26"/>
      <c r="AP1896" s="11"/>
      <c r="AQ1896" s="7"/>
      <c r="AS1896" s="11"/>
      <c r="AT1896" s="6"/>
      <c r="AU1896" s="6"/>
      <c r="AV1896" s="6"/>
      <c r="AW1896" s="7"/>
      <c r="AX1896" s="6"/>
      <c r="AY1896" s="6"/>
      <c r="AZ1896" s="6"/>
      <c r="BA1896" s="6"/>
      <c r="BB1896" s="24"/>
      <c r="BD1896" s="6"/>
      <c r="BE1896" s="6"/>
      <c r="BF1896" s="6"/>
      <c r="BH1896" s="6"/>
      <c r="BI1896" s="6"/>
      <c r="BJ1896" s="6"/>
      <c r="BK1896" s="6"/>
      <c r="BL1896" s="6"/>
      <c r="BM1896" s="6"/>
    </row>
    <row r="1899" spans="1:65" x14ac:dyDescent="0.25">
      <c r="A1899" s="6"/>
      <c r="B1899" s="6"/>
      <c r="C1899" s="6"/>
      <c r="D1899" s="6"/>
      <c r="E1899" s="6"/>
      <c r="F1899" s="21"/>
      <c r="G1899" s="10"/>
      <c r="H1899" s="7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  <c r="AA1899" s="6"/>
      <c r="AB1899" s="6"/>
      <c r="AC1899" s="6"/>
      <c r="AD1899" s="6"/>
      <c r="AE1899" s="6"/>
      <c r="AF1899" s="25"/>
      <c r="AG1899" s="7"/>
      <c r="AH1899" s="7"/>
      <c r="AI1899" s="7"/>
      <c r="AJ1899" s="6"/>
      <c r="AK1899" s="6"/>
      <c r="AL1899" s="6"/>
      <c r="AM1899" s="6"/>
      <c r="AN1899" s="6"/>
      <c r="AO1899" s="26"/>
      <c r="AP1899" s="11"/>
      <c r="AQ1899" s="7"/>
      <c r="AS1899" s="11"/>
      <c r="AT1899" s="6"/>
      <c r="AU1899" s="6"/>
      <c r="AV1899" s="6"/>
      <c r="AW1899" s="7"/>
      <c r="AX1899" s="6"/>
      <c r="AY1899" s="6"/>
      <c r="AZ1899" s="6"/>
      <c r="BA1899" s="6"/>
      <c r="BB1899" s="24"/>
      <c r="BD1899" s="6"/>
      <c r="BE1899" s="6"/>
      <c r="BF1899" s="6"/>
      <c r="BH1899" s="6"/>
      <c r="BI1899" s="6"/>
      <c r="BJ1899" s="6"/>
      <c r="BK1899" s="6"/>
      <c r="BL1899" s="6"/>
      <c r="BM1899" s="6"/>
    </row>
    <row r="1900" spans="1:65" x14ac:dyDescent="0.25">
      <c r="I1900" s="7"/>
      <c r="AH1900" s="7"/>
      <c r="AV1900" s="6"/>
    </row>
    <row r="1901" spans="1:65" x14ac:dyDescent="0.25">
      <c r="A1901" s="6"/>
      <c r="B1901" s="6"/>
      <c r="C1901" s="6"/>
      <c r="D1901" s="6"/>
      <c r="E1901" s="6"/>
      <c r="F1901" s="21"/>
      <c r="G1901" s="10"/>
      <c r="H1901" s="7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  <c r="AB1901" s="6"/>
      <c r="AC1901" s="6"/>
      <c r="AD1901" s="6"/>
      <c r="AE1901" s="6"/>
      <c r="AF1901" s="25"/>
      <c r="AG1901" s="7"/>
      <c r="AH1901" s="7"/>
      <c r="AI1901" s="7"/>
      <c r="AJ1901" s="6"/>
      <c r="AK1901" s="6"/>
      <c r="AL1901" s="6"/>
      <c r="AM1901" s="6"/>
      <c r="AN1901" s="6"/>
      <c r="AO1901" s="26"/>
      <c r="AP1901" s="11"/>
      <c r="AQ1901" s="7"/>
      <c r="AS1901" s="11"/>
      <c r="AT1901" s="6"/>
      <c r="AU1901" s="6"/>
      <c r="AW1901" s="7"/>
      <c r="AX1901" s="6"/>
      <c r="AY1901" s="6"/>
      <c r="AZ1901" s="6"/>
      <c r="BA1901" s="6"/>
      <c r="BB1901" s="24"/>
      <c r="BD1901" s="6"/>
      <c r="BE1901" s="6"/>
      <c r="BF1901" s="6"/>
      <c r="BH1901" s="6"/>
      <c r="BI1901" s="6"/>
      <c r="BJ1901" s="6"/>
      <c r="BK1901" s="6"/>
      <c r="BL1901" s="6"/>
      <c r="BM1901" s="6"/>
    </row>
    <row r="1902" spans="1:65" x14ac:dyDescent="0.25">
      <c r="AV1902" s="6"/>
    </row>
    <row r="1903" spans="1:65" x14ac:dyDescent="0.25">
      <c r="I1903" s="7"/>
      <c r="AH1903" s="7"/>
      <c r="AV1903" s="6"/>
    </row>
    <row r="1904" spans="1:65" x14ac:dyDescent="0.25">
      <c r="A1904" s="6"/>
      <c r="B1904" s="6"/>
      <c r="C1904" s="6"/>
      <c r="D1904" s="6"/>
      <c r="E1904" s="6"/>
      <c r="F1904" s="21"/>
      <c r="G1904" s="10"/>
      <c r="H1904" s="7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  <c r="AB1904" s="6"/>
      <c r="AC1904" s="6"/>
      <c r="AD1904" s="6"/>
      <c r="AE1904" s="6"/>
      <c r="AF1904" s="25"/>
      <c r="AG1904" s="7"/>
      <c r="AH1904" s="7"/>
      <c r="AI1904" s="7"/>
      <c r="AJ1904" s="6"/>
      <c r="AK1904" s="6"/>
      <c r="AL1904" s="6"/>
      <c r="AM1904" s="6"/>
      <c r="AN1904" s="6"/>
      <c r="AO1904" s="26"/>
      <c r="AP1904" s="11"/>
      <c r="AQ1904" s="7"/>
      <c r="AS1904" s="11"/>
      <c r="AT1904" s="6"/>
      <c r="AU1904" s="6"/>
      <c r="AW1904" s="7"/>
      <c r="AX1904" s="6"/>
      <c r="AY1904" s="6"/>
      <c r="AZ1904" s="6"/>
      <c r="BA1904" s="6"/>
      <c r="BB1904" s="24"/>
      <c r="BD1904" s="6"/>
      <c r="BE1904" s="6"/>
      <c r="BF1904" s="6"/>
      <c r="BH1904" s="6"/>
      <c r="BI1904" s="6"/>
      <c r="BJ1904" s="6"/>
      <c r="BK1904" s="6"/>
      <c r="BL1904" s="6"/>
      <c r="BM1904" s="6"/>
    </row>
    <row r="1905" spans="1:65" x14ac:dyDescent="0.25">
      <c r="A1905" s="6"/>
      <c r="B1905" s="6"/>
      <c r="C1905" s="6"/>
      <c r="D1905" s="6"/>
      <c r="E1905" s="6"/>
      <c r="F1905" s="21"/>
      <c r="G1905" s="10"/>
      <c r="H1905" s="7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  <c r="AB1905" s="6"/>
      <c r="AC1905" s="6"/>
      <c r="AD1905" s="6"/>
      <c r="AE1905" s="6"/>
      <c r="AF1905" s="25"/>
      <c r="AG1905" s="7"/>
      <c r="AH1905" s="7"/>
      <c r="AI1905" s="7"/>
      <c r="AJ1905" s="6"/>
      <c r="AK1905" s="6"/>
      <c r="AL1905" s="6"/>
      <c r="AM1905" s="6"/>
      <c r="AN1905" s="6"/>
      <c r="AO1905" s="26"/>
      <c r="AP1905" s="11"/>
      <c r="AQ1905" s="7"/>
      <c r="AS1905" s="11"/>
      <c r="AT1905" s="6"/>
      <c r="AU1905" s="6"/>
      <c r="AV1905" s="6"/>
      <c r="AW1905" s="7"/>
      <c r="AX1905" s="6"/>
      <c r="AY1905" s="6"/>
      <c r="AZ1905" s="6"/>
      <c r="BA1905" s="6"/>
      <c r="BB1905" s="24"/>
      <c r="BD1905" s="6"/>
      <c r="BE1905" s="6"/>
      <c r="BF1905" s="6"/>
      <c r="BH1905" s="6"/>
      <c r="BI1905" s="6"/>
      <c r="BJ1905" s="6"/>
      <c r="BK1905" s="6"/>
      <c r="BL1905" s="6"/>
      <c r="BM1905" s="6"/>
    </row>
    <row r="1908" spans="1:65" x14ac:dyDescent="0.25">
      <c r="A1908" s="6"/>
      <c r="B1908" s="6"/>
      <c r="C1908" s="6"/>
      <c r="D1908" s="6"/>
      <c r="E1908" s="6"/>
      <c r="F1908" s="21"/>
      <c r="G1908" s="10"/>
      <c r="H1908" s="7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  <c r="AA1908" s="6"/>
      <c r="AB1908" s="6"/>
      <c r="AC1908" s="6"/>
      <c r="AD1908" s="6"/>
      <c r="AE1908" s="6"/>
      <c r="AF1908" s="25"/>
      <c r="AG1908" s="7"/>
      <c r="AH1908" s="7"/>
      <c r="AI1908" s="7"/>
      <c r="AJ1908" s="6"/>
      <c r="AK1908" s="6"/>
      <c r="AL1908" s="6"/>
      <c r="AM1908" s="6"/>
      <c r="AN1908" s="6"/>
      <c r="AO1908" s="26"/>
      <c r="AP1908" s="11"/>
      <c r="AQ1908" s="7"/>
      <c r="AS1908" s="11"/>
      <c r="AT1908" s="6"/>
      <c r="AU1908" s="6"/>
      <c r="AV1908" s="6"/>
      <c r="AW1908" s="7"/>
      <c r="AX1908" s="6"/>
      <c r="AY1908" s="6"/>
      <c r="AZ1908" s="6"/>
      <c r="BA1908" s="6"/>
      <c r="BB1908" s="24"/>
      <c r="BD1908" s="6"/>
      <c r="BE1908" s="6"/>
      <c r="BF1908" s="6"/>
      <c r="BH1908" s="6"/>
      <c r="BI1908" s="6"/>
      <c r="BJ1908" s="6"/>
      <c r="BK1908" s="6"/>
      <c r="BL1908" s="6"/>
      <c r="BM1908" s="6"/>
    </row>
    <row r="1909" spans="1:65" x14ac:dyDescent="0.25">
      <c r="I1909" s="7"/>
      <c r="AH1909" s="7"/>
      <c r="AV1909" s="6"/>
    </row>
    <row r="1910" spans="1:65" x14ac:dyDescent="0.25">
      <c r="A1910" s="6"/>
      <c r="B1910" s="6"/>
      <c r="C1910" s="6"/>
      <c r="D1910" s="6"/>
      <c r="E1910" s="6"/>
      <c r="F1910" s="21"/>
      <c r="G1910" s="10"/>
      <c r="H1910" s="7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  <c r="AA1910" s="6"/>
      <c r="AB1910" s="6"/>
      <c r="AC1910" s="6"/>
      <c r="AD1910" s="6"/>
      <c r="AE1910" s="6"/>
      <c r="AF1910" s="25"/>
      <c r="AG1910" s="7"/>
      <c r="AH1910" s="7"/>
      <c r="AI1910" s="7"/>
      <c r="AJ1910" s="6"/>
      <c r="AK1910" s="6"/>
      <c r="AL1910" s="6"/>
      <c r="AM1910" s="6"/>
      <c r="AN1910" s="6"/>
      <c r="AO1910" s="26"/>
      <c r="AP1910" s="11"/>
      <c r="AQ1910" s="7"/>
      <c r="AS1910" s="11"/>
      <c r="AT1910" s="6"/>
      <c r="AU1910" s="6"/>
      <c r="AW1910" s="7"/>
      <c r="AX1910" s="6"/>
      <c r="AY1910" s="6"/>
      <c r="AZ1910" s="6"/>
      <c r="BA1910" s="6"/>
      <c r="BB1910" s="24"/>
      <c r="BD1910" s="6"/>
      <c r="BE1910" s="6"/>
      <c r="BF1910" s="6"/>
      <c r="BH1910" s="6"/>
      <c r="BI1910" s="6"/>
      <c r="BJ1910" s="6"/>
      <c r="BK1910" s="6"/>
      <c r="BL1910" s="6"/>
      <c r="BM1910" s="6"/>
    </row>
    <row r="1911" spans="1:65" x14ac:dyDescent="0.25">
      <c r="AV1911" s="6"/>
    </row>
    <row r="1912" spans="1:65" x14ac:dyDescent="0.25">
      <c r="I1912" s="7"/>
      <c r="AH1912" s="7"/>
      <c r="AV1912" s="6"/>
    </row>
    <row r="1913" spans="1:65" x14ac:dyDescent="0.25">
      <c r="A1913" s="6"/>
      <c r="B1913" s="6"/>
      <c r="C1913" s="6"/>
      <c r="D1913" s="6"/>
      <c r="E1913" s="6"/>
      <c r="F1913" s="21"/>
      <c r="G1913" s="10"/>
      <c r="H1913" s="7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6"/>
      <c r="AB1913" s="6"/>
      <c r="AC1913" s="6"/>
      <c r="AD1913" s="6"/>
      <c r="AE1913" s="6"/>
      <c r="AF1913" s="25"/>
      <c r="AG1913" s="7"/>
      <c r="AH1913" s="7"/>
      <c r="AI1913" s="7"/>
      <c r="AJ1913" s="6"/>
      <c r="AK1913" s="6"/>
      <c r="AL1913" s="6"/>
      <c r="AM1913" s="6"/>
      <c r="AN1913" s="6"/>
      <c r="AO1913" s="26"/>
      <c r="AP1913" s="11"/>
      <c r="AQ1913" s="7"/>
      <c r="AS1913" s="11"/>
      <c r="AT1913" s="6"/>
      <c r="AU1913" s="6"/>
      <c r="AW1913" s="7"/>
      <c r="AX1913" s="6"/>
      <c r="AY1913" s="6"/>
      <c r="AZ1913" s="6"/>
      <c r="BA1913" s="6"/>
      <c r="BB1913" s="24"/>
      <c r="BD1913" s="6"/>
      <c r="BE1913" s="6"/>
      <c r="BF1913" s="6"/>
      <c r="BH1913" s="6"/>
      <c r="BI1913" s="6"/>
      <c r="BJ1913" s="6"/>
      <c r="BK1913" s="6"/>
      <c r="BL1913" s="6"/>
      <c r="BM1913" s="6"/>
    </row>
    <row r="1914" spans="1:65" x14ac:dyDescent="0.25">
      <c r="A1914" s="6"/>
      <c r="B1914" s="6"/>
      <c r="C1914" s="6"/>
      <c r="D1914" s="6"/>
      <c r="E1914" s="6"/>
      <c r="F1914" s="21"/>
      <c r="G1914" s="10"/>
      <c r="H1914" s="7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  <c r="AB1914" s="6"/>
      <c r="AC1914" s="6"/>
      <c r="AD1914" s="6"/>
      <c r="AE1914" s="6"/>
      <c r="AF1914" s="25"/>
      <c r="AG1914" s="7"/>
      <c r="AH1914" s="7"/>
      <c r="AI1914" s="7"/>
      <c r="AJ1914" s="6"/>
      <c r="AK1914" s="6"/>
      <c r="AL1914" s="6"/>
      <c r="AM1914" s="6"/>
      <c r="AN1914" s="6"/>
      <c r="AO1914" s="26"/>
      <c r="AP1914" s="11"/>
      <c r="AQ1914" s="7"/>
      <c r="AS1914" s="11"/>
      <c r="AT1914" s="6"/>
      <c r="AU1914" s="6"/>
      <c r="AV1914" s="6"/>
      <c r="AW1914" s="7"/>
      <c r="AX1914" s="6"/>
      <c r="AY1914" s="6"/>
      <c r="AZ1914" s="6"/>
      <c r="BA1914" s="6"/>
      <c r="BB1914" s="24"/>
      <c r="BD1914" s="6"/>
      <c r="BE1914" s="6"/>
      <c r="BF1914" s="6"/>
      <c r="BH1914" s="6"/>
      <c r="BI1914" s="6"/>
      <c r="BJ1914" s="6"/>
      <c r="BK1914" s="6"/>
      <c r="BL1914" s="6"/>
      <c r="BM1914" s="6"/>
    </row>
    <row r="1917" spans="1:65" x14ac:dyDescent="0.25">
      <c r="A1917" s="6"/>
      <c r="B1917" s="6"/>
      <c r="C1917" s="6"/>
      <c r="D1917" s="6"/>
      <c r="E1917" s="6"/>
      <c r="F1917" s="21"/>
      <c r="G1917" s="10"/>
      <c r="H1917" s="7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  <c r="AB1917" s="6"/>
      <c r="AC1917" s="6"/>
      <c r="AD1917" s="6"/>
      <c r="AE1917" s="6"/>
      <c r="AF1917" s="25"/>
      <c r="AG1917" s="7"/>
      <c r="AH1917" s="7"/>
      <c r="AI1917" s="7"/>
      <c r="AJ1917" s="6"/>
      <c r="AK1917" s="6"/>
      <c r="AL1917" s="6"/>
      <c r="AM1917" s="6"/>
      <c r="AN1917" s="6"/>
      <c r="AO1917" s="26"/>
      <c r="AP1917" s="11"/>
      <c r="AQ1917" s="7"/>
      <c r="AS1917" s="11"/>
      <c r="AT1917" s="6"/>
      <c r="AU1917" s="6"/>
      <c r="AV1917" s="6"/>
      <c r="AW1917" s="7"/>
      <c r="AX1917" s="6"/>
      <c r="AY1917" s="6"/>
      <c r="AZ1917" s="6"/>
      <c r="BA1917" s="6"/>
      <c r="BB1917" s="24"/>
      <c r="BD1917" s="6"/>
      <c r="BE1917" s="6"/>
      <c r="BF1917" s="6"/>
      <c r="BH1917" s="6"/>
      <c r="BI1917" s="6"/>
      <c r="BJ1917" s="6"/>
      <c r="BK1917" s="6"/>
      <c r="BL1917" s="6"/>
      <c r="BM1917" s="6"/>
    </row>
    <row r="1918" spans="1:65" x14ac:dyDescent="0.25">
      <c r="I1918" s="7"/>
      <c r="AH1918" s="7"/>
      <c r="AV1918" s="6"/>
    </row>
    <row r="1919" spans="1:65" x14ac:dyDescent="0.25">
      <c r="A1919" s="6"/>
      <c r="B1919" s="6"/>
      <c r="C1919" s="6"/>
      <c r="D1919" s="6"/>
      <c r="E1919" s="6"/>
      <c r="F1919" s="21"/>
      <c r="G1919" s="10"/>
      <c r="H1919" s="7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  <c r="AB1919" s="6"/>
      <c r="AC1919" s="6"/>
      <c r="AD1919" s="6"/>
      <c r="AE1919" s="6"/>
      <c r="AF1919" s="25"/>
      <c r="AG1919" s="7"/>
      <c r="AH1919" s="7"/>
      <c r="AI1919" s="7"/>
      <c r="AJ1919" s="6"/>
      <c r="AK1919" s="6"/>
      <c r="AL1919" s="6"/>
      <c r="AM1919" s="6"/>
      <c r="AN1919" s="6"/>
      <c r="AO1919" s="26"/>
      <c r="AP1919" s="11"/>
      <c r="AQ1919" s="7"/>
      <c r="AS1919" s="11"/>
      <c r="AT1919" s="6"/>
      <c r="AU1919" s="6"/>
      <c r="AW1919" s="7"/>
      <c r="AX1919" s="6"/>
      <c r="AY1919" s="6"/>
      <c r="AZ1919" s="6"/>
      <c r="BA1919" s="6"/>
      <c r="BB1919" s="24"/>
      <c r="BD1919" s="6"/>
      <c r="BE1919" s="6"/>
      <c r="BF1919" s="6"/>
      <c r="BH1919" s="6"/>
      <c r="BI1919" s="6"/>
      <c r="BJ1919" s="6"/>
      <c r="BK1919" s="6"/>
      <c r="BL1919" s="6"/>
      <c r="BM1919" s="6"/>
    </row>
    <row r="1920" spans="1:65" x14ac:dyDescent="0.25">
      <c r="AV1920" s="6"/>
    </row>
    <row r="1921" spans="1:65" x14ac:dyDescent="0.25">
      <c r="I1921" s="7"/>
      <c r="AH1921" s="7"/>
      <c r="AV1921" s="6"/>
    </row>
    <row r="1922" spans="1:65" x14ac:dyDescent="0.25">
      <c r="A1922" s="6"/>
      <c r="B1922" s="6"/>
      <c r="C1922" s="6"/>
      <c r="D1922" s="6"/>
      <c r="E1922" s="6"/>
      <c r="F1922" s="21"/>
      <c r="G1922" s="10"/>
      <c r="H1922" s="7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  <c r="AB1922" s="6"/>
      <c r="AC1922" s="6"/>
      <c r="AD1922" s="6"/>
      <c r="AE1922" s="6"/>
      <c r="AF1922" s="25"/>
      <c r="AG1922" s="7"/>
      <c r="AH1922" s="7"/>
      <c r="AI1922" s="7"/>
      <c r="AJ1922" s="6"/>
      <c r="AK1922" s="6"/>
      <c r="AL1922" s="6"/>
      <c r="AM1922" s="6"/>
      <c r="AN1922" s="6"/>
      <c r="AO1922" s="26"/>
      <c r="AP1922" s="11"/>
      <c r="AQ1922" s="7"/>
      <c r="AS1922" s="11"/>
      <c r="AT1922" s="6"/>
      <c r="AU1922" s="6"/>
      <c r="AW1922" s="7"/>
      <c r="AX1922" s="6"/>
      <c r="AY1922" s="6"/>
      <c r="AZ1922" s="6"/>
      <c r="BA1922" s="6"/>
      <c r="BB1922" s="24"/>
      <c r="BD1922" s="6"/>
      <c r="BE1922" s="6"/>
      <c r="BF1922" s="6"/>
      <c r="BH1922" s="6"/>
      <c r="BI1922" s="6"/>
      <c r="BJ1922" s="6"/>
      <c r="BK1922" s="6"/>
      <c r="BL1922" s="6"/>
      <c r="BM1922" s="6"/>
    </row>
    <row r="1923" spans="1:65" x14ac:dyDescent="0.25">
      <c r="A1923" s="6"/>
      <c r="B1923" s="6"/>
      <c r="C1923" s="6"/>
      <c r="D1923" s="6"/>
      <c r="E1923" s="6"/>
      <c r="F1923" s="21"/>
      <c r="G1923" s="10"/>
      <c r="H1923" s="7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  <c r="AB1923" s="6"/>
      <c r="AC1923" s="6"/>
      <c r="AD1923" s="6"/>
      <c r="AE1923" s="6"/>
      <c r="AF1923" s="25"/>
      <c r="AG1923" s="7"/>
      <c r="AH1923" s="7"/>
      <c r="AI1923" s="7"/>
      <c r="AJ1923" s="6"/>
      <c r="AK1923" s="6"/>
      <c r="AL1923" s="6"/>
      <c r="AM1923" s="6"/>
      <c r="AN1923" s="6"/>
      <c r="AO1923" s="26"/>
      <c r="AP1923" s="11"/>
      <c r="AQ1923" s="7"/>
      <c r="AS1923" s="11"/>
      <c r="AT1923" s="6"/>
      <c r="AU1923" s="6"/>
      <c r="AV1923" s="6"/>
      <c r="AW1923" s="7"/>
      <c r="AX1923" s="6"/>
      <c r="AY1923" s="6"/>
      <c r="AZ1923" s="6"/>
      <c r="BA1923" s="6"/>
      <c r="BB1923" s="24"/>
      <c r="BD1923" s="6"/>
      <c r="BE1923" s="6"/>
      <c r="BF1923" s="6"/>
      <c r="BH1923" s="6"/>
      <c r="BI1923" s="6"/>
      <c r="BJ1923" s="6"/>
      <c r="BK1923" s="6"/>
      <c r="BL1923" s="6"/>
      <c r="BM1923" s="6"/>
    </row>
    <row r="1926" spans="1:65" x14ac:dyDescent="0.25">
      <c r="A1926" s="6"/>
      <c r="B1926" s="6"/>
      <c r="C1926" s="6"/>
      <c r="D1926" s="6"/>
      <c r="E1926" s="6"/>
      <c r="F1926" s="21"/>
      <c r="G1926" s="10"/>
      <c r="H1926" s="7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  <c r="AA1926" s="6"/>
      <c r="AB1926" s="6"/>
      <c r="AC1926" s="6"/>
      <c r="AD1926" s="6"/>
      <c r="AE1926" s="6"/>
      <c r="AF1926" s="25"/>
      <c r="AG1926" s="7"/>
      <c r="AH1926" s="7"/>
      <c r="AI1926" s="7"/>
      <c r="AJ1926" s="6"/>
      <c r="AK1926" s="6"/>
      <c r="AL1926" s="6"/>
      <c r="AM1926" s="6"/>
      <c r="AN1926" s="6"/>
      <c r="AO1926" s="26"/>
      <c r="AP1926" s="11"/>
      <c r="AQ1926" s="7"/>
      <c r="AS1926" s="11"/>
      <c r="AT1926" s="6"/>
      <c r="AU1926" s="6"/>
      <c r="AV1926" s="6"/>
      <c r="AW1926" s="7"/>
      <c r="AX1926" s="6"/>
      <c r="AY1926" s="6"/>
      <c r="AZ1926" s="6"/>
      <c r="BA1926" s="6"/>
      <c r="BB1926" s="24"/>
      <c r="BD1926" s="6"/>
      <c r="BE1926" s="6"/>
      <c r="BF1926" s="6"/>
      <c r="BH1926" s="6"/>
      <c r="BI1926" s="6"/>
      <c r="BJ1926" s="6"/>
      <c r="BK1926" s="6"/>
      <c r="BL1926" s="6"/>
      <c r="BM1926" s="6"/>
    </row>
    <row r="1927" spans="1:65" x14ac:dyDescent="0.25">
      <c r="I1927" s="7"/>
      <c r="AH1927" s="7"/>
      <c r="AV1927" s="6"/>
    </row>
    <row r="1928" spans="1:65" x14ac:dyDescent="0.25">
      <c r="A1928" s="6"/>
      <c r="B1928" s="6"/>
      <c r="C1928" s="6"/>
      <c r="D1928" s="6"/>
      <c r="E1928" s="6"/>
      <c r="F1928" s="21"/>
      <c r="G1928" s="10"/>
      <c r="H1928" s="7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  <c r="AA1928" s="6"/>
      <c r="AB1928" s="6"/>
      <c r="AC1928" s="6"/>
      <c r="AD1928" s="6"/>
      <c r="AE1928" s="6"/>
      <c r="AF1928" s="25"/>
      <c r="AG1928" s="7"/>
      <c r="AH1928" s="7"/>
      <c r="AI1928" s="7"/>
      <c r="AJ1928" s="6"/>
      <c r="AK1928" s="6"/>
      <c r="AL1928" s="6"/>
      <c r="AM1928" s="6"/>
      <c r="AN1928" s="6"/>
      <c r="AO1928" s="26"/>
      <c r="AP1928" s="11"/>
      <c r="AQ1928" s="7"/>
      <c r="AS1928" s="11"/>
      <c r="AT1928" s="6"/>
      <c r="AU1928" s="6"/>
      <c r="AW1928" s="7"/>
      <c r="AX1928" s="6"/>
      <c r="AY1928" s="6"/>
      <c r="AZ1928" s="6"/>
      <c r="BA1928" s="6"/>
      <c r="BB1928" s="24"/>
      <c r="BD1928" s="6"/>
      <c r="BE1928" s="6"/>
      <c r="BF1928" s="6"/>
      <c r="BH1928" s="6"/>
      <c r="BI1928" s="6"/>
      <c r="BJ1928" s="6"/>
      <c r="BK1928" s="6"/>
      <c r="BL1928" s="6"/>
      <c r="BM1928" s="6"/>
    </row>
    <row r="1929" spans="1:65" x14ac:dyDescent="0.25">
      <c r="AV1929" s="6"/>
    </row>
    <row r="1930" spans="1:65" x14ac:dyDescent="0.25">
      <c r="I1930" s="7"/>
      <c r="AH1930" s="7"/>
      <c r="AV1930" s="6"/>
    </row>
    <row r="1931" spans="1:65" x14ac:dyDescent="0.25">
      <c r="A1931" s="6"/>
      <c r="B1931" s="6"/>
      <c r="C1931" s="6"/>
      <c r="D1931" s="6"/>
      <c r="E1931" s="6"/>
      <c r="F1931" s="21"/>
      <c r="G1931" s="10"/>
      <c r="H1931" s="7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  <c r="AA1931" s="6"/>
      <c r="AB1931" s="6"/>
      <c r="AC1931" s="6"/>
      <c r="AD1931" s="6"/>
      <c r="AE1931" s="6"/>
      <c r="AF1931" s="25"/>
      <c r="AG1931" s="7"/>
      <c r="AH1931" s="7"/>
      <c r="AI1931" s="7"/>
      <c r="AJ1931" s="6"/>
      <c r="AK1931" s="6"/>
      <c r="AL1931" s="6"/>
      <c r="AM1931" s="6"/>
      <c r="AN1931" s="6"/>
      <c r="AO1931" s="26"/>
      <c r="AP1931" s="11"/>
      <c r="AQ1931" s="7"/>
      <c r="AS1931" s="11"/>
      <c r="AT1931" s="6"/>
      <c r="AU1931" s="6"/>
      <c r="AW1931" s="7"/>
      <c r="AX1931" s="6"/>
      <c r="AY1931" s="6"/>
      <c r="AZ1931" s="6"/>
      <c r="BA1931" s="6"/>
      <c r="BB1931" s="24"/>
      <c r="BD1931" s="6"/>
      <c r="BE1931" s="6"/>
      <c r="BF1931" s="6"/>
      <c r="BH1931" s="6"/>
      <c r="BI1931" s="6"/>
      <c r="BJ1931" s="6"/>
      <c r="BK1931" s="6"/>
      <c r="BL1931" s="6"/>
      <c r="BM1931" s="6"/>
    </row>
    <row r="1932" spans="1:65" x14ac:dyDescent="0.25">
      <c r="A1932" s="6"/>
      <c r="B1932" s="6"/>
      <c r="C1932" s="6"/>
      <c r="D1932" s="6"/>
      <c r="E1932" s="6"/>
      <c r="F1932" s="21"/>
      <c r="G1932" s="10"/>
      <c r="H1932" s="7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  <c r="AA1932" s="6"/>
      <c r="AB1932" s="6"/>
      <c r="AC1932" s="6"/>
      <c r="AD1932" s="6"/>
      <c r="AE1932" s="6"/>
      <c r="AF1932" s="25"/>
      <c r="AG1932" s="7"/>
      <c r="AH1932" s="7"/>
      <c r="AI1932" s="7"/>
      <c r="AJ1932" s="6"/>
      <c r="AK1932" s="6"/>
      <c r="AL1932" s="6"/>
      <c r="AM1932" s="6"/>
      <c r="AN1932" s="6"/>
      <c r="AO1932" s="26"/>
      <c r="AP1932" s="11"/>
      <c r="AQ1932" s="7"/>
      <c r="AS1932" s="11"/>
      <c r="AT1932" s="6"/>
      <c r="AU1932" s="6"/>
      <c r="AV1932" s="6"/>
      <c r="AW1932" s="7"/>
      <c r="AX1932" s="6"/>
      <c r="AY1932" s="6"/>
      <c r="AZ1932" s="6"/>
      <c r="BA1932" s="6"/>
      <c r="BB1932" s="24"/>
      <c r="BD1932" s="6"/>
      <c r="BE1932" s="6"/>
      <c r="BF1932" s="6"/>
      <c r="BH1932" s="6"/>
      <c r="BI1932" s="6"/>
      <c r="BJ1932" s="6"/>
      <c r="BK1932" s="6"/>
      <c r="BL1932" s="6"/>
      <c r="BM1932" s="6"/>
    </row>
    <row r="1935" spans="1:65" x14ac:dyDescent="0.25">
      <c r="A1935" s="6"/>
      <c r="B1935" s="6"/>
      <c r="C1935" s="6"/>
      <c r="D1935" s="6"/>
      <c r="E1935" s="6"/>
      <c r="F1935" s="21"/>
      <c r="G1935" s="10"/>
      <c r="H1935" s="7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  <c r="AB1935" s="6"/>
      <c r="AC1935" s="6"/>
      <c r="AD1935" s="6"/>
      <c r="AE1935" s="6"/>
      <c r="AF1935" s="25"/>
      <c r="AG1935" s="7"/>
      <c r="AH1935" s="7"/>
      <c r="AI1935" s="7"/>
      <c r="AJ1935" s="6"/>
      <c r="AK1935" s="6"/>
      <c r="AL1935" s="6"/>
      <c r="AM1935" s="6"/>
      <c r="AN1935" s="6"/>
      <c r="AO1935" s="26"/>
      <c r="AP1935" s="11"/>
      <c r="AQ1935" s="7"/>
      <c r="AS1935" s="11"/>
      <c r="AT1935" s="6"/>
      <c r="AU1935" s="6"/>
      <c r="AV1935" s="6"/>
      <c r="AW1935" s="7"/>
      <c r="AX1935" s="6"/>
      <c r="AY1935" s="6"/>
      <c r="AZ1935" s="6"/>
      <c r="BA1935" s="6"/>
      <c r="BB1935" s="24"/>
      <c r="BD1935" s="6"/>
      <c r="BE1935" s="6"/>
      <c r="BF1935" s="6"/>
      <c r="BH1935" s="6"/>
      <c r="BI1935" s="6"/>
      <c r="BJ1935" s="6"/>
      <c r="BK1935" s="6"/>
      <c r="BL1935" s="6"/>
      <c r="BM1935" s="6"/>
    </row>
    <row r="1936" spans="1:65" x14ac:dyDescent="0.25">
      <c r="I1936" s="7"/>
      <c r="AH1936" s="7"/>
      <c r="AV1936" s="6"/>
    </row>
    <row r="1937" spans="1:65" x14ac:dyDescent="0.25">
      <c r="A1937" s="6"/>
      <c r="B1937" s="6"/>
      <c r="C1937" s="6"/>
      <c r="D1937" s="6"/>
      <c r="E1937" s="6"/>
      <c r="F1937" s="21"/>
      <c r="G1937" s="10"/>
      <c r="H1937" s="7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  <c r="AB1937" s="6"/>
      <c r="AC1937" s="6"/>
      <c r="AD1937" s="6"/>
      <c r="AE1937" s="6"/>
      <c r="AF1937" s="25"/>
      <c r="AG1937" s="7"/>
      <c r="AH1937" s="7"/>
      <c r="AI1937" s="7"/>
      <c r="AJ1937" s="6"/>
      <c r="AK1937" s="6"/>
      <c r="AL1937" s="6"/>
      <c r="AM1937" s="6"/>
      <c r="AN1937" s="6"/>
      <c r="AO1937" s="26"/>
      <c r="AP1937" s="11"/>
      <c r="AQ1937" s="7"/>
      <c r="AS1937" s="11"/>
      <c r="AT1937" s="6"/>
      <c r="AU1937" s="6"/>
      <c r="AW1937" s="7"/>
      <c r="AX1937" s="6"/>
      <c r="AY1937" s="6"/>
      <c r="AZ1937" s="6"/>
      <c r="BA1937" s="6"/>
      <c r="BB1937" s="24"/>
      <c r="BD1937" s="6"/>
      <c r="BE1937" s="6"/>
      <c r="BF1937" s="6"/>
      <c r="BH1937" s="6"/>
      <c r="BI1937" s="6"/>
      <c r="BJ1937" s="6"/>
      <c r="BK1937" s="6"/>
      <c r="BL1937" s="6"/>
      <c r="BM1937" s="6"/>
    </row>
    <row r="1938" spans="1:65" x14ac:dyDescent="0.25">
      <c r="AV1938" s="6"/>
    </row>
    <row r="1939" spans="1:65" x14ac:dyDescent="0.25">
      <c r="I1939" s="7"/>
      <c r="AH1939" s="7"/>
      <c r="AV1939" s="6"/>
    </row>
    <row r="1940" spans="1:65" x14ac:dyDescent="0.25">
      <c r="A1940" s="6"/>
      <c r="B1940" s="6"/>
      <c r="C1940" s="6"/>
      <c r="D1940" s="6"/>
      <c r="E1940" s="6"/>
      <c r="F1940" s="21"/>
      <c r="G1940" s="10"/>
      <c r="H1940" s="7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  <c r="AB1940" s="6"/>
      <c r="AC1940" s="6"/>
      <c r="AD1940" s="6"/>
      <c r="AE1940" s="6"/>
      <c r="AF1940" s="25"/>
      <c r="AG1940" s="7"/>
      <c r="AH1940" s="7"/>
      <c r="AI1940" s="7"/>
      <c r="AJ1940" s="6"/>
      <c r="AK1940" s="6"/>
      <c r="AL1940" s="6"/>
      <c r="AM1940" s="6"/>
      <c r="AN1940" s="6"/>
      <c r="AO1940" s="26"/>
      <c r="AP1940" s="11"/>
      <c r="AQ1940" s="7"/>
      <c r="AS1940" s="11"/>
      <c r="AT1940" s="6"/>
      <c r="AU1940" s="6"/>
      <c r="AW1940" s="7"/>
      <c r="AX1940" s="6"/>
      <c r="AY1940" s="6"/>
      <c r="AZ1940" s="6"/>
      <c r="BA1940" s="6"/>
      <c r="BB1940" s="24"/>
      <c r="BD1940" s="6"/>
      <c r="BE1940" s="6"/>
      <c r="BF1940" s="6"/>
      <c r="BH1940" s="6"/>
      <c r="BI1940" s="6"/>
      <c r="BJ1940" s="6"/>
      <c r="BK1940" s="6"/>
      <c r="BL1940" s="6"/>
      <c r="BM1940" s="6"/>
    </row>
    <row r="1941" spans="1:65" x14ac:dyDescent="0.25">
      <c r="A1941" s="6"/>
      <c r="B1941" s="6"/>
      <c r="C1941" s="6"/>
      <c r="D1941" s="6"/>
      <c r="E1941" s="6"/>
      <c r="F1941" s="6"/>
      <c r="G1941" s="6"/>
      <c r="H1941" s="7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  <c r="AA1941" s="6"/>
      <c r="AB1941" s="6"/>
      <c r="AC1941" s="6"/>
      <c r="AD1941" s="6"/>
      <c r="AE1941" s="6"/>
      <c r="AF1941" s="6"/>
      <c r="AG1941" s="7"/>
      <c r="AH1941" s="7"/>
      <c r="AI1941" s="7"/>
      <c r="AJ1941" s="6"/>
      <c r="AK1941" s="6"/>
      <c r="AL1941" s="6"/>
      <c r="AM1941" s="6"/>
      <c r="AN1941" s="6"/>
      <c r="AO1941" s="6"/>
      <c r="AP1941" s="6"/>
      <c r="AQ1941" s="7"/>
      <c r="AS1941" s="6"/>
      <c r="AT1941" s="6"/>
      <c r="AU1941" s="6"/>
      <c r="AV1941" s="6"/>
      <c r="AW1941" s="7"/>
      <c r="AX1941" s="6"/>
      <c r="AY1941" s="6"/>
      <c r="AZ1941" s="6"/>
      <c r="BA1941" s="6"/>
      <c r="BB1941" s="6"/>
      <c r="BD1941" s="6"/>
      <c r="BE1941" s="6"/>
      <c r="BF1941" s="6"/>
      <c r="BH1941" s="6"/>
      <c r="BI1941" s="6"/>
      <c r="BJ1941" s="6"/>
      <c r="BK1941" s="6"/>
      <c r="BL1941" s="6"/>
      <c r="BM1941" s="6"/>
    </row>
    <row r="1944" spans="1:65" x14ac:dyDescent="0.25">
      <c r="A1944" s="6"/>
      <c r="B1944" s="6"/>
      <c r="C1944" s="6"/>
      <c r="D1944" s="6"/>
      <c r="E1944" s="6"/>
      <c r="F1944" s="21"/>
      <c r="G1944" s="10"/>
      <c r="H1944" s="7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  <c r="AA1944" s="6"/>
      <c r="AB1944" s="6"/>
      <c r="AC1944" s="6"/>
      <c r="AD1944" s="6"/>
      <c r="AE1944" s="6"/>
      <c r="AF1944" s="25"/>
      <c r="AG1944" s="7"/>
      <c r="AH1944" s="7"/>
      <c r="AI1944" s="7"/>
      <c r="AJ1944" s="6"/>
      <c r="AK1944" s="6"/>
      <c r="AL1944" s="6"/>
      <c r="AM1944" s="6"/>
      <c r="AN1944" s="6"/>
      <c r="AO1944" s="26"/>
      <c r="AP1944" s="11"/>
      <c r="AQ1944" s="7"/>
      <c r="AS1944" s="11"/>
      <c r="AT1944" s="6"/>
      <c r="AU1944" s="6"/>
      <c r="AV1944" s="6"/>
      <c r="AW1944" s="7"/>
      <c r="AX1944" s="6"/>
      <c r="AY1944" s="6"/>
      <c r="AZ1944" s="6"/>
      <c r="BA1944" s="6"/>
      <c r="BB1944" s="24"/>
      <c r="BD1944" s="6"/>
      <c r="BE1944" s="6"/>
      <c r="BF1944" s="6"/>
      <c r="BH1944" s="6"/>
      <c r="BI1944" s="6"/>
      <c r="BJ1944" s="6"/>
      <c r="BK1944" s="6"/>
      <c r="BL1944" s="6"/>
      <c r="BM1944" s="6"/>
    </row>
    <row r="1945" spans="1:65" x14ac:dyDescent="0.25">
      <c r="I1945" s="7"/>
      <c r="AH1945" s="7"/>
      <c r="AV1945" s="6"/>
    </row>
    <row r="1946" spans="1:65" x14ac:dyDescent="0.25">
      <c r="A1946" s="6"/>
      <c r="B1946" s="6"/>
      <c r="C1946" s="6"/>
      <c r="D1946" s="6"/>
      <c r="E1946" s="6"/>
      <c r="F1946" s="21"/>
      <c r="G1946" s="10"/>
      <c r="H1946" s="7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  <c r="AA1946" s="6"/>
      <c r="AB1946" s="6"/>
      <c r="AC1946" s="6"/>
      <c r="AD1946" s="6"/>
      <c r="AE1946" s="6"/>
      <c r="AF1946" s="25"/>
      <c r="AG1946" s="7"/>
      <c r="AH1946" s="7"/>
      <c r="AI1946" s="7"/>
      <c r="AJ1946" s="6"/>
      <c r="AK1946" s="6"/>
      <c r="AL1946" s="6"/>
      <c r="AM1946" s="6"/>
      <c r="AN1946" s="6"/>
      <c r="AO1946" s="26"/>
      <c r="AP1946" s="11"/>
      <c r="AQ1946" s="7"/>
      <c r="AS1946" s="11"/>
      <c r="AT1946" s="6"/>
      <c r="AU1946" s="6"/>
      <c r="AW1946" s="7"/>
      <c r="AX1946" s="6"/>
      <c r="AY1946" s="6"/>
      <c r="AZ1946" s="6"/>
      <c r="BA1946" s="6"/>
      <c r="BB1946" s="24"/>
      <c r="BD1946" s="6"/>
      <c r="BE1946" s="6"/>
      <c r="BF1946" s="6"/>
      <c r="BH1946" s="6"/>
      <c r="BI1946" s="6"/>
      <c r="BJ1946" s="6"/>
      <c r="BK1946" s="6"/>
      <c r="BL1946" s="6"/>
      <c r="BM1946" s="6"/>
    </row>
    <row r="1947" spans="1:65" x14ac:dyDescent="0.25">
      <c r="AV1947" s="6"/>
    </row>
    <row r="1948" spans="1:65" x14ac:dyDescent="0.25">
      <c r="I1948" s="7"/>
      <c r="AH1948" s="7"/>
      <c r="AV1948" s="6"/>
    </row>
    <row r="1949" spans="1:65" x14ac:dyDescent="0.25">
      <c r="A1949" s="6"/>
      <c r="B1949" s="6"/>
      <c r="C1949" s="6"/>
      <c r="D1949" s="6"/>
      <c r="E1949" s="6"/>
      <c r="F1949" s="21"/>
      <c r="G1949" s="10"/>
      <c r="H1949" s="7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  <c r="AA1949" s="6"/>
      <c r="AB1949" s="6"/>
      <c r="AC1949" s="6"/>
      <c r="AD1949" s="6"/>
      <c r="AE1949" s="6"/>
      <c r="AF1949" s="25"/>
      <c r="AG1949" s="7"/>
      <c r="AH1949" s="7"/>
      <c r="AI1949" s="7"/>
      <c r="AJ1949" s="6"/>
      <c r="AK1949" s="6"/>
      <c r="AL1949" s="6"/>
      <c r="AM1949" s="6"/>
      <c r="AN1949" s="6"/>
      <c r="AO1949" s="26"/>
      <c r="AP1949" s="11"/>
      <c r="AQ1949" s="7"/>
      <c r="AS1949" s="11"/>
      <c r="AT1949" s="6"/>
      <c r="AU1949" s="6"/>
      <c r="AW1949" s="7"/>
      <c r="AX1949" s="6"/>
      <c r="AY1949" s="6"/>
      <c r="AZ1949" s="6"/>
      <c r="BA1949" s="6"/>
      <c r="BB1949" s="24"/>
      <c r="BD1949" s="6"/>
      <c r="BE1949" s="6"/>
      <c r="BF1949" s="6"/>
      <c r="BH1949" s="6"/>
      <c r="BI1949" s="6"/>
      <c r="BJ1949" s="6"/>
      <c r="BK1949" s="6"/>
      <c r="BL1949" s="6"/>
      <c r="BM1949" s="6"/>
    </row>
    <row r="1950" spans="1:65" x14ac:dyDescent="0.25">
      <c r="A1950" s="6"/>
      <c r="B1950" s="6"/>
      <c r="C1950" s="6"/>
      <c r="D1950" s="6"/>
      <c r="E1950" s="6"/>
      <c r="F1950" s="21"/>
      <c r="G1950" s="10"/>
      <c r="H1950" s="7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  <c r="AA1950" s="6"/>
      <c r="AB1950" s="6"/>
      <c r="AC1950" s="6"/>
      <c r="AD1950" s="6"/>
      <c r="AE1950" s="6"/>
      <c r="AF1950" s="25"/>
      <c r="AG1950" s="7"/>
      <c r="AH1950" s="7"/>
      <c r="AI1950" s="7"/>
      <c r="AJ1950" s="6"/>
      <c r="AK1950" s="6"/>
      <c r="AL1950" s="6"/>
      <c r="AM1950" s="6"/>
      <c r="AN1950" s="6"/>
      <c r="AO1950" s="26"/>
      <c r="AP1950" s="11"/>
      <c r="AQ1950" s="7"/>
      <c r="AS1950" s="11"/>
      <c r="AT1950" s="6"/>
      <c r="AU1950" s="6"/>
      <c r="AV1950" s="6"/>
      <c r="AW1950" s="7"/>
      <c r="AX1950" s="6"/>
      <c r="AY1950" s="6"/>
      <c r="AZ1950" s="6"/>
      <c r="BA1950" s="6"/>
      <c r="BB1950" s="24"/>
      <c r="BD1950" s="6"/>
      <c r="BE1950" s="6"/>
      <c r="BF1950" s="6"/>
      <c r="BH1950" s="6"/>
      <c r="BI1950" s="6"/>
      <c r="BJ1950" s="6"/>
      <c r="BK1950" s="6"/>
      <c r="BL1950" s="6"/>
      <c r="BM1950" s="6"/>
    </row>
    <row r="1953" spans="1:65" x14ac:dyDescent="0.25">
      <c r="A1953" s="6"/>
      <c r="B1953" s="6"/>
      <c r="C1953" s="6"/>
      <c r="D1953" s="6"/>
      <c r="E1953" s="6"/>
      <c r="F1953" s="21"/>
      <c r="G1953" s="10"/>
      <c r="H1953" s="7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  <c r="AA1953" s="6"/>
      <c r="AB1953" s="6"/>
      <c r="AC1953" s="6"/>
      <c r="AD1953" s="6"/>
      <c r="AE1953" s="6"/>
      <c r="AF1953" s="25"/>
      <c r="AG1953" s="7"/>
      <c r="AH1953" s="7"/>
      <c r="AI1953" s="7"/>
      <c r="AJ1953" s="6"/>
      <c r="AK1953" s="6"/>
      <c r="AL1953" s="6"/>
      <c r="AM1953" s="6"/>
      <c r="AN1953" s="6"/>
      <c r="AO1953" s="26"/>
      <c r="AP1953" s="11"/>
      <c r="AQ1953" s="7"/>
      <c r="AS1953" s="11"/>
      <c r="AT1953" s="6"/>
      <c r="AU1953" s="6"/>
      <c r="AV1953" s="6"/>
      <c r="AW1953" s="7"/>
      <c r="AX1953" s="6"/>
      <c r="AY1953" s="6"/>
      <c r="AZ1953" s="6"/>
      <c r="BA1953" s="6"/>
      <c r="BB1953" s="24"/>
      <c r="BD1953" s="6"/>
      <c r="BE1953" s="6"/>
      <c r="BF1953" s="6"/>
      <c r="BH1953" s="6"/>
      <c r="BI1953" s="6"/>
      <c r="BJ1953" s="6"/>
      <c r="BK1953" s="6"/>
      <c r="BL1953" s="6"/>
      <c r="BM1953" s="6"/>
    </row>
    <row r="1954" spans="1:65" x14ac:dyDescent="0.25">
      <c r="I1954" s="7"/>
      <c r="AH1954" s="7"/>
      <c r="AV1954" s="6"/>
    </row>
    <row r="1955" spans="1:65" x14ac:dyDescent="0.25">
      <c r="A1955" s="6"/>
      <c r="B1955" s="6"/>
      <c r="C1955" s="6"/>
      <c r="D1955" s="6"/>
      <c r="E1955" s="6"/>
      <c r="F1955" s="21"/>
      <c r="G1955" s="10"/>
      <c r="H1955" s="7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  <c r="AA1955" s="6"/>
      <c r="AB1955" s="6"/>
      <c r="AC1955" s="6"/>
      <c r="AD1955" s="6"/>
      <c r="AE1955" s="6"/>
      <c r="AF1955" s="25"/>
      <c r="AG1955" s="7"/>
      <c r="AH1955" s="7"/>
      <c r="AI1955" s="7"/>
      <c r="AJ1955" s="6"/>
      <c r="AK1955" s="6"/>
      <c r="AL1955" s="6"/>
      <c r="AM1955" s="6"/>
      <c r="AN1955" s="6"/>
      <c r="AO1955" s="26"/>
      <c r="AP1955" s="11"/>
      <c r="AQ1955" s="7"/>
      <c r="AS1955" s="11"/>
      <c r="AT1955" s="6"/>
      <c r="AU1955" s="6"/>
      <c r="AW1955" s="7"/>
      <c r="AX1955" s="6"/>
      <c r="AY1955" s="6"/>
      <c r="AZ1955" s="6"/>
      <c r="BA1955" s="6"/>
      <c r="BB1955" s="24"/>
      <c r="BD1955" s="6"/>
      <c r="BE1955" s="6"/>
      <c r="BF1955" s="6"/>
      <c r="BH1955" s="6"/>
      <c r="BI1955" s="6"/>
      <c r="BJ1955" s="6"/>
      <c r="BK1955" s="6"/>
      <c r="BL1955" s="6"/>
      <c r="BM1955" s="6"/>
    </row>
    <row r="1956" spans="1:65" x14ac:dyDescent="0.25">
      <c r="AV1956" s="6"/>
    </row>
    <row r="1957" spans="1:65" x14ac:dyDescent="0.25">
      <c r="I1957" s="7"/>
      <c r="AH1957" s="7"/>
      <c r="AV1957" s="6"/>
    </row>
    <row r="1958" spans="1:65" x14ac:dyDescent="0.25">
      <c r="A1958" s="6"/>
      <c r="B1958" s="6"/>
      <c r="C1958" s="6"/>
      <c r="D1958" s="6"/>
      <c r="E1958" s="6"/>
      <c r="F1958" s="21"/>
      <c r="G1958" s="10"/>
      <c r="H1958" s="7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  <c r="AA1958" s="6"/>
      <c r="AB1958" s="6"/>
      <c r="AC1958" s="6"/>
      <c r="AD1958" s="6"/>
      <c r="AE1958" s="6"/>
      <c r="AF1958" s="25"/>
      <c r="AG1958" s="7"/>
      <c r="AH1958" s="7"/>
      <c r="AI1958" s="7"/>
      <c r="AJ1958" s="6"/>
      <c r="AK1958" s="6"/>
      <c r="AL1958" s="6"/>
      <c r="AM1958" s="6"/>
      <c r="AN1958" s="6"/>
      <c r="AO1958" s="26"/>
      <c r="AP1958" s="11"/>
      <c r="AQ1958" s="7"/>
      <c r="AS1958" s="11"/>
      <c r="AT1958" s="6"/>
      <c r="AU1958" s="6"/>
      <c r="AW1958" s="7"/>
      <c r="AX1958" s="6"/>
      <c r="AY1958" s="6"/>
      <c r="AZ1958" s="6"/>
      <c r="BA1958" s="6"/>
      <c r="BB1958" s="24"/>
      <c r="BD1958" s="6"/>
      <c r="BE1958" s="6"/>
      <c r="BF1958" s="6"/>
      <c r="BH1958" s="6"/>
      <c r="BI1958" s="6"/>
      <c r="BJ1958" s="6"/>
      <c r="BK1958" s="6"/>
      <c r="BL1958" s="6"/>
      <c r="BM1958" s="6"/>
    </row>
    <row r="1959" spans="1:65" x14ac:dyDescent="0.25">
      <c r="A1959" s="6"/>
      <c r="B1959" s="6"/>
      <c r="C1959" s="6"/>
      <c r="D1959" s="6"/>
      <c r="E1959" s="6"/>
      <c r="F1959" s="21"/>
      <c r="G1959" s="10"/>
      <c r="H1959" s="7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  <c r="AA1959" s="6"/>
      <c r="AB1959" s="6"/>
      <c r="AC1959" s="6"/>
      <c r="AD1959" s="6"/>
      <c r="AE1959" s="6"/>
      <c r="AF1959" s="25"/>
      <c r="AG1959" s="7"/>
      <c r="AH1959" s="7"/>
      <c r="AI1959" s="7"/>
      <c r="AJ1959" s="6"/>
      <c r="AK1959" s="6"/>
      <c r="AL1959" s="6"/>
      <c r="AM1959" s="6"/>
      <c r="AN1959" s="6"/>
      <c r="AO1959" s="26"/>
      <c r="AP1959" s="11"/>
      <c r="AQ1959" s="7"/>
      <c r="AS1959" s="11"/>
      <c r="AT1959" s="6"/>
      <c r="AU1959" s="6"/>
      <c r="AV1959" s="6"/>
      <c r="AW1959" s="7"/>
      <c r="AX1959" s="6"/>
      <c r="AY1959" s="6"/>
      <c r="AZ1959" s="6"/>
      <c r="BA1959" s="6"/>
      <c r="BB1959" s="24"/>
      <c r="BD1959" s="6"/>
      <c r="BE1959" s="6"/>
      <c r="BF1959" s="6"/>
      <c r="BH1959" s="6"/>
      <c r="BI1959" s="6"/>
      <c r="BJ1959" s="6"/>
      <c r="BK1959" s="6"/>
      <c r="BL1959" s="6"/>
      <c r="BM1959" s="6"/>
    </row>
    <row r="1962" spans="1:65" x14ac:dyDescent="0.25">
      <c r="A1962" s="6"/>
      <c r="B1962" s="6"/>
      <c r="C1962" s="6"/>
      <c r="D1962" s="6"/>
      <c r="E1962" s="6"/>
      <c r="F1962" s="21"/>
      <c r="G1962" s="10"/>
      <c r="H1962" s="7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  <c r="AA1962" s="6"/>
      <c r="AB1962" s="6"/>
      <c r="AC1962" s="6"/>
      <c r="AD1962" s="6"/>
      <c r="AE1962" s="6"/>
      <c r="AF1962" s="25"/>
      <c r="AG1962" s="7"/>
      <c r="AH1962" s="7"/>
      <c r="AI1962" s="7"/>
      <c r="AJ1962" s="6"/>
      <c r="AK1962" s="6"/>
      <c r="AL1962" s="6"/>
      <c r="AM1962" s="6"/>
      <c r="AN1962" s="6"/>
      <c r="AO1962" s="26"/>
      <c r="AP1962" s="11"/>
      <c r="AQ1962" s="7"/>
      <c r="AS1962" s="11"/>
      <c r="AT1962" s="6"/>
      <c r="AU1962" s="6"/>
      <c r="AV1962" s="6"/>
      <c r="AW1962" s="7"/>
      <c r="AX1962" s="6"/>
      <c r="AY1962" s="6"/>
      <c r="AZ1962" s="6"/>
      <c r="BA1962" s="6"/>
      <c r="BB1962" s="24"/>
      <c r="BD1962" s="6"/>
      <c r="BE1962" s="6"/>
      <c r="BF1962" s="6"/>
      <c r="BH1962" s="6"/>
      <c r="BI1962" s="6"/>
      <c r="BJ1962" s="6"/>
      <c r="BK1962" s="6"/>
      <c r="BL1962" s="6"/>
      <c r="BM1962" s="6"/>
    </row>
    <row r="1963" spans="1:65" x14ac:dyDescent="0.25">
      <c r="I1963" s="7"/>
      <c r="AH1963" s="7"/>
      <c r="AV1963" s="6"/>
    </row>
    <row r="1964" spans="1:65" x14ac:dyDescent="0.25">
      <c r="A1964" s="6"/>
      <c r="B1964" s="6"/>
      <c r="C1964" s="6"/>
      <c r="D1964" s="6"/>
      <c r="E1964" s="6"/>
      <c r="F1964" s="21"/>
      <c r="G1964" s="10"/>
      <c r="H1964" s="7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6"/>
      <c r="AB1964" s="6"/>
      <c r="AC1964" s="6"/>
      <c r="AD1964" s="6"/>
      <c r="AE1964" s="6"/>
      <c r="AF1964" s="25"/>
      <c r="AG1964" s="7"/>
      <c r="AH1964" s="7"/>
      <c r="AI1964" s="7"/>
      <c r="AJ1964" s="6"/>
      <c r="AK1964" s="6"/>
      <c r="AL1964" s="6"/>
      <c r="AM1964" s="6"/>
      <c r="AN1964" s="6"/>
      <c r="AO1964" s="26"/>
      <c r="AP1964" s="11"/>
      <c r="AQ1964" s="7"/>
      <c r="AS1964" s="11"/>
      <c r="AT1964" s="6"/>
      <c r="AU1964" s="6"/>
      <c r="AW1964" s="7"/>
      <c r="AX1964" s="6"/>
      <c r="AY1964" s="6"/>
      <c r="AZ1964" s="6"/>
      <c r="BA1964" s="6"/>
      <c r="BB1964" s="24"/>
      <c r="BD1964" s="6"/>
      <c r="BE1964" s="6"/>
      <c r="BF1964" s="6"/>
      <c r="BH1964" s="6"/>
      <c r="BI1964" s="6"/>
      <c r="BJ1964" s="6"/>
      <c r="BK1964" s="6"/>
      <c r="BL1964" s="6"/>
      <c r="BM1964" s="6"/>
    </row>
    <row r="1965" spans="1:65" x14ac:dyDescent="0.25">
      <c r="AV1965" s="6"/>
    </row>
    <row r="1966" spans="1:65" x14ac:dyDescent="0.25">
      <c r="I1966" s="7"/>
      <c r="AH1966" s="7"/>
      <c r="AV1966" s="6"/>
    </row>
    <row r="1967" spans="1:65" x14ac:dyDescent="0.25">
      <c r="A1967" s="6"/>
      <c r="B1967" s="6"/>
      <c r="C1967" s="6"/>
      <c r="D1967" s="6"/>
      <c r="E1967" s="6"/>
      <c r="F1967" s="21"/>
      <c r="G1967" s="10"/>
      <c r="H1967" s="7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  <c r="AA1967" s="6"/>
      <c r="AB1967" s="6"/>
      <c r="AC1967" s="6"/>
      <c r="AD1967" s="6"/>
      <c r="AE1967" s="6"/>
      <c r="AF1967" s="25"/>
      <c r="AG1967" s="7"/>
      <c r="AH1967" s="7"/>
      <c r="AI1967" s="7"/>
      <c r="AJ1967" s="6"/>
      <c r="AK1967" s="6"/>
      <c r="AL1967" s="6"/>
      <c r="AM1967" s="6"/>
      <c r="AN1967" s="6"/>
      <c r="AO1967" s="26"/>
      <c r="AP1967" s="11"/>
      <c r="AQ1967" s="7"/>
      <c r="AS1967" s="11"/>
      <c r="AT1967" s="6"/>
      <c r="AU1967" s="6"/>
      <c r="AW1967" s="7"/>
      <c r="AX1967" s="6"/>
      <c r="AY1967" s="6"/>
      <c r="AZ1967" s="6"/>
      <c r="BA1967" s="6"/>
      <c r="BB1967" s="24"/>
      <c r="BD1967" s="6"/>
      <c r="BE1967" s="6"/>
      <c r="BF1967" s="6"/>
      <c r="BH1967" s="6"/>
      <c r="BI1967" s="6"/>
      <c r="BJ1967" s="6"/>
      <c r="BK1967" s="6"/>
      <c r="BL1967" s="6"/>
      <c r="BM1967" s="6"/>
    </row>
    <row r="1968" spans="1:65" x14ac:dyDescent="0.25">
      <c r="A1968" s="6"/>
      <c r="B1968" s="6"/>
      <c r="C1968" s="6"/>
      <c r="D1968" s="6"/>
      <c r="E1968" s="6"/>
      <c r="F1968" s="21"/>
      <c r="G1968" s="10"/>
      <c r="H1968" s="7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  <c r="AA1968" s="6"/>
      <c r="AB1968" s="6"/>
      <c r="AC1968" s="6"/>
      <c r="AD1968" s="6"/>
      <c r="AE1968" s="6"/>
      <c r="AF1968" s="25"/>
      <c r="AG1968" s="7"/>
      <c r="AH1968" s="7"/>
      <c r="AI1968" s="7"/>
      <c r="AJ1968" s="6"/>
      <c r="AK1968" s="6"/>
      <c r="AL1968" s="6"/>
      <c r="AM1968" s="6"/>
      <c r="AN1968" s="6"/>
      <c r="AO1968" s="26"/>
      <c r="AP1968" s="11"/>
      <c r="AQ1968" s="7"/>
      <c r="AS1968" s="11"/>
      <c r="AT1968" s="6"/>
      <c r="AU1968" s="6"/>
      <c r="AV1968" s="6"/>
      <c r="AW1968" s="7"/>
      <c r="AX1968" s="6"/>
      <c r="AY1968" s="6"/>
      <c r="AZ1968" s="6"/>
      <c r="BA1968" s="6"/>
      <c r="BB1968" s="24"/>
      <c r="BD1968" s="6"/>
      <c r="BE1968" s="6"/>
      <c r="BF1968" s="6"/>
      <c r="BH1968" s="6"/>
      <c r="BI1968" s="6"/>
      <c r="BJ1968" s="6"/>
      <c r="BK1968" s="6"/>
      <c r="BL1968" s="6"/>
      <c r="BM1968" s="6"/>
    </row>
    <row r="1971" spans="1:65" x14ac:dyDescent="0.25">
      <c r="A1971" s="6"/>
      <c r="B1971" s="6"/>
      <c r="C1971" s="6"/>
      <c r="D1971" s="6"/>
      <c r="E1971" s="6"/>
      <c r="F1971" s="21"/>
      <c r="G1971" s="10"/>
      <c r="H1971" s="7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  <c r="AA1971" s="6"/>
      <c r="AB1971" s="6"/>
      <c r="AC1971" s="6"/>
      <c r="AD1971" s="6"/>
      <c r="AE1971" s="6"/>
      <c r="AF1971" s="25"/>
      <c r="AG1971" s="7"/>
      <c r="AH1971" s="7"/>
      <c r="AI1971" s="7"/>
      <c r="AJ1971" s="6"/>
      <c r="AK1971" s="6"/>
      <c r="AL1971" s="6"/>
      <c r="AM1971" s="6"/>
      <c r="AN1971" s="6"/>
      <c r="AO1971" s="26"/>
      <c r="AP1971" s="11"/>
      <c r="AQ1971" s="7"/>
      <c r="AS1971" s="11"/>
      <c r="AT1971" s="6"/>
      <c r="AU1971" s="6"/>
      <c r="AV1971" s="6"/>
      <c r="AW1971" s="7"/>
      <c r="AX1971" s="6"/>
      <c r="AY1971" s="6"/>
      <c r="AZ1971" s="6"/>
      <c r="BA1971" s="6"/>
      <c r="BB1971" s="24"/>
      <c r="BD1971" s="6"/>
      <c r="BE1971" s="6"/>
      <c r="BF1971" s="6"/>
      <c r="BH1971" s="6"/>
      <c r="BI1971" s="6"/>
      <c r="BJ1971" s="6"/>
      <c r="BK1971" s="6"/>
      <c r="BL1971" s="6"/>
      <c r="BM1971" s="6"/>
    </row>
    <row r="1972" spans="1:65" x14ac:dyDescent="0.25">
      <c r="I1972" s="7"/>
      <c r="AH1972" s="7"/>
      <c r="AV1972" s="6"/>
    </row>
    <row r="1973" spans="1:65" x14ac:dyDescent="0.25">
      <c r="A1973" s="6"/>
      <c r="B1973" s="6"/>
      <c r="C1973" s="6"/>
      <c r="D1973" s="6"/>
      <c r="E1973" s="6"/>
      <c r="F1973" s="21"/>
      <c r="G1973" s="10"/>
      <c r="H1973" s="7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  <c r="AA1973" s="6"/>
      <c r="AB1973" s="6"/>
      <c r="AC1973" s="6"/>
      <c r="AD1973" s="6"/>
      <c r="AE1973" s="6"/>
      <c r="AF1973" s="25"/>
      <c r="AG1973" s="7"/>
      <c r="AH1973" s="7"/>
      <c r="AI1973" s="7"/>
      <c r="AJ1973" s="6"/>
      <c r="AK1973" s="6"/>
      <c r="AL1973" s="6"/>
      <c r="AM1973" s="6"/>
      <c r="AN1973" s="6"/>
      <c r="AO1973" s="26"/>
      <c r="AP1973" s="11"/>
      <c r="AQ1973" s="7"/>
      <c r="AS1973" s="11"/>
      <c r="AT1973" s="6"/>
      <c r="AU1973" s="6"/>
      <c r="AW1973" s="7"/>
      <c r="AX1973" s="6"/>
      <c r="AY1973" s="6"/>
      <c r="AZ1973" s="6"/>
      <c r="BA1973" s="6"/>
      <c r="BB1973" s="24"/>
      <c r="BD1973" s="6"/>
      <c r="BE1973" s="6"/>
      <c r="BF1973" s="6"/>
      <c r="BH1973" s="6"/>
      <c r="BI1973" s="6"/>
      <c r="BJ1973" s="6"/>
      <c r="BK1973" s="6"/>
      <c r="BL1973" s="6"/>
      <c r="BM1973" s="6"/>
    </row>
    <row r="1974" spans="1:65" x14ac:dyDescent="0.25">
      <c r="AV1974" s="6"/>
    </row>
    <row r="1975" spans="1:65" x14ac:dyDescent="0.25">
      <c r="I1975" s="7"/>
      <c r="AH1975" s="7"/>
      <c r="AV1975" s="6"/>
    </row>
    <row r="1976" spans="1:65" x14ac:dyDescent="0.25">
      <c r="A1976" s="6"/>
      <c r="B1976" s="6"/>
      <c r="C1976" s="6"/>
      <c r="D1976" s="6"/>
      <c r="E1976" s="6"/>
      <c r="F1976" s="21"/>
      <c r="G1976" s="10"/>
      <c r="H1976" s="7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  <c r="AA1976" s="6"/>
      <c r="AB1976" s="6"/>
      <c r="AC1976" s="6"/>
      <c r="AD1976" s="6"/>
      <c r="AE1976" s="6"/>
      <c r="AF1976" s="25"/>
      <c r="AG1976" s="7"/>
      <c r="AH1976" s="7"/>
      <c r="AI1976" s="7"/>
      <c r="AJ1976" s="6"/>
      <c r="AK1976" s="6"/>
      <c r="AL1976" s="6"/>
      <c r="AM1976" s="6"/>
      <c r="AN1976" s="6"/>
      <c r="AO1976" s="26"/>
      <c r="AP1976" s="11"/>
      <c r="AQ1976" s="7"/>
      <c r="AS1976" s="11"/>
      <c r="AT1976" s="6"/>
      <c r="AU1976" s="6"/>
      <c r="AW1976" s="7"/>
      <c r="AX1976" s="6"/>
      <c r="AY1976" s="6"/>
      <c r="AZ1976" s="6"/>
      <c r="BA1976" s="6"/>
      <c r="BB1976" s="24"/>
      <c r="BD1976" s="6"/>
      <c r="BE1976" s="6"/>
      <c r="BF1976" s="6"/>
      <c r="BH1976" s="6"/>
      <c r="BI1976" s="6"/>
      <c r="BJ1976" s="6"/>
      <c r="BK1976" s="6"/>
      <c r="BL1976" s="6"/>
      <c r="BM1976" s="6"/>
    </row>
    <row r="1977" spans="1:65" x14ac:dyDescent="0.25">
      <c r="A1977" s="6"/>
      <c r="B1977" s="6"/>
      <c r="C1977" s="6"/>
      <c r="D1977" s="6"/>
      <c r="E1977" s="6"/>
      <c r="F1977" s="21"/>
      <c r="G1977" s="10"/>
      <c r="H1977" s="7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  <c r="AA1977" s="6"/>
      <c r="AB1977" s="6"/>
      <c r="AC1977" s="6"/>
      <c r="AD1977" s="6"/>
      <c r="AE1977" s="6"/>
      <c r="AF1977" s="25"/>
      <c r="AG1977" s="7"/>
      <c r="AH1977" s="7"/>
      <c r="AI1977" s="7"/>
      <c r="AJ1977" s="6"/>
      <c r="AK1977" s="6"/>
      <c r="AL1977" s="6"/>
      <c r="AM1977" s="6"/>
      <c r="AN1977" s="6"/>
      <c r="AO1977" s="26"/>
      <c r="AP1977" s="11"/>
      <c r="AQ1977" s="7"/>
      <c r="AS1977" s="11"/>
      <c r="AT1977" s="6"/>
      <c r="AU1977" s="6"/>
      <c r="AV1977" s="6"/>
      <c r="AW1977" s="7"/>
      <c r="AX1977" s="6"/>
      <c r="AY1977" s="6"/>
      <c r="AZ1977" s="6"/>
      <c r="BA1977" s="6"/>
      <c r="BB1977" s="24"/>
      <c r="BD1977" s="6"/>
      <c r="BE1977" s="6"/>
      <c r="BF1977" s="6"/>
      <c r="BH1977" s="6"/>
      <c r="BI1977" s="6"/>
      <c r="BJ1977" s="6"/>
      <c r="BK1977" s="6"/>
      <c r="BL1977" s="6"/>
      <c r="BM1977" s="6"/>
    </row>
    <row r="1980" spans="1:65" x14ac:dyDescent="0.25">
      <c r="A1980" s="6"/>
      <c r="B1980" s="6"/>
      <c r="C1980" s="6"/>
      <c r="D1980" s="6"/>
      <c r="E1980" s="6"/>
      <c r="F1980" s="21"/>
      <c r="G1980" s="10"/>
      <c r="H1980" s="7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  <c r="AA1980" s="6"/>
      <c r="AB1980" s="6"/>
      <c r="AC1980" s="6"/>
      <c r="AD1980" s="6"/>
      <c r="AE1980" s="6"/>
      <c r="AF1980" s="25"/>
      <c r="AG1980" s="7"/>
      <c r="AH1980" s="7"/>
      <c r="AI1980" s="7"/>
      <c r="AJ1980" s="6"/>
      <c r="AK1980" s="6"/>
      <c r="AL1980" s="6"/>
      <c r="AM1980" s="6"/>
      <c r="AN1980" s="6"/>
      <c r="AO1980" s="26"/>
      <c r="AP1980" s="11"/>
      <c r="AQ1980" s="7"/>
      <c r="AS1980" s="11"/>
      <c r="AT1980" s="6"/>
      <c r="AU1980" s="6"/>
      <c r="AV1980" s="6"/>
      <c r="AW1980" s="7"/>
      <c r="AX1980" s="6"/>
      <c r="AY1980" s="6"/>
      <c r="AZ1980" s="6"/>
      <c r="BA1980" s="6"/>
      <c r="BB1980" s="24"/>
      <c r="BD1980" s="6"/>
      <c r="BE1980" s="6"/>
      <c r="BF1980" s="6"/>
      <c r="BH1980" s="6"/>
      <c r="BI1980" s="6"/>
      <c r="BJ1980" s="6"/>
      <c r="BK1980" s="6"/>
      <c r="BL1980" s="6"/>
      <c r="BM1980" s="6"/>
    </row>
    <row r="1981" spans="1:65" x14ac:dyDescent="0.25">
      <c r="I1981" s="7"/>
      <c r="AH1981" s="7"/>
      <c r="AV1981" s="6"/>
    </row>
    <row r="1982" spans="1:65" x14ac:dyDescent="0.25">
      <c r="A1982" s="6"/>
      <c r="B1982" s="6"/>
      <c r="C1982" s="6"/>
      <c r="D1982" s="6"/>
      <c r="E1982" s="6"/>
      <c r="F1982" s="21"/>
      <c r="G1982" s="10"/>
      <c r="H1982" s="7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  <c r="AA1982" s="6"/>
      <c r="AB1982" s="6"/>
      <c r="AC1982" s="6"/>
      <c r="AD1982" s="6"/>
      <c r="AE1982" s="6"/>
      <c r="AF1982" s="25"/>
      <c r="AG1982" s="7"/>
      <c r="AH1982" s="7"/>
      <c r="AI1982" s="7"/>
      <c r="AJ1982" s="6"/>
      <c r="AK1982" s="6"/>
      <c r="AL1982" s="6"/>
      <c r="AM1982" s="6"/>
      <c r="AN1982" s="6"/>
      <c r="AO1982" s="26"/>
      <c r="AP1982" s="11"/>
      <c r="AQ1982" s="7"/>
      <c r="AS1982" s="11"/>
      <c r="AT1982" s="6"/>
      <c r="AU1982" s="6"/>
      <c r="AW1982" s="7"/>
      <c r="AX1982" s="6"/>
      <c r="AY1982" s="6"/>
      <c r="AZ1982" s="6"/>
      <c r="BA1982" s="6"/>
      <c r="BB1982" s="24"/>
      <c r="BD1982" s="6"/>
      <c r="BE1982" s="6"/>
      <c r="BF1982" s="6"/>
      <c r="BH1982" s="6"/>
      <c r="BI1982" s="6"/>
      <c r="BJ1982" s="6"/>
      <c r="BK1982" s="6"/>
      <c r="BL1982" s="6"/>
      <c r="BM1982" s="6"/>
    </row>
    <row r="1983" spans="1:65" x14ac:dyDescent="0.25">
      <c r="AV1983" s="6"/>
    </row>
    <row r="1984" spans="1:65" x14ac:dyDescent="0.25">
      <c r="I1984" s="7"/>
      <c r="AH1984" s="7"/>
      <c r="AV1984" s="6"/>
    </row>
    <row r="1985" spans="1:65" x14ac:dyDescent="0.25">
      <c r="A1985" s="6"/>
      <c r="B1985" s="6"/>
      <c r="C1985" s="6"/>
      <c r="D1985" s="6"/>
      <c r="E1985" s="6"/>
      <c r="F1985" s="21"/>
      <c r="G1985" s="10"/>
      <c r="H1985" s="7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  <c r="AA1985" s="6"/>
      <c r="AB1985" s="6"/>
      <c r="AC1985" s="6"/>
      <c r="AD1985" s="6"/>
      <c r="AE1985" s="6"/>
      <c r="AF1985" s="25"/>
      <c r="AG1985" s="7"/>
      <c r="AH1985" s="7"/>
      <c r="AI1985" s="7"/>
      <c r="AJ1985" s="6"/>
      <c r="AK1985" s="6"/>
      <c r="AL1985" s="6"/>
      <c r="AM1985" s="6"/>
      <c r="AN1985" s="6"/>
      <c r="AO1985" s="26"/>
      <c r="AP1985" s="11"/>
      <c r="AQ1985" s="7"/>
      <c r="AS1985" s="11"/>
      <c r="AT1985" s="6"/>
      <c r="AU1985" s="6"/>
      <c r="AW1985" s="7"/>
      <c r="AX1985" s="6"/>
      <c r="AY1985" s="6"/>
      <c r="AZ1985" s="6"/>
      <c r="BA1985" s="6"/>
      <c r="BB1985" s="24"/>
      <c r="BD1985" s="6"/>
      <c r="BE1985" s="6"/>
      <c r="BF1985" s="6"/>
      <c r="BH1985" s="6"/>
      <c r="BI1985" s="6"/>
      <c r="BJ1985" s="6"/>
      <c r="BK1985" s="6"/>
      <c r="BL1985" s="6"/>
      <c r="BM1985" s="6"/>
    </row>
    <row r="1986" spans="1:65" x14ac:dyDescent="0.25">
      <c r="A1986" s="6"/>
      <c r="B1986" s="6"/>
      <c r="C1986" s="6"/>
      <c r="D1986" s="6"/>
      <c r="E1986" s="6"/>
      <c r="F1986" s="21"/>
      <c r="G1986" s="10"/>
      <c r="H1986" s="7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  <c r="AA1986" s="6"/>
      <c r="AB1986" s="6"/>
      <c r="AC1986" s="6"/>
      <c r="AD1986" s="6"/>
      <c r="AE1986" s="6"/>
      <c r="AF1986" s="25"/>
      <c r="AG1986" s="7"/>
      <c r="AH1986" s="7"/>
      <c r="AI1986" s="7"/>
      <c r="AJ1986" s="6"/>
      <c r="AK1986" s="6"/>
      <c r="AL1986" s="6"/>
      <c r="AM1986" s="6"/>
      <c r="AN1986" s="6"/>
      <c r="AO1986" s="26"/>
      <c r="AP1986" s="11"/>
      <c r="AQ1986" s="7"/>
      <c r="AS1986" s="11"/>
      <c r="AT1986" s="6"/>
      <c r="AU1986" s="6"/>
      <c r="AV1986" s="6"/>
      <c r="AW1986" s="7"/>
      <c r="AX1986" s="6"/>
      <c r="AY1986" s="6"/>
      <c r="AZ1986" s="6"/>
      <c r="BA1986" s="6"/>
      <c r="BB1986" s="24"/>
      <c r="BD1986" s="6"/>
      <c r="BE1986" s="6"/>
      <c r="BF1986" s="6"/>
      <c r="BH1986" s="6"/>
      <c r="BI1986" s="6"/>
      <c r="BJ1986" s="6"/>
      <c r="BK1986" s="6"/>
      <c r="BL1986" s="6"/>
      <c r="BM1986" s="6"/>
    </row>
    <row r="1989" spans="1:65" x14ac:dyDescent="0.25">
      <c r="A1989" s="6"/>
      <c r="B1989" s="6"/>
      <c r="C1989" s="6"/>
      <c r="D1989" s="6"/>
      <c r="E1989" s="6"/>
      <c r="F1989" s="21"/>
      <c r="G1989" s="10"/>
      <c r="H1989" s="7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  <c r="AA1989" s="6"/>
      <c r="AB1989" s="6"/>
      <c r="AC1989" s="6"/>
      <c r="AD1989" s="6"/>
      <c r="AE1989" s="6"/>
      <c r="AF1989" s="25"/>
      <c r="AG1989" s="7"/>
      <c r="AH1989" s="7"/>
      <c r="AI1989" s="7"/>
      <c r="AJ1989" s="6"/>
      <c r="AK1989" s="6"/>
      <c r="AL1989" s="6"/>
      <c r="AM1989" s="6"/>
      <c r="AN1989" s="6"/>
      <c r="AO1989" s="26"/>
      <c r="AP1989" s="11"/>
      <c r="AQ1989" s="7"/>
      <c r="AS1989" s="11"/>
      <c r="AT1989" s="6"/>
      <c r="AU1989" s="6"/>
      <c r="AV1989" s="6"/>
      <c r="AW1989" s="7"/>
      <c r="AX1989" s="6"/>
      <c r="AY1989" s="6"/>
      <c r="AZ1989" s="6"/>
      <c r="BA1989" s="6"/>
      <c r="BB1989" s="24"/>
      <c r="BD1989" s="6"/>
      <c r="BE1989" s="6"/>
      <c r="BF1989" s="6"/>
      <c r="BH1989" s="6"/>
      <c r="BI1989" s="6"/>
      <c r="BJ1989" s="6"/>
      <c r="BK1989" s="6"/>
      <c r="BL1989" s="6"/>
      <c r="BM1989" s="6"/>
    </row>
    <row r="1990" spans="1:65" x14ac:dyDescent="0.25">
      <c r="I1990" s="7"/>
      <c r="AH1990" s="7"/>
      <c r="AV1990" s="6"/>
    </row>
    <row r="1991" spans="1:65" x14ac:dyDescent="0.25">
      <c r="A1991" s="6"/>
      <c r="B1991" s="6"/>
      <c r="C1991" s="6"/>
      <c r="D1991" s="6"/>
      <c r="E1991" s="6"/>
      <c r="F1991" s="21"/>
      <c r="G1991" s="10"/>
      <c r="H1991" s="7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  <c r="AA1991" s="6"/>
      <c r="AB1991" s="6"/>
      <c r="AC1991" s="6"/>
      <c r="AD1991" s="6"/>
      <c r="AE1991" s="6"/>
      <c r="AF1991" s="25"/>
      <c r="AG1991" s="7"/>
      <c r="AH1991" s="7"/>
      <c r="AI1991" s="7"/>
      <c r="AJ1991" s="6"/>
      <c r="AK1991" s="6"/>
      <c r="AL1991" s="6"/>
      <c r="AM1991" s="6"/>
      <c r="AN1991" s="6"/>
      <c r="AO1991" s="26"/>
      <c r="AP1991" s="11"/>
      <c r="AQ1991" s="7"/>
      <c r="AS1991" s="11"/>
      <c r="AT1991" s="6"/>
      <c r="AU1991" s="6"/>
      <c r="AW1991" s="7"/>
      <c r="AX1991" s="6"/>
      <c r="AY1991" s="6"/>
      <c r="AZ1991" s="6"/>
      <c r="BA1991" s="6"/>
      <c r="BB1991" s="24"/>
      <c r="BD1991" s="6"/>
      <c r="BE1991" s="6"/>
      <c r="BF1991" s="6"/>
      <c r="BH1991" s="6"/>
      <c r="BI1991" s="6"/>
      <c r="BJ1991" s="6"/>
      <c r="BK1991" s="6"/>
      <c r="BL1991" s="6"/>
      <c r="BM1991" s="6"/>
    </row>
    <row r="1992" spans="1:65" x14ac:dyDescent="0.25">
      <c r="AV1992" s="6"/>
    </row>
    <row r="1993" spans="1:65" x14ac:dyDescent="0.25">
      <c r="I1993" s="7"/>
      <c r="AH1993" s="7"/>
      <c r="AV1993" s="6"/>
    </row>
    <row r="1994" spans="1:65" x14ac:dyDescent="0.25">
      <c r="A1994" s="6"/>
      <c r="B1994" s="6"/>
      <c r="C1994" s="6"/>
      <c r="D1994" s="6"/>
      <c r="E1994" s="6"/>
      <c r="F1994" s="21"/>
      <c r="G1994" s="10"/>
      <c r="H1994" s="7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  <c r="AA1994" s="6"/>
      <c r="AB1994" s="6"/>
      <c r="AC1994" s="6"/>
      <c r="AD1994" s="6"/>
      <c r="AE1994" s="6"/>
      <c r="AF1994" s="25"/>
      <c r="AG1994" s="7"/>
      <c r="AH1994" s="7"/>
      <c r="AI1994" s="7"/>
      <c r="AJ1994" s="6"/>
      <c r="AK1994" s="6"/>
      <c r="AL1994" s="6"/>
      <c r="AM1994" s="6"/>
      <c r="AN1994" s="6"/>
      <c r="AO1994" s="26"/>
      <c r="AP1994" s="11"/>
      <c r="AQ1994" s="7"/>
      <c r="AS1994" s="11"/>
      <c r="AT1994" s="6"/>
      <c r="AU1994" s="6"/>
      <c r="AW1994" s="7"/>
      <c r="AX1994" s="6"/>
      <c r="AY1994" s="6"/>
      <c r="AZ1994" s="6"/>
      <c r="BA1994" s="6"/>
      <c r="BB1994" s="24"/>
      <c r="BD1994" s="6"/>
      <c r="BE1994" s="6"/>
      <c r="BF1994" s="6"/>
      <c r="BH1994" s="6"/>
      <c r="BI1994" s="6"/>
      <c r="BJ1994" s="6"/>
      <c r="BK1994" s="6"/>
      <c r="BL1994" s="6"/>
      <c r="BM1994" s="6"/>
    </row>
    <row r="1995" spans="1:65" x14ac:dyDescent="0.25">
      <c r="A1995" s="6"/>
      <c r="B1995" s="6"/>
      <c r="C1995" s="6"/>
      <c r="D1995" s="6"/>
      <c r="E1995" s="6"/>
      <c r="F1995" s="21"/>
      <c r="G1995" s="10"/>
      <c r="H1995" s="7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  <c r="AA1995" s="6"/>
      <c r="AB1995" s="6"/>
      <c r="AC1995" s="6"/>
      <c r="AD1995" s="6"/>
      <c r="AE1995" s="6"/>
      <c r="AF1995" s="25"/>
      <c r="AG1995" s="7"/>
      <c r="AH1995" s="7"/>
      <c r="AI1995" s="7"/>
      <c r="AJ1995" s="6"/>
      <c r="AK1995" s="6"/>
      <c r="AL1995" s="6"/>
      <c r="AM1995" s="6"/>
      <c r="AN1995" s="6"/>
      <c r="AO1995" s="26"/>
      <c r="AP1995" s="11"/>
      <c r="AQ1995" s="7"/>
      <c r="AS1995" s="11"/>
      <c r="AT1995" s="6"/>
      <c r="AU1995" s="6"/>
      <c r="AV1995" s="6"/>
      <c r="AW1995" s="7"/>
      <c r="AX1995" s="6"/>
      <c r="AY1995" s="6"/>
      <c r="AZ1995" s="6"/>
      <c r="BA1995" s="6"/>
      <c r="BB1995" s="24"/>
      <c r="BD1995" s="6"/>
      <c r="BE1995" s="6"/>
      <c r="BF1995" s="6"/>
      <c r="BH1995" s="6"/>
      <c r="BI1995" s="6"/>
      <c r="BJ1995" s="6"/>
      <c r="BK1995" s="6"/>
      <c r="BL1995" s="6"/>
      <c r="BM1995" s="6"/>
    </row>
    <row r="1998" spans="1:65" x14ac:dyDescent="0.25">
      <c r="A1998" s="6"/>
      <c r="B1998" s="6"/>
      <c r="C1998" s="6"/>
      <c r="D1998" s="6"/>
      <c r="E1998" s="6"/>
      <c r="F1998" s="21"/>
      <c r="G1998" s="10"/>
      <c r="H1998" s="7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6"/>
      <c r="AB1998" s="6"/>
      <c r="AC1998" s="6"/>
      <c r="AD1998" s="6"/>
      <c r="AE1998" s="6"/>
      <c r="AF1998" s="25"/>
      <c r="AG1998" s="7"/>
      <c r="AH1998" s="7"/>
      <c r="AI1998" s="7"/>
      <c r="AJ1998" s="6"/>
      <c r="AK1998" s="6"/>
      <c r="AL1998" s="6"/>
      <c r="AM1998" s="6"/>
      <c r="AN1998" s="6"/>
      <c r="AO1998" s="26"/>
      <c r="AP1998" s="11"/>
      <c r="AQ1998" s="7"/>
      <c r="AS1998" s="11"/>
      <c r="AT1998" s="6"/>
      <c r="AU1998" s="6"/>
      <c r="AV1998" s="6"/>
      <c r="AW1998" s="7"/>
      <c r="AX1998" s="6"/>
      <c r="AY1998" s="6"/>
      <c r="AZ1998" s="6"/>
      <c r="BA1998" s="6"/>
      <c r="BB1998" s="24"/>
      <c r="BD1998" s="6"/>
      <c r="BE1998" s="6"/>
      <c r="BF1998" s="6"/>
      <c r="BH1998" s="6"/>
      <c r="BI1998" s="6"/>
      <c r="BJ1998" s="6"/>
      <c r="BK1998" s="6"/>
      <c r="BL1998" s="6"/>
      <c r="BM1998" s="6"/>
    </row>
    <row r="1999" spans="1:65" x14ac:dyDescent="0.25">
      <c r="I1999" s="7"/>
      <c r="AH1999" s="7"/>
      <c r="AV1999" s="6"/>
    </row>
    <row r="2000" spans="1:65" x14ac:dyDescent="0.25">
      <c r="A2000" s="6"/>
      <c r="B2000" s="6"/>
      <c r="C2000" s="6"/>
      <c r="D2000" s="6"/>
      <c r="E2000" s="6"/>
      <c r="F2000" s="21"/>
      <c r="G2000" s="10"/>
      <c r="H2000" s="7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6"/>
      <c r="AB2000" s="6"/>
      <c r="AC2000" s="6"/>
      <c r="AD2000" s="6"/>
      <c r="AE2000" s="6"/>
      <c r="AF2000" s="25"/>
      <c r="AG2000" s="7"/>
      <c r="AH2000" s="7"/>
      <c r="AI2000" s="7"/>
      <c r="AJ2000" s="6"/>
      <c r="AK2000" s="6"/>
      <c r="AL2000" s="6"/>
      <c r="AM2000" s="6"/>
      <c r="AN2000" s="6"/>
      <c r="AO2000" s="26"/>
      <c r="AP2000" s="11"/>
      <c r="AQ2000" s="7"/>
      <c r="AS2000" s="11"/>
      <c r="AT2000" s="6"/>
      <c r="AU2000" s="6"/>
      <c r="AW2000" s="7"/>
      <c r="AX2000" s="6"/>
      <c r="AY2000" s="6"/>
      <c r="AZ2000" s="6"/>
      <c r="BA2000" s="6"/>
      <c r="BB2000" s="24"/>
      <c r="BD2000" s="6"/>
      <c r="BE2000" s="6"/>
      <c r="BF2000" s="6"/>
      <c r="BH2000" s="6"/>
      <c r="BI2000" s="6"/>
      <c r="BJ2000" s="6"/>
      <c r="BK2000" s="6"/>
      <c r="BL2000" s="6"/>
      <c r="BM2000" s="6"/>
    </row>
    <row r="2001" spans="1:65" x14ac:dyDescent="0.25">
      <c r="AV2001" s="6"/>
    </row>
    <row r="2002" spans="1:65" x14ac:dyDescent="0.25">
      <c r="I2002" s="7"/>
      <c r="AH2002" s="7"/>
      <c r="AV2002" s="6"/>
    </row>
    <row r="2003" spans="1:65" x14ac:dyDescent="0.25">
      <c r="A2003" s="6"/>
      <c r="B2003" s="6"/>
      <c r="C2003" s="6"/>
      <c r="D2003" s="6"/>
      <c r="E2003" s="6"/>
      <c r="F2003" s="21"/>
      <c r="G2003" s="10"/>
      <c r="H2003" s="7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  <c r="AA2003" s="6"/>
      <c r="AB2003" s="6"/>
      <c r="AC2003" s="6"/>
      <c r="AD2003" s="6"/>
      <c r="AE2003" s="6"/>
      <c r="AF2003" s="25"/>
      <c r="AG2003" s="7"/>
      <c r="AH2003" s="7"/>
      <c r="AI2003" s="7"/>
      <c r="AJ2003" s="6"/>
      <c r="AK2003" s="6"/>
      <c r="AL2003" s="6"/>
      <c r="AM2003" s="6"/>
      <c r="AN2003" s="6"/>
      <c r="AO2003" s="26"/>
      <c r="AP2003" s="11"/>
      <c r="AQ2003" s="7"/>
      <c r="AS2003" s="11"/>
      <c r="AT2003" s="6"/>
      <c r="AU2003" s="6"/>
      <c r="AW2003" s="7"/>
      <c r="AX2003" s="6"/>
      <c r="AY2003" s="6"/>
      <c r="AZ2003" s="6"/>
      <c r="BA2003" s="6"/>
      <c r="BB2003" s="24"/>
      <c r="BD2003" s="6"/>
      <c r="BE2003" s="6"/>
      <c r="BF2003" s="6"/>
      <c r="BH2003" s="6"/>
      <c r="BI2003" s="6"/>
      <c r="BJ2003" s="6"/>
      <c r="BK2003" s="6"/>
      <c r="BL2003" s="6"/>
      <c r="BM2003" s="6"/>
    </row>
    <row r="2004" spans="1:65" x14ac:dyDescent="0.25">
      <c r="A2004" s="6"/>
      <c r="B2004" s="6"/>
      <c r="C2004" s="6"/>
      <c r="D2004" s="6"/>
      <c r="E2004" s="6"/>
      <c r="F2004" s="21"/>
      <c r="G2004" s="10"/>
      <c r="H2004" s="7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  <c r="AA2004" s="6"/>
      <c r="AB2004" s="6"/>
      <c r="AC2004" s="6"/>
      <c r="AD2004" s="6"/>
      <c r="AE2004" s="6"/>
      <c r="AF2004" s="25"/>
      <c r="AG2004" s="7"/>
      <c r="AH2004" s="7"/>
      <c r="AI2004" s="7"/>
      <c r="AJ2004" s="6"/>
      <c r="AK2004" s="6"/>
      <c r="AL2004" s="6"/>
      <c r="AM2004" s="6"/>
      <c r="AN2004" s="6"/>
      <c r="AO2004" s="26"/>
      <c r="AP2004" s="11"/>
      <c r="AQ2004" s="7"/>
      <c r="AS2004" s="11"/>
      <c r="AT2004" s="6"/>
      <c r="AU2004" s="6"/>
      <c r="AV2004" s="6"/>
      <c r="AW2004" s="7"/>
      <c r="AX2004" s="6"/>
      <c r="AY2004" s="6"/>
      <c r="AZ2004" s="6"/>
      <c r="BA2004" s="6"/>
      <c r="BB2004" s="24"/>
      <c r="BD2004" s="6"/>
      <c r="BE2004" s="6"/>
      <c r="BF2004" s="6"/>
      <c r="BH2004" s="6"/>
      <c r="BI2004" s="6"/>
      <c r="BJ2004" s="6"/>
      <c r="BK2004" s="6"/>
      <c r="BL2004" s="6"/>
      <c r="BM2004" s="6"/>
    </row>
    <row r="2007" spans="1:65" x14ac:dyDescent="0.25">
      <c r="A2007" s="6"/>
      <c r="B2007" s="6"/>
      <c r="C2007" s="6"/>
      <c r="D2007" s="6"/>
      <c r="E2007" s="6"/>
      <c r="F2007" s="21"/>
      <c r="G2007" s="10"/>
      <c r="H2007" s="7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6"/>
      <c r="AB2007" s="6"/>
      <c r="AC2007" s="6"/>
      <c r="AD2007" s="6"/>
      <c r="AE2007" s="6"/>
      <c r="AF2007" s="25"/>
      <c r="AG2007" s="7"/>
      <c r="AH2007" s="7"/>
      <c r="AI2007" s="7"/>
      <c r="AJ2007" s="6"/>
      <c r="AK2007" s="6"/>
      <c r="AL2007" s="6"/>
      <c r="AM2007" s="6"/>
      <c r="AN2007" s="6"/>
      <c r="AO2007" s="26"/>
      <c r="AP2007" s="11"/>
      <c r="AQ2007" s="7"/>
      <c r="AS2007" s="11"/>
      <c r="AT2007" s="6"/>
      <c r="AU2007" s="6"/>
      <c r="AV2007" s="6"/>
      <c r="AW2007" s="7"/>
      <c r="AX2007" s="6"/>
      <c r="AY2007" s="6"/>
      <c r="AZ2007" s="6"/>
      <c r="BA2007" s="6"/>
      <c r="BB2007" s="24"/>
      <c r="BD2007" s="6"/>
      <c r="BE2007" s="6"/>
      <c r="BF2007" s="6"/>
      <c r="BH2007" s="6"/>
      <c r="BI2007" s="6"/>
      <c r="BJ2007" s="6"/>
      <c r="BK2007" s="6"/>
      <c r="BL2007" s="6"/>
      <c r="BM2007" s="6"/>
    </row>
    <row r="2008" spans="1:65" x14ac:dyDescent="0.25">
      <c r="I2008" s="7"/>
      <c r="AH2008" s="7"/>
      <c r="AV2008" s="6"/>
    </row>
    <row r="2009" spans="1:65" x14ac:dyDescent="0.25">
      <c r="A2009" s="6"/>
      <c r="B2009" s="6"/>
      <c r="C2009" s="6"/>
      <c r="D2009" s="6"/>
      <c r="E2009" s="6"/>
      <c r="F2009" s="21"/>
      <c r="G2009" s="10"/>
      <c r="H2009" s="7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6"/>
      <c r="AB2009" s="6"/>
      <c r="AC2009" s="6"/>
      <c r="AD2009" s="6"/>
      <c r="AE2009" s="6"/>
      <c r="AF2009" s="25"/>
      <c r="AG2009" s="7"/>
      <c r="AH2009" s="7"/>
      <c r="AI2009" s="7"/>
      <c r="AJ2009" s="6"/>
      <c r="AK2009" s="6"/>
      <c r="AL2009" s="6"/>
      <c r="AM2009" s="6"/>
      <c r="AN2009" s="6"/>
      <c r="AO2009" s="26"/>
      <c r="AP2009" s="11"/>
      <c r="AQ2009" s="7"/>
      <c r="AS2009" s="11"/>
      <c r="AT2009" s="6"/>
      <c r="AU2009" s="6"/>
      <c r="AW2009" s="7"/>
      <c r="AX2009" s="6"/>
      <c r="AY2009" s="6"/>
      <c r="AZ2009" s="6"/>
      <c r="BA2009" s="6"/>
      <c r="BB2009" s="24"/>
      <c r="BD2009" s="6"/>
      <c r="BE2009" s="6"/>
      <c r="BF2009" s="6"/>
      <c r="BH2009" s="6"/>
      <c r="BI2009" s="6"/>
      <c r="BJ2009" s="6"/>
      <c r="BK2009" s="6"/>
      <c r="BL2009" s="6"/>
      <c r="BM2009" s="6"/>
    </row>
    <row r="2010" spans="1:65" x14ac:dyDescent="0.25">
      <c r="AV2010" s="6"/>
    </row>
    <row r="2011" spans="1:65" x14ac:dyDescent="0.25">
      <c r="I2011" s="7"/>
      <c r="AH2011" s="7"/>
      <c r="AV2011" s="6"/>
    </row>
    <row r="2012" spans="1:65" x14ac:dyDescent="0.25">
      <c r="A2012" s="6"/>
      <c r="B2012" s="6"/>
      <c r="C2012" s="6"/>
      <c r="D2012" s="6"/>
      <c r="E2012" s="6"/>
      <c r="F2012" s="21"/>
      <c r="G2012" s="10"/>
      <c r="H2012" s="7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  <c r="Z2012" s="6"/>
      <c r="AA2012" s="6"/>
      <c r="AB2012" s="6"/>
      <c r="AC2012" s="6"/>
      <c r="AD2012" s="6"/>
      <c r="AE2012" s="6"/>
      <c r="AF2012" s="25"/>
      <c r="AG2012" s="7"/>
      <c r="AH2012" s="7"/>
      <c r="AI2012" s="7"/>
      <c r="AJ2012" s="6"/>
      <c r="AK2012" s="6"/>
      <c r="AL2012" s="6"/>
      <c r="AM2012" s="6"/>
      <c r="AN2012" s="6"/>
      <c r="AO2012" s="26"/>
      <c r="AP2012" s="11"/>
      <c r="AQ2012" s="7"/>
      <c r="AS2012" s="11"/>
      <c r="AT2012" s="6"/>
      <c r="AU2012" s="6"/>
      <c r="AW2012" s="7"/>
      <c r="AX2012" s="6"/>
      <c r="AY2012" s="6"/>
      <c r="AZ2012" s="6"/>
      <c r="BA2012" s="6"/>
      <c r="BB2012" s="24"/>
      <c r="BD2012" s="6"/>
      <c r="BE2012" s="6"/>
      <c r="BF2012" s="6"/>
      <c r="BH2012" s="6"/>
      <c r="BI2012" s="6"/>
      <c r="BJ2012" s="6"/>
      <c r="BK2012" s="6"/>
      <c r="BL2012" s="6"/>
      <c r="BM2012" s="6"/>
    </row>
    <row r="2013" spans="1:65" x14ac:dyDescent="0.25">
      <c r="A2013" s="6"/>
      <c r="B2013" s="6"/>
      <c r="C2013" s="6"/>
      <c r="D2013" s="6"/>
      <c r="E2013" s="6"/>
      <c r="F2013" s="21"/>
      <c r="G2013" s="10"/>
      <c r="H2013" s="7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  <c r="Z2013" s="6"/>
      <c r="AA2013" s="6"/>
      <c r="AB2013" s="6"/>
      <c r="AC2013" s="6"/>
      <c r="AD2013" s="6"/>
      <c r="AE2013" s="6"/>
      <c r="AF2013" s="25"/>
      <c r="AG2013" s="7"/>
      <c r="AH2013" s="7"/>
      <c r="AI2013" s="7"/>
      <c r="AJ2013" s="6"/>
      <c r="AK2013" s="6"/>
      <c r="AL2013" s="6"/>
      <c r="AM2013" s="6"/>
      <c r="AN2013" s="6"/>
      <c r="AO2013" s="26"/>
      <c r="AP2013" s="11"/>
      <c r="AQ2013" s="7"/>
      <c r="AS2013" s="11"/>
      <c r="AT2013" s="6"/>
      <c r="AU2013" s="6"/>
      <c r="AV2013" s="6"/>
      <c r="AW2013" s="7"/>
      <c r="AX2013" s="6"/>
      <c r="AY2013" s="6"/>
      <c r="AZ2013" s="6"/>
      <c r="BA2013" s="6"/>
      <c r="BB2013" s="24"/>
      <c r="BD2013" s="6"/>
      <c r="BE2013" s="6"/>
      <c r="BF2013" s="6"/>
      <c r="BH2013" s="6"/>
      <c r="BI2013" s="6"/>
      <c r="BJ2013" s="6"/>
      <c r="BK2013" s="6"/>
      <c r="BL2013" s="6"/>
      <c r="BM2013" s="6"/>
    </row>
    <row r="2016" spans="1:65" x14ac:dyDescent="0.25">
      <c r="A2016" s="6"/>
      <c r="B2016" s="6"/>
      <c r="C2016" s="6"/>
      <c r="D2016" s="6"/>
      <c r="E2016" s="6"/>
      <c r="F2016" s="21"/>
      <c r="G2016" s="10"/>
      <c r="H2016" s="7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  <c r="Z2016" s="6"/>
      <c r="AA2016" s="6"/>
      <c r="AB2016" s="6"/>
      <c r="AC2016" s="6"/>
      <c r="AD2016" s="6"/>
      <c r="AE2016" s="6"/>
      <c r="AF2016" s="25"/>
      <c r="AG2016" s="7"/>
      <c r="AH2016" s="7"/>
      <c r="AI2016" s="7"/>
      <c r="AJ2016" s="6"/>
      <c r="AK2016" s="6"/>
      <c r="AL2016" s="6"/>
      <c r="AM2016" s="6"/>
      <c r="AN2016" s="6"/>
      <c r="AO2016" s="26"/>
      <c r="AP2016" s="11"/>
      <c r="AQ2016" s="7"/>
      <c r="AS2016" s="11"/>
      <c r="AT2016" s="6"/>
      <c r="AU2016" s="6"/>
      <c r="AV2016" s="6"/>
      <c r="AW2016" s="7"/>
      <c r="AX2016" s="6"/>
      <c r="AY2016" s="6"/>
      <c r="AZ2016" s="6"/>
      <c r="BA2016" s="6"/>
      <c r="BB2016" s="24"/>
      <c r="BD2016" s="6"/>
      <c r="BE2016" s="6"/>
      <c r="BF2016" s="6"/>
      <c r="BH2016" s="6"/>
      <c r="BI2016" s="6"/>
      <c r="BJ2016" s="6"/>
      <c r="BK2016" s="6"/>
      <c r="BL2016" s="6"/>
      <c r="BM2016" s="6"/>
    </row>
    <row r="2017" spans="1:65" x14ac:dyDescent="0.25">
      <c r="I2017" s="7"/>
      <c r="AH2017" s="7"/>
      <c r="AV2017" s="6"/>
    </row>
    <row r="2018" spans="1:65" x14ac:dyDescent="0.25">
      <c r="A2018" s="6"/>
      <c r="B2018" s="6"/>
      <c r="C2018" s="6"/>
      <c r="D2018" s="6"/>
      <c r="E2018" s="6"/>
      <c r="F2018" s="21"/>
      <c r="G2018" s="10"/>
      <c r="H2018" s="7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  <c r="Z2018" s="6"/>
      <c r="AA2018" s="6"/>
      <c r="AB2018" s="6"/>
      <c r="AC2018" s="6"/>
      <c r="AD2018" s="6"/>
      <c r="AE2018" s="6"/>
      <c r="AF2018" s="25"/>
      <c r="AG2018" s="7"/>
      <c r="AH2018" s="7"/>
      <c r="AI2018" s="7"/>
      <c r="AJ2018" s="6"/>
      <c r="AK2018" s="6"/>
      <c r="AL2018" s="6"/>
      <c r="AM2018" s="6"/>
      <c r="AN2018" s="6"/>
      <c r="AO2018" s="26"/>
      <c r="AP2018" s="11"/>
      <c r="AQ2018" s="7"/>
      <c r="AS2018" s="11"/>
      <c r="AT2018" s="6"/>
      <c r="AU2018" s="6"/>
      <c r="AW2018" s="7"/>
      <c r="AX2018" s="6"/>
      <c r="AY2018" s="6"/>
      <c r="AZ2018" s="6"/>
      <c r="BA2018" s="6"/>
      <c r="BB2018" s="24"/>
      <c r="BD2018" s="6"/>
      <c r="BE2018" s="6"/>
      <c r="BF2018" s="6"/>
      <c r="BH2018" s="6"/>
      <c r="BI2018" s="6"/>
      <c r="BJ2018" s="6"/>
      <c r="BK2018" s="6"/>
      <c r="BL2018" s="6"/>
      <c r="BM2018" s="6"/>
    </row>
    <row r="2019" spans="1:65" x14ac:dyDescent="0.25">
      <c r="AV2019" s="6"/>
    </row>
    <row r="2020" spans="1:65" x14ac:dyDescent="0.25">
      <c r="I2020" s="7"/>
      <c r="AH2020" s="7"/>
      <c r="AV2020" s="6"/>
    </row>
    <row r="2021" spans="1:65" x14ac:dyDescent="0.25">
      <c r="A2021" s="6"/>
      <c r="B2021" s="6"/>
      <c r="C2021" s="6"/>
      <c r="D2021" s="6"/>
      <c r="E2021" s="6"/>
      <c r="F2021" s="21"/>
      <c r="G2021" s="10"/>
      <c r="H2021" s="7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  <c r="Z2021" s="6"/>
      <c r="AA2021" s="6"/>
      <c r="AB2021" s="6"/>
      <c r="AC2021" s="6"/>
      <c r="AD2021" s="6"/>
      <c r="AE2021" s="6"/>
      <c r="AF2021" s="25"/>
      <c r="AG2021" s="7"/>
      <c r="AH2021" s="7"/>
      <c r="AI2021" s="7"/>
      <c r="AJ2021" s="6"/>
      <c r="AK2021" s="6"/>
      <c r="AL2021" s="6"/>
      <c r="AM2021" s="6"/>
      <c r="AN2021" s="6"/>
      <c r="AO2021" s="26"/>
      <c r="AP2021" s="11"/>
      <c r="AQ2021" s="7"/>
      <c r="AS2021" s="11"/>
      <c r="AT2021" s="6"/>
      <c r="AU2021" s="6"/>
      <c r="AW2021" s="7"/>
      <c r="AX2021" s="6"/>
      <c r="AY2021" s="6"/>
      <c r="AZ2021" s="6"/>
      <c r="BA2021" s="6"/>
      <c r="BB2021" s="24"/>
      <c r="BD2021" s="6"/>
      <c r="BE2021" s="6"/>
      <c r="BF2021" s="6"/>
      <c r="BH2021" s="6"/>
      <c r="BI2021" s="6"/>
      <c r="BJ2021" s="6"/>
      <c r="BK2021" s="6"/>
      <c r="BL2021" s="6"/>
      <c r="BM2021" s="6"/>
    </row>
    <row r="2022" spans="1:65" x14ac:dyDescent="0.25">
      <c r="A2022" s="6"/>
      <c r="B2022" s="6"/>
      <c r="C2022" s="6"/>
      <c r="D2022" s="6"/>
      <c r="E2022" s="6"/>
      <c r="F2022" s="21"/>
      <c r="G2022" s="10"/>
      <c r="H2022" s="7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  <c r="Z2022" s="6"/>
      <c r="AA2022" s="6"/>
      <c r="AB2022" s="6"/>
      <c r="AC2022" s="6"/>
      <c r="AD2022" s="6"/>
      <c r="AE2022" s="6"/>
      <c r="AF2022" s="25"/>
      <c r="AG2022" s="7"/>
      <c r="AH2022" s="7"/>
      <c r="AI2022" s="7"/>
      <c r="AJ2022" s="6"/>
      <c r="AK2022" s="6"/>
      <c r="AL2022" s="6"/>
      <c r="AM2022" s="6"/>
      <c r="AN2022" s="6"/>
      <c r="AO2022" s="26"/>
      <c r="AP2022" s="11"/>
      <c r="AQ2022" s="7"/>
      <c r="AS2022" s="11"/>
      <c r="AT2022" s="6"/>
      <c r="AU2022" s="6"/>
      <c r="AV2022" s="6"/>
      <c r="AW2022" s="7"/>
      <c r="AX2022" s="6"/>
      <c r="AY2022" s="6"/>
      <c r="AZ2022" s="6"/>
      <c r="BA2022" s="6"/>
      <c r="BB2022" s="24"/>
      <c r="BD2022" s="6"/>
      <c r="BE2022" s="6"/>
      <c r="BF2022" s="6"/>
      <c r="BH2022" s="6"/>
      <c r="BI2022" s="6"/>
      <c r="BJ2022" s="6"/>
      <c r="BK2022" s="6"/>
      <c r="BL2022" s="6"/>
      <c r="BM2022" s="6"/>
    </row>
    <row r="2025" spans="1:65" x14ac:dyDescent="0.25">
      <c r="A2025" s="6"/>
      <c r="B2025" s="6"/>
      <c r="C2025" s="6"/>
      <c r="D2025" s="6"/>
      <c r="E2025" s="6"/>
      <c r="F2025" s="21"/>
      <c r="G2025" s="10"/>
      <c r="H2025" s="7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  <c r="Z2025" s="6"/>
      <c r="AA2025" s="6"/>
      <c r="AB2025" s="6"/>
      <c r="AC2025" s="6"/>
      <c r="AD2025" s="6"/>
      <c r="AE2025" s="6"/>
      <c r="AF2025" s="25"/>
      <c r="AG2025" s="7"/>
      <c r="AH2025" s="7"/>
      <c r="AI2025" s="7"/>
      <c r="AJ2025" s="6"/>
      <c r="AK2025" s="6"/>
      <c r="AL2025" s="6"/>
      <c r="AM2025" s="6"/>
      <c r="AN2025" s="6"/>
      <c r="AO2025" s="26"/>
      <c r="AP2025" s="11"/>
      <c r="AQ2025" s="7"/>
      <c r="AS2025" s="11"/>
      <c r="AT2025" s="6"/>
      <c r="AU2025" s="6"/>
      <c r="AV2025" s="6"/>
      <c r="AW2025" s="7"/>
      <c r="AX2025" s="6"/>
      <c r="AY2025" s="6"/>
      <c r="AZ2025" s="6"/>
      <c r="BA2025" s="6"/>
      <c r="BB2025" s="24"/>
      <c r="BD2025" s="6"/>
      <c r="BE2025" s="6"/>
      <c r="BF2025" s="6"/>
      <c r="BH2025" s="6"/>
      <c r="BI2025" s="6"/>
      <c r="BJ2025" s="6"/>
      <c r="BK2025" s="6"/>
      <c r="BL2025" s="6"/>
      <c r="BM2025" s="6"/>
    </row>
    <row r="2026" spans="1:65" x14ac:dyDescent="0.25">
      <c r="I2026" s="7"/>
      <c r="AH2026" s="7"/>
      <c r="AV2026" s="6"/>
    </row>
    <row r="2027" spans="1:65" x14ac:dyDescent="0.25">
      <c r="A2027" s="6"/>
      <c r="B2027" s="6"/>
      <c r="C2027" s="6"/>
      <c r="D2027" s="6"/>
      <c r="E2027" s="6"/>
      <c r="F2027" s="21"/>
      <c r="G2027" s="10"/>
      <c r="H2027" s="7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  <c r="Z2027" s="6"/>
      <c r="AA2027" s="6"/>
      <c r="AB2027" s="6"/>
      <c r="AC2027" s="6"/>
      <c r="AD2027" s="6"/>
      <c r="AE2027" s="6"/>
      <c r="AF2027" s="25"/>
      <c r="AG2027" s="7"/>
      <c r="AH2027" s="7"/>
      <c r="AI2027" s="7"/>
      <c r="AJ2027" s="6"/>
      <c r="AK2027" s="6"/>
      <c r="AL2027" s="6"/>
      <c r="AM2027" s="6"/>
      <c r="AN2027" s="6"/>
      <c r="AO2027" s="26"/>
      <c r="AP2027" s="11"/>
      <c r="AQ2027" s="7"/>
      <c r="AS2027" s="11"/>
      <c r="AT2027" s="6"/>
      <c r="AU2027" s="6"/>
      <c r="AW2027" s="7"/>
      <c r="AX2027" s="6"/>
      <c r="AY2027" s="6"/>
      <c r="AZ2027" s="6"/>
      <c r="BA2027" s="6"/>
      <c r="BB2027" s="24"/>
      <c r="BD2027" s="6"/>
      <c r="BE2027" s="6"/>
      <c r="BF2027" s="6"/>
      <c r="BH2027" s="6"/>
      <c r="BI2027" s="6"/>
      <c r="BJ2027" s="6"/>
      <c r="BK2027" s="6"/>
      <c r="BL2027" s="6"/>
      <c r="BM2027" s="6"/>
    </row>
    <row r="2028" spans="1:65" x14ac:dyDescent="0.25">
      <c r="AV2028" s="6"/>
    </row>
    <row r="2029" spans="1:65" x14ac:dyDescent="0.25">
      <c r="I2029" s="7"/>
      <c r="AH2029" s="7"/>
      <c r="AV2029" s="6"/>
    </row>
    <row r="2030" spans="1:65" x14ac:dyDescent="0.25">
      <c r="A2030" s="6"/>
      <c r="B2030" s="6"/>
      <c r="C2030" s="6"/>
      <c r="D2030" s="6"/>
      <c r="E2030" s="6"/>
      <c r="F2030" s="21"/>
      <c r="G2030" s="10"/>
      <c r="H2030" s="7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  <c r="Z2030" s="6"/>
      <c r="AA2030" s="6"/>
      <c r="AB2030" s="6"/>
      <c r="AC2030" s="6"/>
      <c r="AD2030" s="6"/>
      <c r="AE2030" s="6"/>
      <c r="AF2030" s="25"/>
      <c r="AG2030" s="7"/>
      <c r="AH2030" s="7"/>
      <c r="AI2030" s="7"/>
      <c r="AJ2030" s="6"/>
      <c r="AK2030" s="6"/>
      <c r="AL2030" s="6"/>
      <c r="AM2030" s="6"/>
      <c r="AN2030" s="6"/>
      <c r="AO2030" s="26"/>
      <c r="AP2030" s="11"/>
      <c r="AQ2030" s="7"/>
      <c r="AS2030" s="11"/>
      <c r="AT2030" s="6"/>
      <c r="AU2030" s="6"/>
      <c r="AW2030" s="7"/>
      <c r="AX2030" s="6"/>
      <c r="AY2030" s="6"/>
      <c r="AZ2030" s="6"/>
      <c r="BA2030" s="6"/>
      <c r="BB2030" s="24"/>
      <c r="BD2030" s="6"/>
      <c r="BE2030" s="6"/>
      <c r="BF2030" s="6"/>
      <c r="BH2030" s="6"/>
      <c r="BI2030" s="6"/>
      <c r="BJ2030" s="6"/>
      <c r="BK2030" s="6"/>
      <c r="BL2030" s="6"/>
      <c r="BM2030" s="6"/>
    </row>
    <row r="2031" spans="1:65" x14ac:dyDescent="0.25">
      <c r="A2031" s="6"/>
      <c r="B2031" s="6"/>
      <c r="C2031" s="6"/>
      <c r="D2031" s="6"/>
      <c r="E2031" s="6"/>
      <c r="F2031" s="21"/>
      <c r="G2031" s="10"/>
      <c r="H2031" s="7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  <c r="Z2031" s="6"/>
      <c r="AA2031" s="6"/>
      <c r="AB2031" s="6"/>
      <c r="AC2031" s="6"/>
      <c r="AD2031" s="6"/>
      <c r="AE2031" s="6"/>
      <c r="AF2031" s="25"/>
      <c r="AG2031" s="7"/>
      <c r="AH2031" s="7"/>
      <c r="AI2031" s="7"/>
      <c r="AJ2031" s="6"/>
      <c r="AK2031" s="6"/>
      <c r="AL2031" s="6"/>
      <c r="AM2031" s="6"/>
      <c r="AN2031" s="6"/>
      <c r="AO2031" s="26"/>
      <c r="AP2031" s="11"/>
      <c r="AQ2031" s="7"/>
      <c r="AS2031" s="11"/>
      <c r="AT2031" s="6"/>
      <c r="AU2031" s="6"/>
      <c r="AV2031" s="6"/>
      <c r="AW2031" s="7"/>
      <c r="AX2031" s="6"/>
      <c r="AY2031" s="6"/>
      <c r="AZ2031" s="6"/>
      <c r="BA2031" s="6"/>
      <c r="BB2031" s="24"/>
      <c r="BD2031" s="6"/>
      <c r="BE2031" s="6"/>
      <c r="BF2031" s="6"/>
      <c r="BH2031" s="6"/>
      <c r="BI2031" s="6"/>
      <c r="BJ2031" s="6"/>
      <c r="BK2031" s="6"/>
      <c r="BL2031" s="6"/>
      <c r="BM2031" s="6"/>
    </row>
    <row r="2034" spans="1:65" x14ac:dyDescent="0.25">
      <c r="A2034" s="6"/>
      <c r="B2034" s="6"/>
      <c r="C2034" s="6"/>
      <c r="D2034" s="6"/>
      <c r="E2034" s="6"/>
      <c r="F2034" s="21"/>
      <c r="G2034" s="10"/>
      <c r="H2034" s="7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  <c r="Z2034" s="6"/>
      <c r="AA2034" s="6"/>
      <c r="AB2034" s="6"/>
      <c r="AC2034" s="6"/>
      <c r="AD2034" s="6"/>
      <c r="AE2034" s="6"/>
      <c r="AF2034" s="25"/>
      <c r="AG2034" s="7"/>
      <c r="AH2034" s="7"/>
      <c r="AI2034" s="7"/>
      <c r="AJ2034" s="6"/>
      <c r="AK2034" s="6"/>
      <c r="AL2034" s="6"/>
      <c r="AM2034" s="6"/>
      <c r="AN2034" s="6"/>
      <c r="AO2034" s="26"/>
      <c r="AP2034" s="11"/>
      <c r="AQ2034" s="7"/>
      <c r="AS2034" s="11"/>
      <c r="AT2034" s="6"/>
      <c r="AU2034" s="6"/>
      <c r="AV2034" s="6"/>
      <c r="AW2034" s="7"/>
      <c r="AX2034" s="6"/>
      <c r="AY2034" s="6"/>
      <c r="AZ2034" s="6"/>
      <c r="BA2034" s="6"/>
      <c r="BB2034" s="24"/>
      <c r="BD2034" s="6"/>
      <c r="BE2034" s="6"/>
      <c r="BF2034" s="6"/>
      <c r="BH2034" s="6"/>
      <c r="BI2034" s="6"/>
      <c r="BJ2034" s="6"/>
      <c r="BK2034" s="6"/>
      <c r="BL2034" s="6"/>
      <c r="BM2034" s="6"/>
    </row>
    <row r="2035" spans="1:65" x14ac:dyDescent="0.25">
      <c r="I2035" s="7"/>
      <c r="AH2035" s="7"/>
      <c r="AV2035" s="6"/>
    </row>
    <row r="2036" spans="1:65" x14ac:dyDescent="0.25">
      <c r="A2036" s="6"/>
      <c r="B2036" s="6"/>
      <c r="C2036" s="6"/>
      <c r="D2036" s="6"/>
      <c r="E2036" s="6"/>
      <c r="F2036" s="21"/>
      <c r="G2036" s="10"/>
      <c r="H2036" s="7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  <c r="Z2036" s="6"/>
      <c r="AA2036" s="6"/>
      <c r="AB2036" s="6"/>
      <c r="AC2036" s="6"/>
      <c r="AD2036" s="6"/>
      <c r="AE2036" s="6"/>
      <c r="AF2036" s="25"/>
      <c r="AG2036" s="7"/>
      <c r="AH2036" s="7"/>
      <c r="AI2036" s="7"/>
      <c r="AJ2036" s="6"/>
      <c r="AK2036" s="6"/>
      <c r="AL2036" s="6"/>
      <c r="AM2036" s="6"/>
      <c r="AN2036" s="6"/>
      <c r="AO2036" s="26"/>
      <c r="AP2036" s="11"/>
      <c r="AQ2036" s="7"/>
      <c r="AS2036" s="11"/>
      <c r="AT2036" s="6"/>
      <c r="AU2036" s="6"/>
      <c r="AW2036" s="7"/>
      <c r="AX2036" s="6"/>
      <c r="AY2036" s="6"/>
      <c r="AZ2036" s="6"/>
      <c r="BA2036" s="6"/>
      <c r="BB2036" s="24"/>
      <c r="BD2036" s="6"/>
      <c r="BE2036" s="6"/>
      <c r="BF2036" s="6"/>
      <c r="BH2036" s="6"/>
      <c r="BI2036" s="6"/>
      <c r="BJ2036" s="6"/>
      <c r="BK2036" s="6"/>
      <c r="BL2036" s="6"/>
      <c r="BM2036" s="6"/>
    </row>
    <row r="2037" spans="1:65" x14ac:dyDescent="0.25">
      <c r="AV2037" s="6"/>
    </row>
    <row r="2038" spans="1:65" x14ac:dyDescent="0.25">
      <c r="I2038" s="7"/>
      <c r="AH2038" s="7"/>
      <c r="AV2038" s="6"/>
    </row>
    <row r="2039" spans="1:65" x14ac:dyDescent="0.25">
      <c r="A2039" s="6"/>
      <c r="B2039" s="6"/>
      <c r="C2039" s="6"/>
      <c r="D2039" s="6"/>
      <c r="E2039" s="6"/>
      <c r="F2039" s="21"/>
      <c r="G2039" s="10"/>
      <c r="H2039" s="7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  <c r="Z2039" s="6"/>
      <c r="AA2039" s="6"/>
      <c r="AB2039" s="6"/>
      <c r="AC2039" s="6"/>
      <c r="AD2039" s="6"/>
      <c r="AE2039" s="6"/>
      <c r="AF2039" s="25"/>
      <c r="AG2039" s="7"/>
      <c r="AH2039" s="7"/>
      <c r="AI2039" s="7"/>
      <c r="AJ2039" s="6"/>
      <c r="AK2039" s="6"/>
      <c r="AL2039" s="6"/>
      <c r="AM2039" s="6"/>
      <c r="AN2039" s="6"/>
      <c r="AO2039" s="26"/>
      <c r="AP2039" s="11"/>
      <c r="AQ2039" s="7"/>
      <c r="AS2039" s="11"/>
      <c r="AT2039" s="6"/>
      <c r="AU2039" s="6"/>
      <c r="AW2039" s="7"/>
      <c r="AX2039" s="6"/>
      <c r="AY2039" s="6"/>
      <c r="AZ2039" s="6"/>
      <c r="BA2039" s="6"/>
      <c r="BB2039" s="24"/>
      <c r="BD2039" s="6"/>
      <c r="BE2039" s="6"/>
      <c r="BF2039" s="6"/>
      <c r="BH2039" s="6"/>
      <c r="BI2039" s="6"/>
      <c r="BJ2039" s="6"/>
      <c r="BK2039" s="6"/>
      <c r="BL2039" s="6"/>
      <c r="BM2039" s="6"/>
    </row>
    <row r="2040" spans="1:65" x14ac:dyDescent="0.25">
      <c r="A2040" s="6"/>
      <c r="B2040" s="6"/>
      <c r="C2040" s="6"/>
      <c r="D2040" s="6"/>
      <c r="E2040" s="6"/>
      <c r="F2040" s="21"/>
      <c r="G2040" s="10"/>
      <c r="H2040" s="7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  <c r="Z2040" s="6"/>
      <c r="AA2040" s="6"/>
      <c r="AB2040" s="6"/>
      <c r="AC2040" s="6"/>
      <c r="AD2040" s="6"/>
      <c r="AE2040" s="6"/>
      <c r="AF2040" s="25"/>
      <c r="AG2040" s="7"/>
      <c r="AH2040" s="7"/>
      <c r="AI2040" s="7"/>
      <c r="AJ2040" s="6"/>
      <c r="AK2040" s="6"/>
      <c r="AL2040" s="6"/>
      <c r="AM2040" s="6"/>
      <c r="AN2040" s="6"/>
      <c r="AO2040" s="26"/>
      <c r="AP2040" s="11"/>
      <c r="AQ2040" s="7"/>
      <c r="AS2040" s="11"/>
      <c r="AT2040" s="6"/>
      <c r="AU2040" s="6"/>
      <c r="AV2040" s="6"/>
      <c r="AW2040" s="7"/>
      <c r="AX2040" s="6"/>
      <c r="AY2040" s="6"/>
      <c r="AZ2040" s="6"/>
      <c r="BA2040" s="6"/>
      <c r="BB2040" s="24"/>
      <c r="BD2040" s="6"/>
      <c r="BE2040" s="6"/>
      <c r="BF2040" s="6"/>
      <c r="BH2040" s="6"/>
      <c r="BI2040" s="6"/>
      <c r="BJ2040" s="6"/>
      <c r="BK2040" s="6"/>
      <c r="BL2040" s="6"/>
      <c r="BM2040" s="6"/>
    </row>
    <row r="2043" spans="1:65" x14ac:dyDescent="0.25">
      <c r="A2043" s="6"/>
      <c r="B2043" s="6"/>
      <c r="C2043" s="6"/>
      <c r="D2043" s="6"/>
      <c r="E2043" s="6"/>
      <c r="F2043" s="21"/>
      <c r="G2043" s="10"/>
      <c r="H2043" s="7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  <c r="Z2043" s="6"/>
      <c r="AA2043" s="6"/>
      <c r="AB2043" s="6"/>
      <c r="AC2043" s="6"/>
      <c r="AD2043" s="6"/>
      <c r="AE2043" s="6"/>
      <c r="AF2043" s="25"/>
      <c r="AG2043" s="7"/>
      <c r="AH2043" s="7"/>
      <c r="AI2043" s="7"/>
      <c r="AJ2043" s="6"/>
      <c r="AK2043" s="6"/>
      <c r="AL2043" s="6"/>
      <c r="AM2043" s="6"/>
      <c r="AN2043" s="6"/>
      <c r="AO2043" s="26"/>
      <c r="AP2043" s="11"/>
      <c r="AQ2043" s="7"/>
      <c r="AS2043" s="11"/>
      <c r="AT2043" s="6"/>
      <c r="AU2043" s="6"/>
      <c r="AV2043" s="6"/>
      <c r="AW2043" s="7"/>
      <c r="AX2043" s="6"/>
      <c r="AY2043" s="6"/>
      <c r="AZ2043" s="6"/>
      <c r="BA2043" s="6"/>
      <c r="BB2043" s="24"/>
      <c r="BD2043" s="6"/>
      <c r="BE2043" s="6"/>
      <c r="BF2043" s="6"/>
      <c r="BH2043" s="6"/>
      <c r="BI2043" s="6"/>
      <c r="BJ2043" s="6"/>
      <c r="BK2043" s="6"/>
      <c r="BL2043" s="6"/>
      <c r="BM2043" s="6"/>
    </row>
    <row r="2044" spans="1:65" x14ac:dyDescent="0.25">
      <c r="I2044" s="7"/>
      <c r="AH2044" s="7"/>
      <c r="AV2044" s="6"/>
    </row>
    <row r="2045" spans="1:65" x14ac:dyDescent="0.25">
      <c r="A2045" s="6"/>
      <c r="B2045" s="6"/>
      <c r="C2045" s="6"/>
      <c r="D2045" s="6"/>
      <c r="E2045" s="6"/>
      <c r="F2045" s="21"/>
      <c r="G2045" s="10"/>
      <c r="H2045" s="7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  <c r="Z2045" s="6"/>
      <c r="AA2045" s="6"/>
      <c r="AB2045" s="6"/>
      <c r="AC2045" s="6"/>
      <c r="AD2045" s="6"/>
      <c r="AE2045" s="6"/>
      <c r="AF2045" s="25"/>
      <c r="AG2045" s="7"/>
      <c r="AH2045" s="7"/>
      <c r="AI2045" s="7"/>
      <c r="AJ2045" s="6"/>
      <c r="AK2045" s="6"/>
      <c r="AL2045" s="6"/>
      <c r="AM2045" s="6"/>
      <c r="AN2045" s="6"/>
      <c r="AO2045" s="26"/>
      <c r="AP2045" s="11"/>
      <c r="AQ2045" s="7"/>
      <c r="AS2045" s="11"/>
      <c r="AT2045" s="6"/>
      <c r="AU2045" s="6"/>
      <c r="AW2045" s="7"/>
      <c r="AX2045" s="6"/>
      <c r="AY2045" s="6"/>
      <c r="AZ2045" s="6"/>
      <c r="BA2045" s="6"/>
      <c r="BB2045" s="24"/>
      <c r="BD2045" s="6"/>
      <c r="BE2045" s="6"/>
      <c r="BF2045" s="6"/>
      <c r="BH2045" s="6"/>
      <c r="BI2045" s="6"/>
      <c r="BJ2045" s="6"/>
      <c r="BK2045" s="6"/>
      <c r="BL2045" s="6"/>
      <c r="BM2045" s="6"/>
    </row>
    <row r="2046" spans="1:65" x14ac:dyDescent="0.25">
      <c r="AV2046" s="6"/>
    </row>
    <row r="2047" spans="1:65" x14ac:dyDescent="0.25">
      <c r="I2047" s="7"/>
      <c r="AH2047" s="7"/>
      <c r="AV2047" s="6"/>
    </row>
    <row r="2048" spans="1:65" x14ac:dyDescent="0.25">
      <c r="A2048" s="6"/>
      <c r="B2048" s="6"/>
      <c r="C2048" s="6"/>
      <c r="D2048" s="6"/>
      <c r="E2048" s="6"/>
      <c r="F2048" s="21"/>
      <c r="G2048" s="10"/>
      <c r="H2048" s="7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  <c r="Z2048" s="6"/>
      <c r="AA2048" s="6"/>
      <c r="AB2048" s="6"/>
      <c r="AC2048" s="6"/>
      <c r="AD2048" s="6"/>
      <c r="AE2048" s="6"/>
      <c r="AF2048" s="25"/>
      <c r="AG2048" s="7"/>
      <c r="AH2048" s="7"/>
      <c r="AI2048" s="7"/>
      <c r="AJ2048" s="6"/>
      <c r="AK2048" s="6"/>
      <c r="AL2048" s="6"/>
      <c r="AM2048" s="6"/>
      <c r="AN2048" s="6"/>
      <c r="AO2048" s="26"/>
      <c r="AP2048" s="11"/>
      <c r="AQ2048" s="7"/>
      <c r="AS2048" s="11"/>
      <c r="AT2048" s="6"/>
      <c r="AU2048" s="6"/>
      <c r="AW2048" s="7"/>
      <c r="AX2048" s="6"/>
      <c r="AY2048" s="6"/>
      <c r="AZ2048" s="6"/>
      <c r="BA2048" s="6"/>
      <c r="BB2048" s="24"/>
      <c r="BD2048" s="6"/>
      <c r="BE2048" s="6"/>
      <c r="BF2048" s="6"/>
      <c r="BH2048" s="6"/>
      <c r="BI2048" s="6"/>
      <c r="BJ2048" s="6"/>
      <c r="BK2048" s="6"/>
      <c r="BL2048" s="6"/>
      <c r="BM2048" s="6"/>
    </row>
    <row r="2049" spans="1:65" x14ac:dyDescent="0.25">
      <c r="A2049" s="6"/>
      <c r="B2049" s="6"/>
      <c r="C2049" s="6"/>
      <c r="D2049" s="6"/>
      <c r="E2049" s="6"/>
      <c r="F2049" s="21"/>
      <c r="G2049" s="10"/>
      <c r="H2049" s="7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  <c r="Z2049" s="6"/>
      <c r="AA2049" s="6"/>
      <c r="AB2049" s="6"/>
      <c r="AC2049" s="6"/>
      <c r="AD2049" s="6"/>
      <c r="AE2049" s="6"/>
      <c r="AF2049" s="25"/>
      <c r="AG2049" s="7"/>
      <c r="AH2049" s="7"/>
      <c r="AI2049" s="7"/>
      <c r="AJ2049" s="6"/>
      <c r="AK2049" s="6"/>
      <c r="AL2049" s="6"/>
      <c r="AM2049" s="6"/>
      <c r="AN2049" s="6"/>
      <c r="AO2049" s="26"/>
      <c r="AP2049" s="11"/>
      <c r="AQ2049" s="7"/>
      <c r="AS2049" s="11"/>
      <c r="AT2049" s="6"/>
      <c r="AU2049" s="6"/>
      <c r="AV2049" s="6"/>
      <c r="AW2049" s="7"/>
      <c r="AX2049" s="6"/>
      <c r="AY2049" s="6"/>
      <c r="AZ2049" s="6"/>
      <c r="BA2049" s="6"/>
      <c r="BB2049" s="24"/>
      <c r="BD2049" s="6"/>
      <c r="BE2049" s="6"/>
      <c r="BF2049" s="6"/>
      <c r="BH2049" s="6"/>
      <c r="BI2049" s="6"/>
      <c r="BJ2049" s="6"/>
      <c r="BK2049" s="6"/>
      <c r="BL2049" s="6"/>
      <c r="BM2049" s="6"/>
    </row>
    <row r="2052" spans="1:65" x14ac:dyDescent="0.25">
      <c r="A2052" s="6"/>
      <c r="B2052" s="6"/>
      <c r="C2052" s="6"/>
      <c r="D2052" s="6"/>
      <c r="E2052" s="6"/>
      <c r="F2052" s="21"/>
      <c r="G2052" s="10"/>
      <c r="H2052" s="7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  <c r="Z2052" s="6"/>
      <c r="AA2052" s="6"/>
      <c r="AB2052" s="6"/>
      <c r="AC2052" s="6"/>
      <c r="AD2052" s="6"/>
      <c r="AE2052" s="6"/>
      <c r="AF2052" s="25"/>
      <c r="AG2052" s="7"/>
      <c r="AH2052" s="7"/>
      <c r="AI2052" s="7"/>
      <c r="AJ2052" s="6"/>
      <c r="AK2052" s="6"/>
      <c r="AL2052" s="6"/>
      <c r="AM2052" s="6"/>
      <c r="AN2052" s="6"/>
      <c r="AO2052" s="26"/>
      <c r="AP2052" s="11"/>
      <c r="AQ2052" s="7"/>
      <c r="AS2052" s="11"/>
      <c r="AT2052" s="6"/>
      <c r="AU2052" s="6"/>
      <c r="AV2052" s="6"/>
      <c r="AW2052" s="7"/>
      <c r="AX2052" s="6"/>
      <c r="AY2052" s="6"/>
      <c r="AZ2052" s="6"/>
      <c r="BA2052" s="6"/>
      <c r="BB2052" s="24"/>
      <c r="BD2052" s="6"/>
      <c r="BE2052" s="6"/>
      <c r="BF2052" s="6"/>
      <c r="BH2052" s="6"/>
      <c r="BI2052" s="6"/>
      <c r="BJ2052" s="6"/>
      <c r="BK2052" s="6"/>
      <c r="BL2052" s="6"/>
      <c r="BM2052" s="6"/>
    </row>
    <row r="2053" spans="1:65" x14ac:dyDescent="0.25">
      <c r="I2053" s="7"/>
      <c r="AH2053" s="7"/>
      <c r="AV2053" s="6"/>
    </row>
    <row r="2054" spans="1:65" x14ac:dyDescent="0.25">
      <c r="A2054" s="6"/>
      <c r="B2054" s="6"/>
      <c r="C2054" s="6"/>
      <c r="D2054" s="6"/>
      <c r="E2054" s="6"/>
      <c r="F2054" s="21"/>
      <c r="G2054" s="10"/>
      <c r="H2054" s="7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  <c r="Z2054" s="6"/>
      <c r="AA2054" s="6"/>
      <c r="AB2054" s="6"/>
      <c r="AC2054" s="6"/>
      <c r="AD2054" s="6"/>
      <c r="AE2054" s="6"/>
      <c r="AF2054" s="25"/>
      <c r="AG2054" s="7"/>
      <c r="AH2054" s="7"/>
      <c r="AI2054" s="7"/>
      <c r="AJ2054" s="6"/>
      <c r="AK2054" s="6"/>
      <c r="AL2054" s="6"/>
      <c r="AM2054" s="6"/>
      <c r="AN2054" s="6"/>
      <c r="AO2054" s="26"/>
      <c r="AP2054" s="11"/>
      <c r="AQ2054" s="7"/>
      <c r="AS2054" s="11"/>
      <c r="AT2054" s="6"/>
      <c r="AU2054" s="6"/>
      <c r="AW2054" s="7"/>
      <c r="AX2054" s="6"/>
      <c r="AY2054" s="6"/>
      <c r="AZ2054" s="6"/>
      <c r="BA2054" s="6"/>
      <c r="BB2054" s="24"/>
      <c r="BD2054" s="6"/>
      <c r="BE2054" s="6"/>
      <c r="BF2054" s="6"/>
      <c r="BH2054" s="6"/>
      <c r="BI2054" s="6"/>
      <c r="BJ2054" s="6"/>
      <c r="BK2054" s="6"/>
      <c r="BL2054" s="6"/>
      <c r="BM2054" s="6"/>
    </row>
    <row r="2055" spans="1:65" x14ac:dyDescent="0.25">
      <c r="AV2055" s="6"/>
    </row>
    <row r="2056" spans="1:65" x14ac:dyDescent="0.25">
      <c r="I2056" s="7"/>
      <c r="AH2056" s="7"/>
      <c r="AV2056" s="6"/>
    </row>
    <row r="2057" spans="1:65" x14ac:dyDescent="0.25">
      <c r="A2057" s="6"/>
      <c r="B2057" s="6"/>
      <c r="C2057" s="6"/>
      <c r="D2057" s="6"/>
      <c r="E2057" s="6"/>
      <c r="F2057" s="21"/>
      <c r="G2057" s="10"/>
      <c r="H2057" s="7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  <c r="Z2057" s="6"/>
      <c r="AA2057" s="6"/>
      <c r="AB2057" s="6"/>
      <c r="AC2057" s="6"/>
      <c r="AD2057" s="6"/>
      <c r="AE2057" s="6"/>
      <c r="AF2057" s="25"/>
      <c r="AG2057" s="7"/>
      <c r="AH2057" s="7"/>
      <c r="AI2057" s="7"/>
      <c r="AJ2057" s="6"/>
      <c r="AK2057" s="6"/>
      <c r="AL2057" s="6"/>
      <c r="AM2057" s="6"/>
      <c r="AN2057" s="6"/>
      <c r="AO2057" s="26"/>
      <c r="AP2057" s="11"/>
      <c r="AQ2057" s="7"/>
      <c r="AS2057" s="11"/>
      <c r="AT2057" s="6"/>
      <c r="AU2057" s="6"/>
      <c r="AW2057" s="7"/>
      <c r="AX2057" s="6"/>
      <c r="AY2057" s="6"/>
      <c r="AZ2057" s="6"/>
      <c r="BA2057" s="6"/>
      <c r="BB2057" s="24"/>
      <c r="BD2057" s="6"/>
      <c r="BE2057" s="6"/>
      <c r="BF2057" s="6"/>
      <c r="BH2057" s="6"/>
      <c r="BI2057" s="6"/>
      <c r="BJ2057" s="6"/>
      <c r="BK2057" s="6"/>
      <c r="BL2057" s="6"/>
      <c r="BM2057" s="6"/>
    </row>
    <row r="2058" spans="1:65" x14ac:dyDescent="0.25">
      <c r="A2058" s="6"/>
      <c r="B2058" s="6"/>
      <c r="C2058" s="6"/>
      <c r="D2058" s="6"/>
      <c r="E2058" s="6"/>
      <c r="F2058" s="21"/>
      <c r="G2058" s="10"/>
      <c r="H2058" s="7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  <c r="Z2058" s="6"/>
      <c r="AA2058" s="6"/>
      <c r="AB2058" s="6"/>
      <c r="AC2058" s="6"/>
      <c r="AD2058" s="6"/>
      <c r="AE2058" s="6"/>
      <c r="AF2058" s="25"/>
      <c r="AG2058" s="7"/>
      <c r="AH2058" s="7"/>
      <c r="AI2058" s="7"/>
      <c r="AJ2058" s="6"/>
      <c r="AK2058" s="6"/>
      <c r="AL2058" s="6"/>
      <c r="AM2058" s="6"/>
      <c r="AN2058" s="6"/>
      <c r="AO2058" s="26"/>
      <c r="AP2058" s="11"/>
      <c r="AQ2058" s="7"/>
      <c r="AS2058" s="11"/>
      <c r="AT2058" s="6"/>
      <c r="AU2058" s="6"/>
      <c r="AV2058" s="6"/>
      <c r="AW2058" s="7"/>
      <c r="AX2058" s="6"/>
      <c r="AY2058" s="6"/>
      <c r="AZ2058" s="6"/>
      <c r="BA2058" s="6"/>
      <c r="BB2058" s="24"/>
      <c r="BD2058" s="6"/>
      <c r="BE2058" s="6"/>
      <c r="BF2058" s="6"/>
      <c r="BH2058" s="6"/>
      <c r="BI2058" s="6"/>
      <c r="BJ2058" s="6"/>
      <c r="BK2058" s="6"/>
      <c r="BL2058" s="6"/>
      <c r="BM2058" s="6"/>
    </row>
    <row r="2061" spans="1:65" x14ac:dyDescent="0.25">
      <c r="A2061" s="6"/>
      <c r="B2061" s="6"/>
      <c r="C2061" s="6"/>
      <c r="D2061" s="6"/>
      <c r="E2061" s="6"/>
      <c r="F2061" s="21"/>
      <c r="G2061" s="10"/>
      <c r="H2061" s="7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  <c r="Z2061" s="6"/>
      <c r="AA2061" s="6"/>
      <c r="AB2061" s="6"/>
      <c r="AC2061" s="6"/>
      <c r="AD2061" s="6"/>
      <c r="AE2061" s="6"/>
      <c r="AF2061" s="25"/>
      <c r="AG2061" s="7"/>
      <c r="AH2061" s="7"/>
      <c r="AI2061" s="7"/>
      <c r="AJ2061" s="6"/>
      <c r="AK2061" s="6"/>
      <c r="AL2061" s="6"/>
      <c r="AM2061" s="6"/>
      <c r="AN2061" s="6"/>
      <c r="AO2061" s="26"/>
      <c r="AP2061" s="11"/>
      <c r="AQ2061" s="7"/>
      <c r="AS2061" s="11"/>
      <c r="AT2061" s="6"/>
      <c r="AU2061" s="6"/>
      <c r="AV2061" s="6"/>
      <c r="AW2061" s="7"/>
      <c r="AX2061" s="6"/>
      <c r="AY2061" s="6"/>
      <c r="AZ2061" s="6"/>
      <c r="BA2061" s="6"/>
      <c r="BB2061" s="24"/>
      <c r="BD2061" s="6"/>
      <c r="BE2061" s="6"/>
      <c r="BF2061" s="6"/>
      <c r="BH2061" s="6"/>
      <c r="BI2061" s="6"/>
      <c r="BJ2061" s="6"/>
      <c r="BK2061" s="6"/>
      <c r="BL2061" s="6"/>
      <c r="BM2061" s="6"/>
    </row>
    <row r="2062" spans="1:65" x14ac:dyDescent="0.25">
      <c r="I2062" s="7"/>
      <c r="AH2062" s="7"/>
      <c r="AV2062" s="6"/>
    </row>
    <row r="2063" spans="1:65" x14ac:dyDescent="0.25">
      <c r="A2063" s="6"/>
      <c r="B2063" s="6"/>
      <c r="C2063" s="6"/>
      <c r="D2063" s="6"/>
      <c r="E2063" s="6"/>
      <c r="F2063" s="21"/>
      <c r="G2063" s="10"/>
      <c r="H2063" s="7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  <c r="Z2063" s="6"/>
      <c r="AA2063" s="6"/>
      <c r="AB2063" s="6"/>
      <c r="AC2063" s="6"/>
      <c r="AD2063" s="6"/>
      <c r="AE2063" s="6"/>
      <c r="AF2063" s="25"/>
      <c r="AG2063" s="7"/>
      <c r="AH2063" s="7"/>
      <c r="AI2063" s="7"/>
      <c r="AJ2063" s="6"/>
      <c r="AK2063" s="6"/>
      <c r="AL2063" s="6"/>
      <c r="AM2063" s="6"/>
      <c r="AN2063" s="6"/>
      <c r="AO2063" s="26"/>
      <c r="AP2063" s="11"/>
      <c r="AQ2063" s="7"/>
      <c r="AS2063" s="11"/>
      <c r="AT2063" s="6"/>
      <c r="AU2063" s="6"/>
      <c r="AW2063" s="7"/>
      <c r="AX2063" s="6"/>
      <c r="AY2063" s="6"/>
      <c r="AZ2063" s="6"/>
      <c r="BA2063" s="6"/>
      <c r="BB2063" s="24"/>
      <c r="BD2063" s="6"/>
      <c r="BE2063" s="6"/>
      <c r="BF2063" s="6"/>
      <c r="BH2063" s="6"/>
      <c r="BI2063" s="6"/>
      <c r="BJ2063" s="6"/>
      <c r="BK2063" s="6"/>
      <c r="BL2063" s="6"/>
      <c r="BM2063" s="6"/>
    </row>
    <row r="2064" spans="1:65" x14ac:dyDescent="0.25">
      <c r="AV2064" s="6"/>
    </row>
    <row r="2065" spans="1:65" x14ac:dyDescent="0.25">
      <c r="I2065" s="7"/>
      <c r="AH2065" s="7"/>
      <c r="AV2065" s="6"/>
    </row>
    <row r="2066" spans="1:65" x14ac:dyDescent="0.25">
      <c r="A2066" s="6"/>
      <c r="B2066" s="6"/>
      <c r="C2066" s="6"/>
      <c r="D2066" s="6"/>
      <c r="E2066" s="6"/>
      <c r="F2066" s="21"/>
      <c r="G2066" s="10"/>
      <c r="H2066" s="7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  <c r="Z2066" s="6"/>
      <c r="AA2066" s="6"/>
      <c r="AB2066" s="6"/>
      <c r="AC2066" s="6"/>
      <c r="AD2066" s="6"/>
      <c r="AE2066" s="6"/>
      <c r="AF2066" s="25"/>
      <c r="AG2066" s="7"/>
      <c r="AH2066" s="7"/>
      <c r="AI2066" s="7"/>
      <c r="AJ2066" s="6"/>
      <c r="AK2066" s="6"/>
      <c r="AL2066" s="6"/>
      <c r="AM2066" s="6"/>
      <c r="AN2066" s="6"/>
      <c r="AO2066" s="26"/>
      <c r="AP2066" s="11"/>
      <c r="AQ2066" s="7"/>
      <c r="AS2066" s="11"/>
      <c r="AT2066" s="6"/>
      <c r="AU2066" s="6"/>
      <c r="AW2066" s="7"/>
      <c r="AX2066" s="6"/>
      <c r="AY2066" s="6"/>
      <c r="AZ2066" s="6"/>
      <c r="BA2066" s="6"/>
      <c r="BB2066" s="24"/>
      <c r="BD2066" s="6"/>
      <c r="BE2066" s="6"/>
      <c r="BF2066" s="6"/>
      <c r="BH2066" s="6"/>
      <c r="BI2066" s="6"/>
      <c r="BJ2066" s="6"/>
      <c r="BK2066" s="6"/>
      <c r="BL2066" s="6"/>
      <c r="BM2066" s="6"/>
    </row>
    <row r="2067" spans="1:65" x14ac:dyDescent="0.25">
      <c r="A2067" s="6"/>
      <c r="B2067" s="6"/>
      <c r="C2067" s="6"/>
      <c r="D2067" s="6"/>
      <c r="E2067" s="6"/>
      <c r="F2067" s="21"/>
      <c r="G2067" s="10"/>
      <c r="H2067" s="7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  <c r="Z2067" s="6"/>
      <c r="AA2067" s="6"/>
      <c r="AB2067" s="6"/>
      <c r="AC2067" s="6"/>
      <c r="AD2067" s="6"/>
      <c r="AE2067" s="6"/>
      <c r="AF2067" s="25"/>
      <c r="AG2067" s="7"/>
      <c r="AH2067" s="7"/>
      <c r="AI2067" s="7"/>
      <c r="AJ2067" s="6"/>
      <c r="AK2067" s="6"/>
      <c r="AL2067" s="6"/>
      <c r="AM2067" s="6"/>
      <c r="AN2067" s="6"/>
      <c r="AO2067" s="26"/>
      <c r="AP2067" s="11"/>
      <c r="AQ2067" s="7"/>
      <c r="AS2067" s="11"/>
      <c r="AT2067" s="6"/>
      <c r="AU2067" s="6"/>
      <c r="AV2067" s="6"/>
      <c r="AW2067" s="7"/>
      <c r="AX2067" s="6"/>
      <c r="AY2067" s="6"/>
      <c r="AZ2067" s="6"/>
      <c r="BA2067" s="6"/>
      <c r="BB2067" s="24"/>
      <c r="BD2067" s="6"/>
      <c r="BE2067" s="6"/>
      <c r="BF2067" s="6"/>
      <c r="BH2067" s="6"/>
      <c r="BI2067" s="6"/>
      <c r="BJ2067" s="6"/>
      <c r="BK2067" s="6"/>
      <c r="BL2067" s="6"/>
      <c r="BM2067" s="6"/>
    </row>
    <row r="2070" spans="1:65" x14ac:dyDescent="0.25">
      <c r="A2070" s="6"/>
      <c r="B2070" s="6"/>
      <c r="C2070" s="6"/>
      <c r="D2070" s="6"/>
      <c r="E2070" s="6"/>
      <c r="F2070" s="21"/>
      <c r="G2070" s="10"/>
      <c r="H2070" s="7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  <c r="Z2070" s="6"/>
      <c r="AA2070" s="6"/>
      <c r="AB2070" s="6"/>
      <c r="AC2070" s="6"/>
      <c r="AD2070" s="6"/>
      <c r="AE2070" s="6"/>
      <c r="AF2070" s="25"/>
      <c r="AG2070" s="7"/>
      <c r="AH2070" s="7"/>
      <c r="AI2070" s="7"/>
      <c r="AJ2070" s="6"/>
      <c r="AK2070" s="6"/>
      <c r="AL2070" s="6"/>
      <c r="AM2070" s="6"/>
      <c r="AN2070" s="6"/>
      <c r="AO2070" s="26"/>
      <c r="AP2070" s="11"/>
      <c r="AQ2070" s="7"/>
      <c r="AS2070" s="11"/>
      <c r="AT2070" s="6"/>
      <c r="AU2070" s="6"/>
      <c r="AV2070" s="6"/>
      <c r="AW2070" s="7"/>
      <c r="AX2070" s="6"/>
      <c r="AY2070" s="6"/>
      <c r="AZ2070" s="6"/>
      <c r="BA2070" s="6"/>
      <c r="BB2070" s="24"/>
      <c r="BD2070" s="6"/>
      <c r="BE2070" s="6"/>
      <c r="BF2070" s="6"/>
      <c r="BH2070" s="6"/>
      <c r="BI2070" s="6"/>
      <c r="BJ2070" s="6"/>
      <c r="BK2070" s="6"/>
      <c r="BL2070" s="6"/>
      <c r="BM2070" s="6"/>
    </row>
    <row r="2071" spans="1:65" x14ac:dyDescent="0.25">
      <c r="I2071" s="7"/>
      <c r="AH2071" s="7"/>
      <c r="AV2071" s="6"/>
    </row>
    <row r="2072" spans="1:65" x14ac:dyDescent="0.25">
      <c r="A2072" s="6"/>
      <c r="B2072" s="6"/>
      <c r="C2072" s="6"/>
      <c r="D2072" s="6"/>
      <c r="E2072" s="6"/>
      <c r="F2072" s="21"/>
      <c r="G2072" s="10"/>
      <c r="H2072" s="7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  <c r="Z2072" s="6"/>
      <c r="AA2072" s="6"/>
      <c r="AB2072" s="6"/>
      <c r="AC2072" s="6"/>
      <c r="AD2072" s="6"/>
      <c r="AE2072" s="6"/>
      <c r="AF2072" s="25"/>
      <c r="AG2072" s="7"/>
      <c r="AH2072" s="7"/>
      <c r="AI2072" s="7"/>
      <c r="AJ2072" s="6"/>
      <c r="AK2072" s="6"/>
      <c r="AL2072" s="6"/>
      <c r="AM2072" s="6"/>
      <c r="AN2072" s="6"/>
      <c r="AO2072" s="26"/>
      <c r="AP2072" s="11"/>
      <c r="AQ2072" s="7"/>
      <c r="AS2072" s="11"/>
      <c r="AT2072" s="6"/>
      <c r="AU2072" s="6"/>
      <c r="AW2072" s="7"/>
      <c r="AX2072" s="6"/>
      <c r="AY2072" s="6"/>
      <c r="AZ2072" s="6"/>
      <c r="BA2072" s="6"/>
      <c r="BB2072" s="24"/>
      <c r="BD2072" s="6"/>
      <c r="BE2072" s="6"/>
      <c r="BF2072" s="6"/>
      <c r="BH2072" s="6"/>
      <c r="BI2072" s="6"/>
      <c r="BJ2072" s="6"/>
      <c r="BK2072" s="6"/>
      <c r="BL2072" s="6"/>
      <c r="BM2072" s="6"/>
    </row>
    <row r="2073" spans="1:65" x14ac:dyDescent="0.25">
      <c r="AV2073" s="6"/>
    </row>
    <row r="2074" spans="1:65" x14ac:dyDescent="0.25">
      <c r="I2074" s="7"/>
      <c r="AH2074" s="7"/>
      <c r="AV2074" s="6"/>
    </row>
    <row r="2075" spans="1:65" x14ac:dyDescent="0.25">
      <c r="A2075" s="6"/>
      <c r="B2075" s="6"/>
      <c r="C2075" s="6"/>
      <c r="D2075" s="6"/>
      <c r="E2075" s="6"/>
      <c r="F2075" s="21"/>
      <c r="G2075" s="10"/>
      <c r="H2075" s="7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  <c r="Z2075" s="6"/>
      <c r="AA2075" s="6"/>
      <c r="AB2075" s="6"/>
      <c r="AC2075" s="6"/>
      <c r="AD2075" s="6"/>
      <c r="AE2075" s="6"/>
      <c r="AF2075" s="25"/>
      <c r="AG2075" s="7"/>
      <c r="AH2075" s="7"/>
      <c r="AI2075" s="7"/>
      <c r="AJ2075" s="6"/>
      <c r="AK2075" s="6"/>
      <c r="AL2075" s="6"/>
      <c r="AM2075" s="6"/>
      <c r="AN2075" s="6"/>
      <c r="AO2075" s="26"/>
      <c r="AP2075" s="11"/>
      <c r="AQ2075" s="7"/>
      <c r="AS2075" s="11"/>
      <c r="AT2075" s="6"/>
      <c r="AU2075" s="6"/>
      <c r="AW2075" s="7"/>
      <c r="AX2075" s="6"/>
      <c r="AY2075" s="6"/>
      <c r="AZ2075" s="6"/>
      <c r="BA2075" s="6"/>
      <c r="BB2075" s="24"/>
      <c r="BD2075" s="6"/>
      <c r="BE2075" s="6"/>
      <c r="BF2075" s="6"/>
      <c r="BH2075" s="6"/>
      <c r="BI2075" s="6"/>
      <c r="BJ2075" s="6"/>
      <c r="BK2075" s="6"/>
      <c r="BL2075" s="6"/>
      <c r="BM2075" s="6"/>
    </row>
    <row r="2076" spans="1:65" x14ac:dyDescent="0.25">
      <c r="A2076" s="6"/>
      <c r="B2076" s="6"/>
      <c r="C2076" s="6"/>
      <c r="D2076" s="6"/>
      <c r="E2076" s="6"/>
      <c r="F2076" s="21"/>
      <c r="G2076" s="10"/>
      <c r="H2076" s="7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  <c r="Z2076" s="6"/>
      <c r="AA2076" s="6"/>
      <c r="AB2076" s="6"/>
      <c r="AC2076" s="6"/>
      <c r="AD2076" s="6"/>
      <c r="AE2076" s="6"/>
      <c r="AF2076" s="25"/>
      <c r="AG2076" s="7"/>
      <c r="AH2076" s="7"/>
      <c r="AI2076" s="7"/>
      <c r="AJ2076" s="6"/>
      <c r="AK2076" s="6"/>
      <c r="AL2076" s="6"/>
      <c r="AM2076" s="6"/>
      <c r="AN2076" s="6"/>
      <c r="AO2076" s="26"/>
      <c r="AP2076" s="11"/>
      <c r="AQ2076" s="7"/>
      <c r="AS2076" s="11"/>
      <c r="AT2076" s="6"/>
      <c r="AU2076" s="6"/>
      <c r="AV2076" s="6"/>
      <c r="AW2076" s="7"/>
      <c r="AX2076" s="6"/>
      <c r="AY2076" s="6"/>
      <c r="AZ2076" s="6"/>
      <c r="BA2076" s="6"/>
      <c r="BB2076" s="24"/>
      <c r="BD2076" s="6"/>
      <c r="BE2076" s="6"/>
      <c r="BF2076" s="6"/>
      <c r="BH2076" s="6"/>
      <c r="BI2076" s="6"/>
      <c r="BJ2076" s="6"/>
      <c r="BK2076" s="6"/>
      <c r="BL2076" s="6"/>
      <c r="BM2076" s="6"/>
    </row>
  </sheetData>
  <sortState xmlns:xlrd2="http://schemas.microsoft.com/office/spreadsheetml/2017/richdata2" ref="A2:BM17">
    <sortCondition ref="F2:F17"/>
    <sortCondition ref="AV2:AV17"/>
  </sortState>
  <phoneticPr fontId="1" type="noConversion"/>
  <conditionalFormatting sqref="F2:F11">
    <cfRule type="duplicateValues" dxfId="10" priority="38"/>
  </conditionalFormatting>
  <conditionalFormatting sqref="F12:F979">
    <cfRule type="duplicateValues" dxfId="9" priority="7"/>
  </conditionalFormatting>
  <conditionalFormatting sqref="U980:U1048576 U1">
    <cfRule type="duplicateValues" dxfId="8" priority="27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393F0-4ABD-4391-BD4F-8D702E06846E}">
  <sheetPr codeName="Hoja2"/>
  <dimension ref="A1:BM66"/>
  <sheetViews>
    <sheetView workbookViewId="0">
      <selection sqref="A1:XFD16"/>
    </sheetView>
  </sheetViews>
  <sheetFormatPr baseColWidth="10" defaultRowHeight="15" x14ac:dyDescent="0.25"/>
  <sheetData>
    <row r="1" spans="1:65" x14ac:dyDescent="0.25">
      <c r="A1">
        <v>2</v>
      </c>
      <c r="B1">
        <v>732</v>
      </c>
      <c r="C1">
        <v>1</v>
      </c>
      <c r="D1">
        <v>1</v>
      </c>
      <c r="E1">
        <v>1</v>
      </c>
      <c r="F1" s="29">
        <v>34722600</v>
      </c>
      <c r="G1" s="30">
        <v>34722600</v>
      </c>
      <c r="H1" s="13">
        <v>45548</v>
      </c>
      <c r="I1" s="13">
        <v>45548</v>
      </c>
      <c r="J1">
        <v>41</v>
      </c>
      <c r="K1">
        <v>41</v>
      </c>
      <c r="L1">
        <v>101030</v>
      </c>
      <c r="M1">
        <v>1</v>
      </c>
      <c r="O1" t="b">
        <v>1</v>
      </c>
      <c r="Q1">
        <v>1</v>
      </c>
      <c r="R1">
        <v>94</v>
      </c>
      <c r="S1">
        <v>160001</v>
      </c>
      <c r="T1">
        <v>2</v>
      </c>
      <c r="U1" s="27">
        <v>1006434003</v>
      </c>
      <c r="W1" s="27" t="s">
        <v>1624</v>
      </c>
      <c r="X1" s="27" t="s">
        <v>1625</v>
      </c>
      <c r="Y1" s="27" t="s">
        <v>1626</v>
      </c>
      <c r="Z1" s="27" t="s">
        <v>1627</v>
      </c>
      <c r="AB1" t="s">
        <v>1628</v>
      </c>
      <c r="AC1" s="27">
        <v>76113</v>
      </c>
      <c r="AE1" s="27">
        <v>0</v>
      </c>
      <c r="AF1" s="31">
        <v>10000000</v>
      </c>
      <c r="AG1" s="32">
        <v>45544</v>
      </c>
      <c r="AH1" s="13">
        <v>45368</v>
      </c>
      <c r="AI1" s="13">
        <v>45908</v>
      </c>
      <c r="AJ1">
        <v>1</v>
      </c>
      <c r="AK1" s="27">
        <v>76113</v>
      </c>
      <c r="AL1" t="s">
        <v>1628</v>
      </c>
      <c r="AM1">
        <v>165000</v>
      </c>
      <c r="AN1">
        <v>1</v>
      </c>
      <c r="AO1" s="33">
        <v>8000000</v>
      </c>
      <c r="AP1" s="34">
        <v>8000000</v>
      </c>
      <c r="AQ1" s="13">
        <v>46479</v>
      </c>
      <c r="AR1">
        <v>31</v>
      </c>
      <c r="AS1" s="34">
        <v>8000000</v>
      </c>
      <c r="AT1">
        <v>100</v>
      </c>
      <c r="AU1">
        <v>8000000</v>
      </c>
      <c r="AV1">
        <v>1</v>
      </c>
      <c r="AW1" s="13">
        <v>45567</v>
      </c>
      <c r="AX1" t="s">
        <v>52</v>
      </c>
      <c r="AY1" t="s">
        <v>65</v>
      </c>
      <c r="AZ1" t="s">
        <v>65</v>
      </c>
      <c r="BA1">
        <v>5</v>
      </c>
      <c r="BB1" s="14">
        <v>22.03</v>
      </c>
      <c r="BC1">
        <v>258050</v>
      </c>
      <c r="BD1">
        <v>0</v>
      </c>
      <c r="BE1">
        <v>0</v>
      </c>
      <c r="BF1">
        <v>4500000</v>
      </c>
      <c r="BG1" s="13"/>
    </row>
    <row r="2" spans="1:65" x14ac:dyDescent="0.25">
      <c r="A2">
        <v>2</v>
      </c>
      <c r="B2">
        <v>732</v>
      </c>
      <c r="C2">
        <v>1</v>
      </c>
      <c r="D2">
        <v>1</v>
      </c>
      <c r="E2">
        <v>1</v>
      </c>
      <c r="F2" s="29">
        <v>34692942</v>
      </c>
      <c r="G2" s="30">
        <v>34692942</v>
      </c>
      <c r="H2" s="13">
        <v>45548</v>
      </c>
      <c r="I2" s="13">
        <v>45548</v>
      </c>
      <c r="J2">
        <v>41</v>
      </c>
      <c r="K2">
        <v>41</v>
      </c>
      <c r="L2">
        <v>101030</v>
      </c>
      <c r="M2">
        <v>1</v>
      </c>
      <c r="O2" t="b">
        <v>1</v>
      </c>
      <c r="Q2">
        <v>1</v>
      </c>
      <c r="R2">
        <v>94</v>
      </c>
      <c r="S2">
        <v>160001</v>
      </c>
      <c r="T2">
        <v>2</v>
      </c>
      <c r="U2" s="27">
        <v>1048268326</v>
      </c>
      <c r="W2" s="27" t="s">
        <v>1629</v>
      </c>
      <c r="X2" s="27" t="s">
        <v>1630</v>
      </c>
      <c r="Y2" s="27" t="s">
        <v>1631</v>
      </c>
      <c r="Z2" s="27" t="s">
        <v>1622</v>
      </c>
      <c r="AB2" t="s">
        <v>1632</v>
      </c>
      <c r="AC2" s="27">
        <v>8433</v>
      </c>
      <c r="AE2" s="27">
        <v>0</v>
      </c>
      <c r="AF2" s="31">
        <v>76500000</v>
      </c>
      <c r="AG2" s="32">
        <v>45544</v>
      </c>
      <c r="AH2" s="13">
        <v>45368</v>
      </c>
      <c r="AI2" s="13">
        <v>45908</v>
      </c>
      <c r="AJ2">
        <v>1</v>
      </c>
      <c r="AK2" s="27">
        <v>8433</v>
      </c>
      <c r="AL2" t="s">
        <v>1632</v>
      </c>
      <c r="AM2">
        <v>165000</v>
      </c>
      <c r="AN2">
        <v>1</v>
      </c>
      <c r="AO2" s="33">
        <v>6000000</v>
      </c>
      <c r="AP2" s="34">
        <v>6000000</v>
      </c>
      <c r="AQ2" s="13">
        <v>46300</v>
      </c>
      <c r="AR2">
        <v>25</v>
      </c>
      <c r="AS2" s="34">
        <v>6000000</v>
      </c>
      <c r="AT2">
        <v>100</v>
      </c>
      <c r="AU2">
        <v>6000000</v>
      </c>
      <c r="AV2">
        <v>1</v>
      </c>
      <c r="AW2" s="13">
        <v>45570</v>
      </c>
      <c r="AX2" t="s">
        <v>52</v>
      </c>
      <c r="AY2" t="s">
        <v>65</v>
      </c>
      <c r="AZ2" t="s">
        <v>65</v>
      </c>
      <c r="BA2">
        <v>5</v>
      </c>
      <c r="BB2" s="14">
        <v>24.26</v>
      </c>
      <c r="BC2">
        <v>240000</v>
      </c>
      <c r="BD2">
        <v>0</v>
      </c>
      <c r="BE2">
        <v>0</v>
      </c>
      <c r="BF2">
        <v>5000000</v>
      </c>
      <c r="BG2" s="13"/>
    </row>
    <row r="3" spans="1:65" x14ac:dyDescent="0.25">
      <c r="A3" s="6">
        <v>2</v>
      </c>
      <c r="B3" s="6">
        <v>732</v>
      </c>
      <c r="C3" s="6">
        <v>1</v>
      </c>
      <c r="D3" s="6">
        <v>1</v>
      </c>
      <c r="E3" s="6">
        <v>1</v>
      </c>
      <c r="F3" s="21">
        <v>34723343</v>
      </c>
      <c r="G3" s="10">
        <v>34723343</v>
      </c>
      <c r="H3" s="7">
        <v>45548</v>
      </c>
      <c r="I3" s="7">
        <v>45548</v>
      </c>
      <c r="J3" s="6">
        <v>41</v>
      </c>
      <c r="K3" s="6">
        <v>41</v>
      </c>
      <c r="L3" s="6">
        <v>101030</v>
      </c>
      <c r="M3" s="6">
        <v>1</v>
      </c>
      <c r="N3" s="6"/>
      <c r="O3" s="6" t="b">
        <v>1</v>
      </c>
      <c r="P3" s="6"/>
      <c r="Q3" s="6">
        <v>1</v>
      </c>
      <c r="R3" s="6">
        <v>94</v>
      </c>
      <c r="S3" s="6">
        <v>160001</v>
      </c>
      <c r="T3" s="6">
        <v>2</v>
      </c>
      <c r="U3" s="16">
        <v>1085915870</v>
      </c>
      <c r="V3" s="6"/>
      <c r="W3" s="16" t="s">
        <v>1633</v>
      </c>
      <c r="X3" s="16" t="s">
        <v>1634</v>
      </c>
      <c r="Y3" s="16" t="s">
        <v>1635</v>
      </c>
      <c r="Z3" s="16" t="s">
        <v>1636</v>
      </c>
      <c r="AA3" s="6"/>
      <c r="AB3" s="6" t="s">
        <v>1637</v>
      </c>
      <c r="AC3" s="16">
        <v>52356</v>
      </c>
      <c r="AD3" s="6"/>
      <c r="AE3" s="16">
        <v>0</v>
      </c>
      <c r="AF3" s="22">
        <v>17700000</v>
      </c>
      <c r="AG3" s="18">
        <v>45547</v>
      </c>
      <c r="AH3" s="7">
        <v>45368</v>
      </c>
      <c r="AI3" s="7">
        <v>45908</v>
      </c>
      <c r="AJ3" s="6">
        <v>1</v>
      </c>
      <c r="AK3" s="16">
        <v>52356</v>
      </c>
      <c r="AL3" s="6" t="s">
        <v>1637</v>
      </c>
      <c r="AM3" s="6">
        <v>165000</v>
      </c>
      <c r="AN3" s="6">
        <v>1</v>
      </c>
      <c r="AO3" s="23">
        <v>10000000</v>
      </c>
      <c r="AP3" s="17">
        <v>10000000</v>
      </c>
      <c r="AQ3" s="7">
        <v>46300</v>
      </c>
      <c r="AR3">
        <v>25</v>
      </c>
      <c r="AS3" s="17">
        <v>10000000</v>
      </c>
      <c r="AT3" s="6">
        <v>100</v>
      </c>
      <c r="AU3" s="6">
        <v>10000000</v>
      </c>
      <c r="AV3" s="6">
        <v>1</v>
      </c>
      <c r="AW3" s="7">
        <v>45570</v>
      </c>
      <c r="AX3" s="6" t="s">
        <v>52</v>
      </c>
      <c r="AY3" s="6" t="s">
        <v>65</v>
      </c>
      <c r="AZ3" s="6" t="s">
        <v>65</v>
      </c>
      <c r="BA3" s="6">
        <v>5</v>
      </c>
      <c r="BB3" s="24">
        <v>22.03</v>
      </c>
      <c r="BC3">
        <v>400000</v>
      </c>
      <c r="BD3" s="6">
        <v>0</v>
      </c>
      <c r="BE3" s="6">
        <v>0</v>
      </c>
      <c r="BF3" s="6">
        <v>19000000</v>
      </c>
      <c r="BG3" s="13"/>
    </row>
    <row r="4" spans="1:65" x14ac:dyDescent="0.25">
      <c r="A4">
        <v>2</v>
      </c>
      <c r="B4">
        <v>732</v>
      </c>
      <c r="C4">
        <v>1</v>
      </c>
      <c r="D4">
        <v>1</v>
      </c>
      <c r="E4">
        <v>1</v>
      </c>
      <c r="F4" s="29">
        <v>34716513</v>
      </c>
      <c r="G4" s="30">
        <v>34716513</v>
      </c>
      <c r="H4" s="13">
        <v>45548</v>
      </c>
      <c r="I4" s="13">
        <v>45548</v>
      </c>
      <c r="J4">
        <v>41</v>
      </c>
      <c r="K4">
        <v>41</v>
      </c>
      <c r="L4">
        <v>101030</v>
      </c>
      <c r="M4">
        <v>1</v>
      </c>
      <c r="O4" t="b">
        <v>1</v>
      </c>
      <c r="Q4">
        <v>1</v>
      </c>
      <c r="R4">
        <v>94</v>
      </c>
      <c r="S4">
        <v>160001</v>
      </c>
      <c r="T4">
        <v>2</v>
      </c>
      <c r="U4" s="27">
        <v>11386799</v>
      </c>
      <c r="W4" s="27" t="s">
        <v>1638</v>
      </c>
      <c r="X4" s="27" t="s">
        <v>1639</v>
      </c>
      <c r="Y4" s="27" t="s">
        <v>1640</v>
      </c>
      <c r="Z4" s="27" t="s">
        <v>1641</v>
      </c>
      <c r="AB4" t="s">
        <v>1642</v>
      </c>
      <c r="AC4" s="27">
        <v>25386</v>
      </c>
      <c r="AE4" s="27">
        <v>0</v>
      </c>
      <c r="AF4" s="31">
        <v>82400000</v>
      </c>
      <c r="AG4" s="32">
        <v>45546</v>
      </c>
      <c r="AH4" s="13">
        <v>45368</v>
      </c>
      <c r="AI4" s="13">
        <v>45908</v>
      </c>
      <c r="AJ4">
        <v>1</v>
      </c>
      <c r="AK4" s="27">
        <v>25386</v>
      </c>
      <c r="AL4" t="s">
        <v>1642</v>
      </c>
      <c r="AM4">
        <v>165000</v>
      </c>
      <c r="AN4">
        <v>1</v>
      </c>
      <c r="AO4" s="33">
        <v>5000000</v>
      </c>
      <c r="AP4" s="34">
        <v>5000000</v>
      </c>
      <c r="AQ4" s="13">
        <v>46305</v>
      </c>
      <c r="AR4">
        <v>25</v>
      </c>
      <c r="AS4" s="34">
        <v>5000000</v>
      </c>
      <c r="AT4">
        <v>100</v>
      </c>
      <c r="AU4">
        <v>5000000</v>
      </c>
      <c r="AV4">
        <v>1</v>
      </c>
      <c r="AW4" s="13">
        <v>45575</v>
      </c>
      <c r="AX4" t="s">
        <v>52</v>
      </c>
      <c r="AY4" t="s">
        <v>65</v>
      </c>
      <c r="AZ4" t="s">
        <v>65</v>
      </c>
      <c r="BA4">
        <v>5</v>
      </c>
      <c r="BB4" s="14">
        <v>27.16</v>
      </c>
      <c r="BC4">
        <v>200000</v>
      </c>
      <c r="BD4">
        <v>0</v>
      </c>
      <c r="BE4">
        <v>0</v>
      </c>
      <c r="BF4">
        <v>15000000</v>
      </c>
    </row>
    <row r="5" spans="1:65" x14ac:dyDescent="0.25">
      <c r="A5">
        <v>2</v>
      </c>
      <c r="B5">
        <v>732</v>
      </c>
      <c r="C5">
        <v>1</v>
      </c>
      <c r="D5">
        <v>1</v>
      </c>
      <c r="E5">
        <v>1</v>
      </c>
      <c r="F5" s="29">
        <v>34724967</v>
      </c>
      <c r="G5" s="30">
        <v>34724967</v>
      </c>
      <c r="H5" s="13">
        <v>45548</v>
      </c>
      <c r="I5" s="13">
        <v>45548</v>
      </c>
      <c r="J5">
        <v>41</v>
      </c>
      <c r="K5">
        <v>41</v>
      </c>
      <c r="L5">
        <v>101030</v>
      </c>
      <c r="M5">
        <v>1</v>
      </c>
      <c r="O5" t="b">
        <v>1</v>
      </c>
      <c r="Q5">
        <v>1</v>
      </c>
      <c r="R5">
        <v>94</v>
      </c>
      <c r="S5">
        <v>160001</v>
      </c>
      <c r="T5">
        <v>2</v>
      </c>
      <c r="U5" s="27">
        <v>19471369</v>
      </c>
      <c r="W5" s="27" t="s">
        <v>1643</v>
      </c>
      <c r="X5" s="27" t="s">
        <v>1644</v>
      </c>
      <c r="Y5" s="27" t="s">
        <v>1645</v>
      </c>
      <c r="Z5" s="27" t="s">
        <v>1646</v>
      </c>
      <c r="AB5" t="s">
        <v>1647</v>
      </c>
      <c r="AC5" s="27">
        <v>73275</v>
      </c>
      <c r="AE5" s="27">
        <v>0</v>
      </c>
      <c r="AF5" s="31">
        <v>8800000</v>
      </c>
      <c r="AG5" s="32">
        <v>45546</v>
      </c>
      <c r="AH5" s="13">
        <v>45368</v>
      </c>
      <c r="AI5" s="13">
        <v>45908</v>
      </c>
      <c r="AJ5">
        <v>1</v>
      </c>
      <c r="AK5" s="27">
        <v>73275</v>
      </c>
      <c r="AL5" t="s">
        <v>1647</v>
      </c>
      <c r="AM5">
        <v>165000</v>
      </c>
      <c r="AN5">
        <v>1</v>
      </c>
      <c r="AO5" s="33">
        <v>2500000</v>
      </c>
      <c r="AP5" s="34">
        <v>2500000</v>
      </c>
      <c r="AQ5" s="13">
        <v>45942</v>
      </c>
      <c r="AR5">
        <v>13</v>
      </c>
      <c r="AS5" s="34">
        <v>2500000</v>
      </c>
      <c r="AT5">
        <v>100</v>
      </c>
      <c r="AU5">
        <v>2500000</v>
      </c>
      <c r="AV5">
        <v>1</v>
      </c>
      <c r="AW5" s="13">
        <v>45577</v>
      </c>
      <c r="AX5" t="s">
        <v>52</v>
      </c>
      <c r="AY5" t="s">
        <v>65</v>
      </c>
      <c r="AZ5" t="s">
        <v>65</v>
      </c>
      <c r="BA5">
        <v>5</v>
      </c>
      <c r="BB5" s="14">
        <v>27.16</v>
      </c>
      <c r="BC5">
        <v>192304</v>
      </c>
      <c r="BD5">
        <v>0</v>
      </c>
      <c r="BE5">
        <v>0</v>
      </c>
      <c r="BF5">
        <v>7000000</v>
      </c>
      <c r="BG5" s="13"/>
    </row>
    <row r="6" spans="1:65" x14ac:dyDescent="0.25">
      <c r="A6" s="6">
        <v>2</v>
      </c>
      <c r="B6" s="6">
        <v>732</v>
      </c>
      <c r="C6" s="6">
        <v>1</v>
      </c>
      <c r="D6" s="6">
        <v>1</v>
      </c>
      <c r="E6" s="6">
        <v>1</v>
      </c>
      <c r="F6" s="21">
        <v>34728574</v>
      </c>
      <c r="G6" s="10">
        <v>34728574</v>
      </c>
      <c r="H6" s="7">
        <v>45548</v>
      </c>
      <c r="I6" s="13">
        <v>45548</v>
      </c>
      <c r="J6" s="6">
        <v>41</v>
      </c>
      <c r="K6" s="6">
        <v>41</v>
      </c>
      <c r="L6" s="6">
        <v>101030</v>
      </c>
      <c r="M6" s="6">
        <v>1</v>
      </c>
      <c r="N6" s="6"/>
      <c r="O6" s="6" t="b">
        <v>1</v>
      </c>
      <c r="P6" s="6"/>
      <c r="Q6" s="6">
        <v>1</v>
      </c>
      <c r="R6" s="6">
        <v>94</v>
      </c>
      <c r="S6" s="6">
        <v>160001</v>
      </c>
      <c r="T6" s="6">
        <v>2</v>
      </c>
      <c r="U6" s="16">
        <v>1093740753</v>
      </c>
      <c r="V6" s="6"/>
      <c r="W6" s="16" t="s">
        <v>1648</v>
      </c>
      <c r="X6" s="16" t="s">
        <v>1639</v>
      </c>
      <c r="Y6" s="16" t="s">
        <v>1649</v>
      </c>
      <c r="Z6" s="16" t="s">
        <v>1650</v>
      </c>
      <c r="AA6" s="6"/>
      <c r="AB6" s="6" t="s">
        <v>1651</v>
      </c>
      <c r="AC6" s="16">
        <v>54405</v>
      </c>
      <c r="AD6" s="6"/>
      <c r="AE6" s="16">
        <v>0</v>
      </c>
      <c r="AF6" s="22">
        <v>10720000</v>
      </c>
      <c r="AG6" s="18">
        <v>45547</v>
      </c>
      <c r="AH6" s="7">
        <v>45368</v>
      </c>
      <c r="AI6" s="7">
        <v>45908</v>
      </c>
      <c r="AJ6" s="6">
        <v>1</v>
      </c>
      <c r="AK6" s="16">
        <v>54405</v>
      </c>
      <c r="AL6" s="6" t="s">
        <v>1651</v>
      </c>
      <c r="AM6" s="6">
        <v>165000</v>
      </c>
      <c r="AN6" s="6">
        <v>1</v>
      </c>
      <c r="AO6" s="23">
        <v>8000000</v>
      </c>
      <c r="AP6" s="17">
        <v>8000000</v>
      </c>
      <c r="AQ6" s="7">
        <v>46301</v>
      </c>
      <c r="AR6">
        <v>25</v>
      </c>
      <c r="AS6" s="17">
        <v>8000000</v>
      </c>
      <c r="AT6" s="6">
        <v>100</v>
      </c>
      <c r="AU6" s="6">
        <v>8000000</v>
      </c>
      <c r="AV6" s="6">
        <v>1</v>
      </c>
      <c r="AW6" s="7">
        <v>45571</v>
      </c>
      <c r="AX6" s="6" t="s">
        <v>52</v>
      </c>
      <c r="AY6" s="6" t="s">
        <v>65</v>
      </c>
      <c r="AZ6" s="6" t="s">
        <v>65</v>
      </c>
      <c r="BA6" s="6">
        <v>5</v>
      </c>
      <c r="BB6" s="24">
        <v>22.03</v>
      </c>
      <c r="BC6">
        <v>320000</v>
      </c>
      <c r="BD6" s="6">
        <v>0</v>
      </c>
      <c r="BE6" s="6">
        <v>0</v>
      </c>
      <c r="BF6" s="6">
        <v>7000000</v>
      </c>
      <c r="BH6" s="6"/>
      <c r="BI6" s="6"/>
      <c r="BJ6" s="6"/>
      <c r="BK6" s="6"/>
      <c r="BL6" s="6"/>
      <c r="BM6" s="6"/>
    </row>
    <row r="7" spans="1:65" x14ac:dyDescent="0.25">
      <c r="A7">
        <v>2</v>
      </c>
      <c r="B7">
        <v>732</v>
      </c>
      <c r="C7">
        <v>1</v>
      </c>
      <c r="D7">
        <v>1</v>
      </c>
      <c r="E7">
        <v>1</v>
      </c>
      <c r="F7">
        <v>34722748</v>
      </c>
      <c r="G7">
        <v>34722748</v>
      </c>
      <c r="H7" s="13">
        <v>45548</v>
      </c>
      <c r="I7" s="13">
        <v>45548</v>
      </c>
      <c r="J7">
        <v>41</v>
      </c>
      <c r="K7">
        <v>41</v>
      </c>
      <c r="L7">
        <v>101030</v>
      </c>
      <c r="M7">
        <v>1</v>
      </c>
      <c r="O7" t="b">
        <v>1</v>
      </c>
      <c r="Q7">
        <v>1</v>
      </c>
      <c r="R7">
        <v>94</v>
      </c>
      <c r="S7">
        <v>160001</v>
      </c>
      <c r="T7">
        <v>2</v>
      </c>
      <c r="U7" s="27">
        <v>24717216</v>
      </c>
      <c r="V7" s="14"/>
      <c r="W7" s="27" t="s">
        <v>1652</v>
      </c>
      <c r="X7" s="27" t="s">
        <v>1621</v>
      </c>
      <c r="Y7" s="27" t="s">
        <v>1653</v>
      </c>
      <c r="Z7" s="27" t="s">
        <v>1623</v>
      </c>
      <c r="AB7" t="s">
        <v>1654</v>
      </c>
      <c r="AC7" s="27">
        <v>17380</v>
      </c>
      <c r="AE7" s="27">
        <v>0</v>
      </c>
      <c r="AF7" s="27">
        <v>15000000</v>
      </c>
      <c r="AG7" s="28">
        <v>45546</v>
      </c>
      <c r="AH7" s="15">
        <v>45368</v>
      </c>
      <c r="AI7" s="15">
        <v>45908</v>
      </c>
      <c r="AJ7">
        <v>1</v>
      </c>
      <c r="AK7" s="27">
        <v>17380</v>
      </c>
      <c r="AL7" t="s">
        <v>1654</v>
      </c>
      <c r="AM7">
        <v>165000</v>
      </c>
      <c r="AN7">
        <v>1</v>
      </c>
      <c r="AO7" s="27">
        <v>4800000</v>
      </c>
      <c r="AP7" s="27">
        <v>4800000</v>
      </c>
      <c r="AQ7" s="15">
        <v>45749</v>
      </c>
      <c r="AR7">
        <v>7</v>
      </c>
      <c r="AS7" s="27">
        <v>4800000</v>
      </c>
      <c r="AT7">
        <v>100</v>
      </c>
      <c r="AU7">
        <v>4800000</v>
      </c>
      <c r="AV7" s="6">
        <v>1</v>
      </c>
      <c r="AW7" s="13">
        <v>45567</v>
      </c>
      <c r="AX7" t="s">
        <v>52</v>
      </c>
      <c r="AY7" t="s">
        <v>65</v>
      </c>
      <c r="AZ7" t="s">
        <v>65</v>
      </c>
      <c r="BA7">
        <v>5</v>
      </c>
      <c r="BB7">
        <v>24.26</v>
      </c>
      <c r="BC7">
        <v>685716</v>
      </c>
      <c r="BD7">
        <v>0</v>
      </c>
      <c r="BE7">
        <v>0</v>
      </c>
      <c r="BF7">
        <v>14000000</v>
      </c>
    </row>
    <row r="8" spans="1:65" x14ac:dyDescent="0.25">
      <c r="A8" s="6">
        <v>2</v>
      </c>
      <c r="B8" s="6">
        <v>732</v>
      </c>
      <c r="C8" s="6">
        <v>1</v>
      </c>
      <c r="D8" s="6">
        <v>1</v>
      </c>
      <c r="E8" s="6">
        <v>1</v>
      </c>
      <c r="F8" s="21">
        <v>34713866</v>
      </c>
      <c r="G8" s="10">
        <v>34713866</v>
      </c>
      <c r="H8" s="7">
        <v>45548</v>
      </c>
      <c r="I8" s="13">
        <v>45548</v>
      </c>
      <c r="J8" s="6">
        <v>41</v>
      </c>
      <c r="K8" s="6">
        <v>41</v>
      </c>
      <c r="L8" s="6">
        <v>101030</v>
      </c>
      <c r="M8" s="6">
        <v>1</v>
      </c>
      <c r="N8" s="6"/>
      <c r="O8" s="6" t="b">
        <v>1</v>
      </c>
      <c r="P8" s="6"/>
      <c r="Q8" s="6">
        <v>1</v>
      </c>
      <c r="R8" s="6">
        <v>94</v>
      </c>
      <c r="S8" s="6">
        <v>160001</v>
      </c>
      <c r="T8" s="6">
        <v>2</v>
      </c>
      <c r="U8" s="16">
        <v>1073816774</v>
      </c>
      <c r="V8" s="6"/>
      <c r="W8" s="16" t="s">
        <v>1655</v>
      </c>
      <c r="X8" s="16" t="s">
        <v>1656</v>
      </c>
      <c r="Y8" s="16" t="s">
        <v>1649</v>
      </c>
      <c r="Z8" s="16" t="s">
        <v>1657</v>
      </c>
      <c r="AA8" s="6"/>
      <c r="AB8" s="6" t="s">
        <v>1658</v>
      </c>
      <c r="AC8" s="16">
        <v>23162</v>
      </c>
      <c r="AD8" s="6"/>
      <c r="AE8" s="16">
        <v>0</v>
      </c>
      <c r="AF8" s="22">
        <v>9600000</v>
      </c>
      <c r="AG8" s="18">
        <v>45546</v>
      </c>
      <c r="AH8" s="7">
        <v>45368</v>
      </c>
      <c r="AI8" s="7">
        <v>45908</v>
      </c>
      <c r="AJ8" s="6">
        <v>1</v>
      </c>
      <c r="AK8" s="16">
        <v>23162</v>
      </c>
      <c r="AL8" s="6" t="s">
        <v>1658</v>
      </c>
      <c r="AM8" s="6">
        <v>165000</v>
      </c>
      <c r="AN8" s="6">
        <v>1</v>
      </c>
      <c r="AO8" s="23">
        <v>4000000</v>
      </c>
      <c r="AP8" s="17">
        <v>4000000</v>
      </c>
      <c r="AQ8" s="7">
        <v>46058</v>
      </c>
      <c r="AR8">
        <v>17</v>
      </c>
      <c r="AS8" s="17">
        <v>4000000</v>
      </c>
      <c r="AT8" s="6">
        <v>100</v>
      </c>
      <c r="AU8" s="6">
        <v>4000000</v>
      </c>
      <c r="AV8" s="6">
        <v>1</v>
      </c>
      <c r="AW8" s="7">
        <v>45570</v>
      </c>
      <c r="AX8" s="6" t="s">
        <v>52</v>
      </c>
      <c r="AY8" s="6" t="s">
        <v>65</v>
      </c>
      <c r="AZ8" s="6" t="s">
        <v>65</v>
      </c>
      <c r="BA8" s="6">
        <v>5</v>
      </c>
      <c r="BB8" s="24">
        <v>24.26</v>
      </c>
      <c r="BC8">
        <v>235296</v>
      </c>
      <c r="BD8" s="6">
        <v>0</v>
      </c>
      <c r="BE8" s="6">
        <v>0</v>
      </c>
      <c r="BF8" s="6">
        <v>9000000</v>
      </c>
      <c r="BH8" s="6"/>
      <c r="BI8" s="6"/>
      <c r="BJ8" s="6"/>
      <c r="BK8" s="6"/>
      <c r="BL8" s="6"/>
      <c r="BM8" s="6"/>
    </row>
    <row r="9" spans="1:65" x14ac:dyDescent="0.25">
      <c r="A9">
        <v>2</v>
      </c>
      <c r="B9">
        <v>732</v>
      </c>
      <c r="C9">
        <v>1</v>
      </c>
      <c r="D9">
        <v>1</v>
      </c>
      <c r="E9">
        <v>1</v>
      </c>
      <c r="F9" s="29">
        <v>34722600</v>
      </c>
      <c r="G9" s="30">
        <v>34722600</v>
      </c>
      <c r="H9" s="13">
        <v>45548</v>
      </c>
      <c r="I9" s="13">
        <v>45548</v>
      </c>
      <c r="J9">
        <v>41</v>
      </c>
      <c r="K9">
        <v>41</v>
      </c>
      <c r="L9">
        <v>101030</v>
      </c>
      <c r="M9">
        <v>1</v>
      </c>
      <c r="O9" t="b">
        <v>1</v>
      </c>
      <c r="Q9">
        <v>1</v>
      </c>
      <c r="R9">
        <v>94</v>
      </c>
      <c r="S9">
        <v>160001</v>
      </c>
      <c r="T9">
        <v>2</v>
      </c>
      <c r="U9" s="27">
        <v>1006434003</v>
      </c>
      <c r="W9" s="27" t="s">
        <v>1624</v>
      </c>
      <c r="X9" s="27" t="s">
        <v>1625</v>
      </c>
      <c r="Y9" s="27" t="s">
        <v>1626</v>
      </c>
      <c r="Z9" s="27" t="s">
        <v>1627</v>
      </c>
      <c r="AB9" t="s">
        <v>1628</v>
      </c>
      <c r="AC9" s="27">
        <v>76113</v>
      </c>
      <c r="AE9" s="27">
        <v>0</v>
      </c>
      <c r="AF9" s="31">
        <v>10000000</v>
      </c>
      <c r="AG9" s="32">
        <v>45544</v>
      </c>
      <c r="AH9" s="13">
        <v>45368</v>
      </c>
      <c r="AI9" s="13">
        <v>45908</v>
      </c>
      <c r="AJ9">
        <v>1</v>
      </c>
      <c r="AK9" s="27">
        <v>76113</v>
      </c>
      <c r="AL9" t="s">
        <v>1628</v>
      </c>
      <c r="AM9">
        <v>165000</v>
      </c>
      <c r="AN9">
        <v>1</v>
      </c>
      <c r="AO9" s="33">
        <v>8000000</v>
      </c>
      <c r="AP9" s="34">
        <v>8000000</v>
      </c>
      <c r="AQ9" s="13">
        <v>46479</v>
      </c>
      <c r="AR9">
        <v>31</v>
      </c>
      <c r="AS9" s="34">
        <v>8000000</v>
      </c>
      <c r="AT9">
        <v>100</v>
      </c>
      <c r="AU9">
        <v>8000000</v>
      </c>
      <c r="AV9">
        <v>2</v>
      </c>
      <c r="AW9" s="13">
        <v>46479</v>
      </c>
      <c r="AX9" t="s">
        <v>52</v>
      </c>
      <c r="AY9" t="s">
        <v>1620</v>
      </c>
      <c r="AZ9" t="s">
        <v>1620</v>
      </c>
      <c r="BA9">
        <v>5</v>
      </c>
      <c r="BB9" s="14">
        <v>22.03</v>
      </c>
      <c r="BC9">
        <v>258065</v>
      </c>
      <c r="BD9">
        <v>0</v>
      </c>
      <c r="BE9">
        <v>0</v>
      </c>
      <c r="BF9">
        <v>4500000</v>
      </c>
      <c r="BH9" s="6"/>
      <c r="BI9" s="6"/>
      <c r="BJ9" s="6"/>
      <c r="BK9" s="6"/>
      <c r="BL9" s="6"/>
      <c r="BM9" s="6"/>
    </row>
    <row r="10" spans="1:65" x14ac:dyDescent="0.25">
      <c r="A10">
        <v>2</v>
      </c>
      <c r="B10">
        <v>732</v>
      </c>
      <c r="C10">
        <v>1</v>
      </c>
      <c r="D10">
        <v>1</v>
      </c>
      <c r="E10">
        <v>1</v>
      </c>
      <c r="F10" s="29">
        <v>34692942</v>
      </c>
      <c r="G10" s="30">
        <v>34692942</v>
      </c>
      <c r="H10" s="13">
        <v>45548</v>
      </c>
      <c r="I10" s="13">
        <v>45548</v>
      </c>
      <c r="J10">
        <v>41</v>
      </c>
      <c r="K10">
        <v>41</v>
      </c>
      <c r="L10">
        <v>101030</v>
      </c>
      <c r="M10">
        <v>1</v>
      </c>
      <c r="O10" t="b">
        <v>1</v>
      </c>
      <c r="Q10">
        <v>1</v>
      </c>
      <c r="R10">
        <v>94</v>
      </c>
      <c r="S10">
        <v>160001</v>
      </c>
      <c r="T10">
        <v>2</v>
      </c>
      <c r="U10" s="27">
        <v>1048268326</v>
      </c>
      <c r="W10" s="27" t="s">
        <v>1629</v>
      </c>
      <c r="X10" s="27" t="s">
        <v>1630</v>
      </c>
      <c r="Y10" s="27" t="s">
        <v>1631</v>
      </c>
      <c r="Z10" s="27" t="s">
        <v>1622</v>
      </c>
      <c r="AB10" t="s">
        <v>1632</v>
      </c>
      <c r="AC10" s="27">
        <v>8433</v>
      </c>
      <c r="AE10" s="27">
        <v>0</v>
      </c>
      <c r="AF10" s="31">
        <v>76500000</v>
      </c>
      <c r="AG10" s="32">
        <v>45544</v>
      </c>
      <c r="AH10" s="13">
        <v>45368</v>
      </c>
      <c r="AI10" s="13">
        <v>45908</v>
      </c>
      <c r="AJ10">
        <v>1</v>
      </c>
      <c r="AK10" s="27">
        <v>8433</v>
      </c>
      <c r="AL10" t="s">
        <v>1632</v>
      </c>
      <c r="AM10">
        <v>165000</v>
      </c>
      <c r="AN10">
        <v>1</v>
      </c>
      <c r="AO10" s="33">
        <v>6000000</v>
      </c>
      <c r="AP10" s="34">
        <v>6000000</v>
      </c>
      <c r="AQ10" s="13">
        <v>46300</v>
      </c>
      <c r="AR10">
        <v>25</v>
      </c>
      <c r="AS10" s="34">
        <v>6000000</v>
      </c>
      <c r="AT10">
        <v>100</v>
      </c>
      <c r="AU10">
        <v>6000000</v>
      </c>
      <c r="AV10">
        <v>2</v>
      </c>
      <c r="AW10" s="13">
        <v>46300</v>
      </c>
      <c r="AX10" t="s">
        <v>52</v>
      </c>
      <c r="AY10" t="s">
        <v>1620</v>
      </c>
      <c r="AZ10" t="s">
        <v>1620</v>
      </c>
      <c r="BA10">
        <v>5</v>
      </c>
      <c r="BB10" s="14">
        <v>24.26</v>
      </c>
      <c r="BC10">
        <v>240000</v>
      </c>
      <c r="BD10">
        <v>0</v>
      </c>
      <c r="BE10">
        <v>0</v>
      </c>
      <c r="BF10">
        <v>5000000</v>
      </c>
      <c r="BG10" s="13"/>
    </row>
    <row r="11" spans="1:65" s="6" customFormat="1" x14ac:dyDescent="0.25">
      <c r="A11">
        <v>2</v>
      </c>
      <c r="B11">
        <v>732</v>
      </c>
      <c r="C11">
        <v>1</v>
      </c>
      <c r="D11">
        <v>1</v>
      </c>
      <c r="E11">
        <v>1</v>
      </c>
      <c r="F11" s="29">
        <v>34723343</v>
      </c>
      <c r="G11" s="30">
        <v>34723343</v>
      </c>
      <c r="H11" s="13">
        <v>45548</v>
      </c>
      <c r="I11" s="13">
        <v>45548</v>
      </c>
      <c r="J11">
        <v>41</v>
      </c>
      <c r="K11">
        <v>41</v>
      </c>
      <c r="L11">
        <v>101030</v>
      </c>
      <c r="M11">
        <v>1</v>
      </c>
      <c r="N11"/>
      <c r="O11" t="b">
        <v>1</v>
      </c>
      <c r="P11"/>
      <c r="Q11">
        <v>1</v>
      </c>
      <c r="R11">
        <v>94</v>
      </c>
      <c r="S11">
        <v>160001</v>
      </c>
      <c r="T11">
        <v>2</v>
      </c>
      <c r="U11" s="27">
        <v>1085915870</v>
      </c>
      <c r="V11"/>
      <c r="W11" s="27" t="s">
        <v>1633</v>
      </c>
      <c r="X11" s="27" t="s">
        <v>1634</v>
      </c>
      <c r="Y11" s="27" t="s">
        <v>1635</v>
      </c>
      <c r="Z11" s="27" t="s">
        <v>1636</v>
      </c>
      <c r="AA11"/>
      <c r="AB11" t="s">
        <v>1637</v>
      </c>
      <c r="AC11" s="27">
        <v>52356</v>
      </c>
      <c r="AD11"/>
      <c r="AE11" s="27">
        <v>0</v>
      </c>
      <c r="AF11" s="31">
        <v>17700000</v>
      </c>
      <c r="AG11" s="32">
        <v>45547</v>
      </c>
      <c r="AH11" s="13">
        <v>45368</v>
      </c>
      <c r="AI11" s="13">
        <v>45908</v>
      </c>
      <c r="AJ11">
        <v>1</v>
      </c>
      <c r="AK11" s="27">
        <v>52356</v>
      </c>
      <c r="AL11" t="s">
        <v>1637</v>
      </c>
      <c r="AM11">
        <v>165000</v>
      </c>
      <c r="AN11">
        <v>1</v>
      </c>
      <c r="AO11" s="33">
        <v>10000000</v>
      </c>
      <c r="AP11" s="34">
        <v>10000000</v>
      </c>
      <c r="AQ11" s="13">
        <v>46300</v>
      </c>
      <c r="AR11">
        <v>25</v>
      </c>
      <c r="AS11" s="34">
        <v>10000000</v>
      </c>
      <c r="AT11">
        <v>100</v>
      </c>
      <c r="AU11">
        <v>10000000</v>
      </c>
      <c r="AV11">
        <v>2</v>
      </c>
      <c r="AW11" s="13">
        <v>46300</v>
      </c>
      <c r="AX11" t="s">
        <v>52</v>
      </c>
      <c r="AY11" t="s">
        <v>1620</v>
      </c>
      <c r="AZ11" t="s">
        <v>1620</v>
      </c>
      <c r="BA11">
        <v>5</v>
      </c>
      <c r="BB11" s="14">
        <v>22.03</v>
      </c>
      <c r="BC11">
        <v>400000</v>
      </c>
      <c r="BD11">
        <v>0</v>
      </c>
      <c r="BE11">
        <v>0</v>
      </c>
      <c r="BF11">
        <v>19000000</v>
      </c>
      <c r="BG11" s="13"/>
      <c r="BH11"/>
      <c r="BI11"/>
      <c r="BJ11"/>
      <c r="BK11"/>
      <c r="BL11"/>
      <c r="BM11"/>
    </row>
    <row r="12" spans="1:65" s="6" customFormat="1" x14ac:dyDescent="0.25">
      <c r="A12">
        <v>2</v>
      </c>
      <c r="B12">
        <v>732</v>
      </c>
      <c r="C12">
        <v>1</v>
      </c>
      <c r="D12">
        <v>1</v>
      </c>
      <c r="E12">
        <v>1</v>
      </c>
      <c r="F12" s="29">
        <v>34716513</v>
      </c>
      <c r="G12" s="30">
        <v>34716513</v>
      </c>
      <c r="H12" s="13">
        <v>45548</v>
      </c>
      <c r="I12" s="13">
        <v>45548</v>
      </c>
      <c r="J12">
        <v>41</v>
      </c>
      <c r="K12">
        <v>41</v>
      </c>
      <c r="L12">
        <v>101030</v>
      </c>
      <c r="M12">
        <v>1</v>
      </c>
      <c r="N12"/>
      <c r="O12" t="b">
        <v>1</v>
      </c>
      <c r="P12"/>
      <c r="Q12">
        <v>1</v>
      </c>
      <c r="R12">
        <v>94</v>
      </c>
      <c r="S12">
        <v>160001</v>
      </c>
      <c r="T12">
        <v>2</v>
      </c>
      <c r="U12" s="27">
        <v>11386799</v>
      </c>
      <c r="V12"/>
      <c r="W12" s="27" t="s">
        <v>1638</v>
      </c>
      <c r="X12" s="27" t="s">
        <v>1639</v>
      </c>
      <c r="Y12" s="27" t="s">
        <v>1640</v>
      </c>
      <c r="Z12" s="27" t="s">
        <v>1641</v>
      </c>
      <c r="AA12"/>
      <c r="AB12" t="s">
        <v>1642</v>
      </c>
      <c r="AC12" s="27">
        <v>25386</v>
      </c>
      <c r="AD12"/>
      <c r="AE12" s="27">
        <v>0</v>
      </c>
      <c r="AF12" s="31">
        <v>82400000</v>
      </c>
      <c r="AG12" s="32">
        <v>45546</v>
      </c>
      <c r="AH12" s="13">
        <v>45368</v>
      </c>
      <c r="AI12" s="13">
        <v>45908</v>
      </c>
      <c r="AJ12">
        <v>1</v>
      </c>
      <c r="AK12" s="27">
        <v>25386</v>
      </c>
      <c r="AL12" t="s">
        <v>1642</v>
      </c>
      <c r="AM12">
        <v>165000</v>
      </c>
      <c r="AN12">
        <v>1</v>
      </c>
      <c r="AO12" s="33">
        <v>5000000</v>
      </c>
      <c r="AP12" s="34">
        <v>5000000</v>
      </c>
      <c r="AQ12" s="13">
        <v>46305</v>
      </c>
      <c r="AR12">
        <v>25</v>
      </c>
      <c r="AS12" s="34">
        <v>5000000</v>
      </c>
      <c r="AT12">
        <v>100</v>
      </c>
      <c r="AU12">
        <v>5000000</v>
      </c>
      <c r="AV12">
        <v>2</v>
      </c>
      <c r="AW12" s="13">
        <v>46305</v>
      </c>
      <c r="AX12" t="s">
        <v>52</v>
      </c>
      <c r="AY12" t="s">
        <v>1620</v>
      </c>
      <c r="AZ12" t="s">
        <v>1620</v>
      </c>
      <c r="BA12">
        <v>5</v>
      </c>
      <c r="BB12" s="14">
        <v>27.16</v>
      </c>
      <c r="BC12">
        <v>200000</v>
      </c>
      <c r="BD12">
        <v>0</v>
      </c>
      <c r="BE12">
        <v>0</v>
      </c>
      <c r="BF12">
        <v>15000000</v>
      </c>
      <c r="BG12" s="13"/>
      <c r="BH12"/>
      <c r="BI12"/>
      <c r="BJ12"/>
      <c r="BK12"/>
      <c r="BL12"/>
      <c r="BM12"/>
    </row>
    <row r="13" spans="1:65" s="6" customFormat="1" x14ac:dyDescent="0.25">
      <c r="A13">
        <v>2</v>
      </c>
      <c r="B13">
        <v>732</v>
      </c>
      <c r="C13">
        <v>1</v>
      </c>
      <c r="D13">
        <v>1</v>
      </c>
      <c r="E13">
        <v>1</v>
      </c>
      <c r="F13">
        <v>34724967</v>
      </c>
      <c r="G13">
        <v>34724967</v>
      </c>
      <c r="H13" s="13">
        <v>45548</v>
      </c>
      <c r="I13" s="13">
        <v>45548</v>
      </c>
      <c r="J13">
        <v>41</v>
      </c>
      <c r="K13">
        <v>41</v>
      </c>
      <c r="L13">
        <v>101030</v>
      </c>
      <c r="M13">
        <v>1</v>
      </c>
      <c r="N13"/>
      <c r="O13" t="b">
        <v>1</v>
      </c>
      <c r="P13"/>
      <c r="Q13">
        <v>1</v>
      </c>
      <c r="R13">
        <v>94</v>
      </c>
      <c r="S13">
        <v>160001</v>
      </c>
      <c r="T13">
        <v>2</v>
      </c>
      <c r="U13" s="27">
        <v>19471369</v>
      </c>
      <c r="V13" s="14"/>
      <c r="W13" s="27" t="s">
        <v>1643</v>
      </c>
      <c r="X13" s="27" t="s">
        <v>1644</v>
      </c>
      <c r="Y13" s="27" t="s">
        <v>1645</v>
      </c>
      <c r="Z13" s="27" t="s">
        <v>1646</v>
      </c>
      <c r="AA13"/>
      <c r="AB13" t="s">
        <v>1647</v>
      </c>
      <c r="AC13" s="27">
        <v>73275</v>
      </c>
      <c r="AD13"/>
      <c r="AE13" s="27">
        <v>0</v>
      </c>
      <c r="AF13" s="27">
        <v>8800000</v>
      </c>
      <c r="AG13" s="28">
        <v>45546</v>
      </c>
      <c r="AH13" s="15">
        <v>45368</v>
      </c>
      <c r="AI13" s="15">
        <v>45908</v>
      </c>
      <c r="AJ13">
        <v>1</v>
      </c>
      <c r="AK13" s="27">
        <v>73275</v>
      </c>
      <c r="AL13" t="s">
        <v>1647</v>
      </c>
      <c r="AM13">
        <v>165000</v>
      </c>
      <c r="AN13">
        <v>1</v>
      </c>
      <c r="AO13" s="27">
        <v>2500000</v>
      </c>
      <c r="AP13" s="27">
        <v>2500000</v>
      </c>
      <c r="AQ13" s="15">
        <v>45942</v>
      </c>
      <c r="AR13">
        <v>13</v>
      </c>
      <c r="AS13" s="27">
        <v>2500000</v>
      </c>
      <c r="AT13">
        <v>100</v>
      </c>
      <c r="AU13">
        <v>2500000</v>
      </c>
      <c r="AV13">
        <v>2</v>
      </c>
      <c r="AW13" s="13">
        <v>45942</v>
      </c>
      <c r="AX13" t="s">
        <v>52</v>
      </c>
      <c r="AY13" t="s">
        <v>1620</v>
      </c>
      <c r="AZ13" t="s">
        <v>1620</v>
      </c>
      <c r="BA13">
        <v>5</v>
      </c>
      <c r="BB13">
        <v>27.16</v>
      </c>
      <c r="BC13">
        <v>192308</v>
      </c>
      <c r="BD13">
        <v>0</v>
      </c>
      <c r="BE13">
        <v>0</v>
      </c>
      <c r="BF13">
        <v>7000000</v>
      </c>
      <c r="BG13"/>
      <c r="BH13"/>
      <c r="BI13"/>
      <c r="BJ13"/>
      <c r="BK13"/>
      <c r="BL13"/>
      <c r="BM13"/>
    </row>
    <row r="14" spans="1:65" s="6" customFormat="1" x14ac:dyDescent="0.25">
      <c r="A14">
        <v>2</v>
      </c>
      <c r="B14">
        <v>732</v>
      </c>
      <c r="C14">
        <v>1</v>
      </c>
      <c r="D14">
        <v>1</v>
      </c>
      <c r="E14">
        <v>1</v>
      </c>
      <c r="F14" s="29">
        <v>34728574</v>
      </c>
      <c r="G14" s="30">
        <v>34728574</v>
      </c>
      <c r="H14" s="13">
        <v>45548</v>
      </c>
      <c r="I14" s="13">
        <v>45548</v>
      </c>
      <c r="J14">
        <v>41</v>
      </c>
      <c r="K14">
        <v>41</v>
      </c>
      <c r="L14">
        <v>101030</v>
      </c>
      <c r="M14">
        <v>1</v>
      </c>
      <c r="N14"/>
      <c r="O14" t="b">
        <v>1</v>
      </c>
      <c r="P14"/>
      <c r="Q14">
        <v>1</v>
      </c>
      <c r="R14">
        <v>94</v>
      </c>
      <c r="S14">
        <v>160001</v>
      </c>
      <c r="T14">
        <v>2</v>
      </c>
      <c r="U14" s="27">
        <v>1093740753</v>
      </c>
      <c r="V14"/>
      <c r="W14" s="27" t="s">
        <v>1648</v>
      </c>
      <c r="X14" s="27" t="s">
        <v>1639</v>
      </c>
      <c r="Y14" s="27" t="s">
        <v>1649</v>
      </c>
      <c r="Z14" s="27" t="s">
        <v>1650</v>
      </c>
      <c r="AA14"/>
      <c r="AB14" t="s">
        <v>1651</v>
      </c>
      <c r="AC14" s="27">
        <v>54405</v>
      </c>
      <c r="AD14"/>
      <c r="AE14" s="27">
        <v>0</v>
      </c>
      <c r="AF14" s="31">
        <v>10720000</v>
      </c>
      <c r="AG14" s="32">
        <v>45547</v>
      </c>
      <c r="AH14" s="13">
        <v>45368</v>
      </c>
      <c r="AI14" s="13">
        <v>45908</v>
      </c>
      <c r="AJ14">
        <v>1</v>
      </c>
      <c r="AK14" s="27">
        <v>54405</v>
      </c>
      <c r="AL14" t="s">
        <v>1651</v>
      </c>
      <c r="AM14">
        <v>165000</v>
      </c>
      <c r="AN14">
        <v>1</v>
      </c>
      <c r="AO14" s="33">
        <v>8000000</v>
      </c>
      <c r="AP14" s="34">
        <v>8000000</v>
      </c>
      <c r="AQ14" s="13">
        <v>46301</v>
      </c>
      <c r="AR14">
        <v>25</v>
      </c>
      <c r="AS14" s="34">
        <v>8000000</v>
      </c>
      <c r="AT14">
        <v>100</v>
      </c>
      <c r="AU14">
        <v>8000000</v>
      </c>
      <c r="AV14">
        <v>2</v>
      </c>
      <c r="AW14" s="13">
        <v>46301</v>
      </c>
      <c r="AX14" t="s">
        <v>52</v>
      </c>
      <c r="AY14" t="s">
        <v>1620</v>
      </c>
      <c r="AZ14" t="s">
        <v>1620</v>
      </c>
      <c r="BA14">
        <v>5</v>
      </c>
      <c r="BB14" s="14">
        <v>22.03</v>
      </c>
      <c r="BC14">
        <v>320000</v>
      </c>
      <c r="BD14">
        <v>0</v>
      </c>
      <c r="BE14">
        <v>0</v>
      </c>
      <c r="BF14">
        <v>7000000</v>
      </c>
      <c r="BG14" s="13"/>
      <c r="BH14"/>
      <c r="BI14"/>
      <c r="BJ14"/>
      <c r="BK14"/>
      <c r="BL14"/>
      <c r="BM14"/>
    </row>
    <row r="15" spans="1:65" s="6" customFormat="1" x14ac:dyDescent="0.25">
      <c r="A15">
        <v>2</v>
      </c>
      <c r="B15">
        <v>732</v>
      </c>
      <c r="C15">
        <v>1</v>
      </c>
      <c r="D15">
        <v>1</v>
      </c>
      <c r="E15">
        <v>1</v>
      </c>
      <c r="F15">
        <v>34722748</v>
      </c>
      <c r="G15">
        <v>34722748</v>
      </c>
      <c r="H15" s="13">
        <v>45548</v>
      </c>
      <c r="I15" s="13">
        <v>45548</v>
      </c>
      <c r="J15">
        <v>41</v>
      </c>
      <c r="K15">
        <v>41</v>
      </c>
      <c r="L15">
        <v>101030</v>
      </c>
      <c r="M15">
        <v>1</v>
      </c>
      <c r="N15"/>
      <c r="O15" t="b">
        <v>1</v>
      </c>
      <c r="P15"/>
      <c r="Q15">
        <v>1</v>
      </c>
      <c r="R15">
        <v>94</v>
      </c>
      <c r="S15">
        <v>160001</v>
      </c>
      <c r="T15">
        <v>2</v>
      </c>
      <c r="U15" s="27">
        <v>24717216</v>
      </c>
      <c r="V15" s="14"/>
      <c r="W15" s="27" t="s">
        <v>1652</v>
      </c>
      <c r="X15" s="27" t="s">
        <v>1621</v>
      </c>
      <c r="Y15" s="27" t="s">
        <v>1653</v>
      </c>
      <c r="Z15" s="27" t="s">
        <v>1623</v>
      </c>
      <c r="AA15"/>
      <c r="AB15" t="s">
        <v>1654</v>
      </c>
      <c r="AC15" s="27">
        <v>17380</v>
      </c>
      <c r="AD15"/>
      <c r="AE15" s="27">
        <v>0</v>
      </c>
      <c r="AF15" s="27">
        <v>15000000</v>
      </c>
      <c r="AG15" s="28">
        <v>45546</v>
      </c>
      <c r="AH15" s="15">
        <v>45368</v>
      </c>
      <c r="AI15" s="15">
        <v>45908</v>
      </c>
      <c r="AJ15">
        <v>1</v>
      </c>
      <c r="AK15" s="27">
        <v>17380</v>
      </c>
      <c r="AL15" t="s">
        <v>1654</v>
      </c>
      <c r="AM15">
        <v>165000</v>
      </c>
      <c r="AN15">
        <v>1</v>
      </c>
      <c r="AO15" s="27">
        <v>4800000</v>
      </c>
      <c r="AP15" s="27">
        <v>4800000</v>
      </c>
      <c r="AQ15" s="15">
        <v>45749</v>
      </c>
      <c r="AR15">
        <v>7</v>
      </c>
      <c r="AS15" s="27">
        <v>4800000</v>
      </c>
      <c r="AT15">
        <v>100</v>
      </c>
      <c r="AU15">
        <v>4800000</v>
      </c>
      <c r="AV15" s="6">
        <v>2</v>
      </c>
      <c r="AW15" s="13">
        <v>45749</v>
      </c>
      <c r="AX15" t="s">
        <v>52</v>
      </c>
      <c r="AY15" t="s">
        <v>1620</v>
      </c>
      <c r="AZ15" t="s">
        <v>1620</v>
      </c>
      <c r="BA15">
        <v>5</v>
      </c>
      <c r="BB15">
        <v>24.26</v>
      </c>
      <c r="BC15">
        <v>685714</v>
      </c>
      <c r="BD15">
        <v>0</v>
      </c>
      <c r="BE15">
        <v>0</v>
      </c>
      <c r="BF15">
        <v>14000000</v>
      </c>
      <c r="BG15"/>
      <c r="BH15"/>
      <c r="BI15"/>
      <c r="BJ15"/>
      <c r="BK15"/>
      <c r="BL15"/>
      <c r="BM15"/>
    </row>
    <row r="16" spans="1:65" s="6" customFormat="1" x14ac:dyDescent="0.25">
      <c r="A16" s="6">
        <v>2</v>
      </c>
      <c r="B16" s="6">
        <v>732</v>
      </c>
      <c r="C16" s="6">
        <v>1</v>
      </c>
      <c r="D16" s="6">
        <v>1</v>
      </c>
      <c r="E16" s="6">
        <v>1</v>
      </c>
      <c r="F16" s="21">
        <v>34713866</v>
      </c>
      <c r="G16" s="10">
        <v>34713866</v>
      </c>
      <c r="H16" s="7">
        <v>45548</v>
      </c>
      <c r="I16" s="13">
        <v>45548</v>
      </c>
      <c r="J16" s="6">
        <v>41</v>
      </c>
      <c r="K16" s="6">
        <v>41</v>
      </c>
      <c r="L16" s="6">
        <v>101030</v>
      </c>
      <c r="M16" s="6">
        <v>1</v>
      </c>
      <c r="O16" s="6" t="b">
        <v>1</v>
      </c>
      <c r="Q16" s="6">
        <v>1</v>
      </c>
      <c r="R16" s="6">
        <v>94</v>
      </c>
      <c r="S16" s="6">
        <v>160001</v>
      </c>
      <c r="T16" s="6">
        <v>2</v>
      </c>
      <c r="U16" s="16">
        <v>1073816774</v>
      </c>
      <c r="W16" s="16" t="s">
        <v>1655</v>
      </c>
      <c r="X16" s="16" t="s">
        <v>1656</v>
      </c>
      <c r="Y16" s="16" t="s">
        <v>1649</v>
      </c>
      <c r="Z16" s="16" t="s">
        <v>1657</v>
      </c>
      <c r="AB16" s="6" t="s">
        <v>1658</v>
      </c>
      <c r="AC16" s="16">
        <v>23162</v>
      </c>
      <c r="AE16" s="16">
        <v>0</v>
      </c>
      <c r="AF16" s="22">
        <v>9600000</v>
      </c>
      <c r="AG16" s="18">
        <v>45546</v>
      </c>
      <c r="AH16" s="7">
        <v>45368</v>
      </c>
      <c r="AI16" s="7">
        <v>45908</v>
      </c>
      <c r="AJ16" s="6">
        <v>1</v>
      </c>
      <c r="AK16" s="16">
        <v>23162</v>
      </c>
      <c r="AL16" s="6" t="s">
        <v>1658</v>
      </c>
      <c r="AM16" s="6">
        <v>165000</v>
      </c>
      <c r="AN16" s="6">
        <v>1</v>
      </c>
      <c r="AO16" s="23">
        <v>4000000</v>
      </c>
      <c r="AP16" s="17">
        <v>4000000</v>
      </c>
      <c r="AQ16" s="7">
        <v>46058</v>
      </c>
      <c r="AR16">
        <v>17</v>
      </c>
      <c r="AS16" s="17">
        <v>4000000</v>
      </c>
      <c r="AT16" s="6">
        <v>100</v>
      </c>
      <c r="AU16" s="6">
        <v>4000000</v>
      </c>
      <c r="AV16" s="6">
        <v>2</v>
      </c>
      <c r="AW16" s="7">
        <v>46058</v>
      </c>
      <c r="AX16" s="6" t="s">
        <v>52</v>
      </c>
      <c r="AY16" s="6" t="s">
        <v>1620</v>
      </c>
      <c r="AZ16" s="6" t="s">
        <v>1620</v>
      </c>
      <c r="BA16" s="6">
        <v>5</v>
      </c>
      <c r="BB16" s="24">
        <v>24.26</v>
      </c>
      <c r="BC16">
        <v>235294</v>
      </c>
      <c r="BD16" s="6">
        <v>0</v>
      </c>
      <c r="BE16" s="6">
        <v>0</v>
      </c>
      <c r="BF16" s="6">
        <v>9000000</v>
      </c>
      <c r="BG16"/>
    </row>
    <row r="17" spans="1:65" s="6" customFormat="1" x14ac:dyDescent="0.25">
      <c r="A17"/>
      <c r="B17"/>
      <c r="C17"/>
      <c r="D17"/>
      <c r="E17"/>
      <c r="F17"/>
      <c r="G17"/>
      <c r="H17" s="13"/>
      <c r="I17" s="13"/>
      <c r="J17"/>
      <c r="K17"/>
      <c r="L17"/>
      <c r="M17"/>
      <c r="N17"/>
      <c r="O17"/>
      <c r="P17"/>
      <c r="Q17"/>
      <c r="R17"/>
      <c r="S17"/>
      <c r="T17"/>
      <c r="U17" s="27"/>
      <c r="V17"/>
      <c r="W17" s="27"/>
      <c r="X17" s="27"/>
      <c r="Y17" s="27"/>
      <c r="Z17" s="27"/>
      <c r="AA17"/>
      <c r="AB17"/>
      <c r="AC17" s="27"/>
      <c r="AD17"/>
      <c r="AE17" s="27"/>
      <c r="AF17" s="27"/>
      <c r="AG17" s="32"/>
      <c r="AH17" s="13"/>
      <c r="AI17" s="13"/>
      <c r="AJ17"/>
      <c r="AK17" s="27"/>
      <c r="AL17"/>
      <c r="AM17"/>
      <c r="AN17"/>
      <c r="AO17" s="27"/>
      <c r="AP17" s="27"/>
      <c r="AQ17" s="13"/>
      <c r="AR17"/>
      <c r="AS17" s="27"/>
      <c r="AT17"/>
      <c r="AU17"/>
      <c r="AV17"/>
      <c r="AW17" s="13"/>
      <c r="AX17"/>
      <c r="AY17"/>
      <c r="AZ17"/>
      <c r="BA17"/>
      <c r="BB17"/>
      <c r="BC17"/>
      <c r="BD17"/>
      <c r="BE17"/>
      <c r="BF17"/>
      <c r="BG17" s="13"/>
      <c r="BH17"/>
      <c r="BI17"/>
      <c r="BJ17"/>
      <c r="BK17"/>
      <c r="BL17"/>
      <c r="BM17"/>
    </row>
    <row r="18" spans="1:65" s="6" customFormat="1" x14ac:dyDescent="0.25">
      <c r="A18"/>
      <c r="B18"/>
      <c r="C18"/>
      <c r="D18"/>
      <c r="E18"/>
      <c r="F18" s="29"/>
      <c r="G18" s="30"/>
      <c r="H18" s="13"/>
      <c r="I18" s="13"/>
      <c r="J18"/>
      <c r="K18"/>
      <c r="L18"/>
      <c r="M18"/>
      <c r="N18"/>
      <c r="O18"/>
      <c r="P18"/>
      <c r="Q18"/>
      <c r="R18"/>
      <c r="S18"/>
      <c r="T18"/>
      <c r="U18" s="27"/>
      <c r="V18"/>
      <c r="W18" s="27"/>
      <c r="X18" s="27"/>
      <c r="Y18" s="27"/>
      <c r="Z18" s="27"/>
      <c r="AA18"/>
      <c r="AB18"/>
      <c r="AC18" s="27"/>
      <c r="AD18"/>
      <c r="AE18" s="27"/>
      <c r="AF18" s="31"/>
      <c r="AG18" s="32"/>
      <c r="AH18" s="13"/>
      <c r="AI18" s="13"/>
      <c r="AJ18"/>
      <c r="AK18" s="27"/>
      <c r="AL18"/>
      <c r="AM18"/>
      <c r="AN18"/>
      <c r="AO18" s="33"/>
      <c r="AP18" s="34"/>
      <c r="AQ18" s="13"/>
      <c r="AR18"/>
      <c r="AS18" s="34"/>
      <c r="AT18"/>
      <c r="AU18"/>
      <c r="AV18"/>
      <c r="AW18" s="13"/>
      <c r="AX18"/>
      <c r="AY18"/>
      <c r="AZ18"/>
      <c r="BA18"/>
      <c r="BB18" s="14"/>
      <c r="BC18"/>
      <c r="BD18"/>
      <c r="BE18"/>
      <c r="BF18"/>
      <c r="BG18" s="13"/>
      <c r="BH18"/>
      <c r="BI18"/>
      <c r="BJ18"/>
      <c r="BK18"/>
      <c r="BL18"/>
      <c r="BM18"/>
    </row>
    <row r="19" spans="1:65" s="6" customFormat="1" x14ac:dyDescent="0.25">
      <c r="A19"/>
      <c r="B19"/>
      <c r="C19"/>
      <c r="D19"/>
      <c r="E19"/>
      <c r="F19" s="29"/>
      <c r="G19" s="30"/>
      <c r="H19" s="13"/>
      <c r="I19" s="13"/>
      <c r="J19"/>
      <c r="K19"/>
      <c r="L19"/>
      <c r="M19"/>
      <c r="N19"/>
      <c r="O19"/>
      <c r="P19"/>
      <c r="Q19"/>
      <c r="R19"/>
      <c r="S19"/>
      <c r="T19"/>
      <c r="U19" s="27"/>
      <c r="V19"/>
      <c r="W19" s="27"/>
      <c r="X19" s="27"/>
      <c r="Y19" s="27"/>
      <c r="Z19" s="27"/>
      <c r="AA19"/>
      <c r="AB19"/>
      <c r="AC19" s="27"/>
      <c r="AD19"/>
      <c r="AE19" s="27"/>
      <c r="AF19" s="31"/>
      <c r="AG19" s="32"/>
      <c r="AH19" s="13"/>
      <c r="AI19" s="13"/>
      <c r="AJ19"/>
      <c r="AK19" s="27"/>
      <c r="AL19"/>
      <c r="AM19"/>
      <c r="AN19"/>
      <c r="AO19" s="33"/>
      <c r="AP19" s="34"/>
      <c r="AQ19" s="13"/>
      <c r="AR19"/>
      <c r="AS19" s="34"/>
      <c r="AT19"/>
      <c r="AU19"/>
      <c r="AV19"/>
      <c r="AW19" s="13"/>
      <c r="AX19"/>
      <c r="AY19"/>
      <c r="AZ19"/>
      <c r="BA19"/>
      <c r="BB19" s="14"/>
      <c r="BC19"/>
      <c r="BD19"/>
      <c r="BE19"/>
      <c r="BF19"/>
      <c r="BG19" s="13"/>
      <c r="BH19"/>
      <c r="BI19"/>
      <c r="BJ19"/>
      <c r="BK19"/>
      <c r="BL19"/>
      <c r="BM19"/>
    </row>
    <row r="20" spans="1:65" s="6" customFormat="1" x14ac:dyDescent="0.25">
      <c r="A20"/>
      <c r="B20"/>
      <c r="C20"/>
      <c r="D20"/>
      <c r="E20"/>
      <c r="F20" s="29"/>
      <c r="G20" s="30"/>
      <c r="H20" s="13"/>
      <c r="I20" s="13"/>
      <c r="J20"/>
      <c r="K20"/>
      <c r="L20"/>
      <c r="M20"/>
      <c r="N20"/>
      <c r="O20"/>
      <c r="P20"/>
      <c r="Q20"/>
      <c r="R20"/>
      <c r="S20"/>
      <c r="T20"/>
      <c r="U20" s="27"/>
      <c r="V20"/>
      <c r="W20" s="27"/>
      <c r="X20" s="27"/>
      <c r="Y20" s="27"/>
      <c r="Z20" s="27"/>
      <c r="AA20"/>
      <c r="AB20"/>
      <c r="AC20" s="27"/>
      <c r="AD20"/>
      <c r="AE20" s="27"/>
      <c r="AF20" s="31"/>
      <c r="AG20" s="32"/>
      <c r="AH20" s="13"/>
      <c r="AI20" s="13"/>
      <c r="AJ20"/>
      <c r="AK20" s="27"/>
      <c r="AL20"/>
      <c r="AM20"/>
      <c r="AN20"/>
      <c r="AO20" s="33"/>
      <c r="AP20" s="34"/>
      <c r="AQ20" s="13"/>
      <c r="AR20"/>
      <c r="AS20" s="34"/>
      <c r="AT20"/>
      <c r="AU20"/>
      <c r="AV20"/>
      <c r="AW20" s="13"/>
      <c r="AX20"/>
      <c r="AY20"/>
      <c r="AZ20"/>
      <c r="BA20"/>
      <c r="BB20" s="14"/>
      <c r="BC20"/>
      <c r="BD20"/>
      <c r="BE20"/>
      <c r="BF20"/>
      <c r="BG20" s="13"/>
      <c r="BH20"/>
      <c r="BI20"/>
      <c r="BJ20"/>
      <c r="BK20"/>
      <c r="BL20"/>
      <c r="BM20"/>
    </row>
    <row r="21" spans="1:65" s="6" customFormat="1" x14ac:dyDescent="0.25">
      <c r="F21" s="21"/>
      <c r="G21" s="10"/>
      <c r="H21" s="7"/>
      <c r="I21" s="13"/>
      <c r="U21" s="16"/>
      <c r="W21" s="16"/>
      <c r="X21" s="16"/>
      <c r="Y21" s="16"/>
      <c r="Z21" s="16"/>
      <c r="AC21" s="16"/>
      <c r="AE21" s="16"/>
      <c r="AF21" s="22"/>
      <c r="AG21" s="18"/>
      <c r="AH21" s="7"/>
      <c r="AI21" s="7"/>
      <c r="AK21" s="16"/>
      <c r="AO21" s="23"/>
      <c r="AP21" s="17"/>
      <c r="AQ21" s="7"/>
      <c r="AR21"/>
      <c r="AS21" s="17"/>
      <c r="AW21" s="7"/>
      <c r="BB21" s="24"/>
      <c r="BC21"/>
      <c r="BG21"/>
    </row>
    <row r="22" spans="1:65" s="6" customFormat="1" x14ac:dyDescent="0.25">
      <c r="A22"/>
      <c r="B22"/>
      <c r="C22"/>
      <c r="D22"/>
      <c r="E22"/>
      <c r="F22" s="29"/>
      <c r="G22" s="30"/>
      <c r="H22" s="13"/>
      <c r="I22" s="13"/>
      <c r="J22"/>
      <c r="K22"/>
      <c r="L22"/>
      <c r="M22"/>
      <c r="N22"/>
      <c r="O22"/>
      <c r="P22"/>
      <c r="Q22"/>
      <c r="R22"/>
      <c r="S22"/>
      <c r="T22"/>
      <c r="U22" s="27"/>
      <c r="V22"/>
      <c r="W22" s="27"/>
      <c r="X22" s="27"/>
      <c r="Y22" s="27"/>
      <c r="Z22" s="27"/>
      <c r="AA22"/>
      <c r="AB22"/>
      <c r="AC22" s="27"/>
      <c r="AD22"/>
      <c r="AE22" s="27"/>
      <c r="AF22" s="31"/>
      <c r="AG22" s="32"/>
      <c r="AH22" s="13"/>
      <c r="AI22" s="13"/>
      <c r="AJ22"/>
      <c r="AK22" s="27"/>
      <c r="AL22"/>
      <c r="AM22"/>
      <c r="AN22"/>
      <c r="AO22" s="33"/>
      <c r="AP22" s="34"/>
      <c r="AQ22" s="13"/>
      <c r="AR22"/>
      <c r="AS22" s="34"/>
      <c r="AT22"/>
      <c r="AU22"/>
      <c r="AV22"/>
      <c r="AW22" s="13"/>
      <c r="AX22"/>
      <c r="AY22"/>
      <c r="AZ22"/>
      <c r="BA22"/>
      <c r="BB22" s="14"/>
      <c r="BC22"/>
      <c r="BD22"/>
      <c r="BE22"/>
      <c r="BF22"/>
      <c r="BG22" s="13"/>
      <c r="BH22"/>
      <c r="BI22"/>
      <c r="BJ22"/>
      <c r="BK22"/>
      <c r="BL22"/>
      <c r="BM22"/>
    </row>
    <row r="23" spans="1:65" s="6" customFormat="1" x14ac:dyDescent="0.25">
      <c r="A23"/>
      <c r="B23"/>
      <c r="C23"/>
      <c r="D23"/>
      <c r="E23"/>
      <c r="F23" s="29"/>
      <c r="G23" s="30"/>
      <c r="H23" s="13"/>
      <c r="I23" s="13"/>
      <c r="J23"/>
      <c r="K23"/>
      <c r="L23"/>
      <c r="M23"/>
      <c r="N23"/>
      <c r="O23"/>
      <c r="P23"/>
      <c r="Q23"/>
      <c r="R23"/>
      <c r="S23"/>
      <c r="T23"/>
      <c r="U23" s="27"/>
      <c r="V23"/>
      <c r="W23" s="27"/>
      <c r="X23" s="27"/>
      <c r="Y23" s="27"/>
      <c r="Z23" s="27"/>
      <c r="AA23"/>
      <c r="AB23"/>
      <c r="AC23" s="27"/>
      <c r="AD23"/>
      <c r="AE23" s="27"/>
      <c r="AF23" s="31"/>
      <c r="AG23" s="32"/>
      <c r="AH23" s="13"/>
      <c r="AI23" s="13"/>
      <c r="AJ23"/>
      <c r="AK23" s="27"/>
      <c r="AL23"/>
      <c r="AM23"/>
      <c r="AN23"/>
      <c r="AO23" s="33"/>
      <c r="AP23" s="34"/>
      <c r="AQ23" s="13"/>
      <c r="AR23"/>
      <c r="AS23" s="34"/>
      <c r="AT23"/>
      <c r="AU23"/>
      <c r="AV23"/>
      <c r="AW23" s="13"/>
      <c r="AX23"/>
      <c r="AY23"/>
      <c r="AZ23"/>
      <c r="BA23"/>
      <c r="BB23" s="14"/>
      <c r="BC23"/>
      <c r="BD23"/>
      <c r="BE23"/>
      <c r="BF23"/>
      <c r="BG23"/>
      <c r="BH23"/>
      <c r="BI23"/>
      <c r="BJ23"/>
      <c r="BK23"/>
      <c r="BL23"/>
      <c r="BM23"/>
    </row>
    <row r="24" spans="1:65" s="6" customFormat="1" x14ac:dyDescent="0.25">
      <c r="F24" s="21"/>
      <c r="G24" s="10"/>
      <c r="H24" s="7"/>
      <c r="I24" s="13"/>
      <c r="U24" s="16"/>
      <c r="W24" s="16"/>
      <c r="X24" s="16"/>
      <c r="Y24" s="16"/>
      <c r="Z24" s="16"/>
      <c r="AC24" s="16"/>
      <c r="AE24" s="16"/>
      <c r="AF24" s="22"/>
      <c r="AG24" s="18"/>
      <c r="AH24" s="7"/>
      <c r="AI24" s="7"/>
      <c r="AK24" s="16"/>
      <c r="AO24" s="23"/>
      <c r="AP24" s="17"/>
      <c r="AQ24" s="7"/>
      <c r="AR24"/>
      <c r="AS24" s="17"/>
      <c r="AW24" s="7"/>
      <c r="BB24" s="24"/>
      <c r="BC24"/>
      <c r="BG24"/>
    </row>
    <row r="25" spans="1:65" s="6" customFormat="1" x14ac:dyDescent="0.25">
      <c r="A25"/>
      <c r="B25"/>
      <c r="C25"/>
      <c r="D25"/>
      <c r="E25"/>
      <c r="F25" s="29"/>
      <c r="G25" s="30"/>
      <c r="H25" s="13"/>
      <c r="I25" s="13"/>
      <c r="J25"/>
      <c r="K25"/>
      <c r="L25"/>
      <c r="M25"/>
      <c r="N25"/>
      <c r="O25"/>
      <c r="P25"/>
      <c r="Q25"/>
      <c r="R25"/>
      <c r="S25"/>
      <c r="T25"/>
      <c r="U25" s="27"/>
      <c r="V25"/>
      <c r="W25" s="27"/>
      <c r="X25" s="27"/>
      <c r="Y25" s="27"/>
      <c r="Z25" s="27"/>
      <c r="AA25"/>
      <c r="AB25"/>
      <c r="AC25" s="27"/>
      <c r="AD25"/>
      <c r="AE25" s="27"/>
      <c r="AF25" s="31"/>
      <c r="AG25" s="32"/>
      <c r="AH25" s="13"/>
      <c r="AI25" s="13"/>
      <c r="AJ25"/>
      <c r="AK25" s="27"/>
      <c r="AL25"/>
      <c r="AM25"/>
      <c r="AN25"/>
      <c r="AO25" s="33"/>
      <c r="AP25" s="34"/>
      <c r="AQ25" s="13"/>
      <c r="AR25"/>
      <c r="AS25" s="34"/>
      <c r="AT25"/>
      <c r="AU25"/>
      <c r="AV25"/>
      <c r="AW25" s="13"/>
      <c r="AX25"/>
      <c r="AY25"/>
      <c r="AZ25"/>
      <c r="BA25"/>
      <c r="BB25" s="14"/>
      <c r="BC25"/>
      <c r="BD25"/>
      <c r="BE25"/>
      <c r="BF25"/>
      <c r="BG25" s="13"/>
      <c r="BH25"/>
      <c r="BI25"/>
      <c r="BJ25"/>
      <c r="BK25"/>
      <c r="BL25"/>
      <c r="BM25"/>
    </row>
    <row r="26" spans="1:65" s="6" customFormat="1" x14ac:dyDescent="0.25">
      <c r="A26"/>
      <c r="B26"/>
      <c r="C26"/>
      <c r="D26"/>
      <c r="E26"/>
      <c r="F26" s="29"/>
      <c r="G26" s="30"/>
      <c r="H26" s="13"/>
      <c r="I26" s="13"/>
      <c r="J26"/>
      <c r="K26"/>
      <c r="L26"/>
      <c r="M26"/>
      <c r="N26"/>
      <c r="O26"/>
      <c r="P26"/>
      <c r="Q26"/>
      <c r="R26"/>
      <c r="S26"/>
      <c r="T26"/>
      <c r="U26" s="27"/>
      <c r="V26"/>
      <c r="W26" s="27"/>
      <c r="X26" s="27"/>
      <c r="Y26" s="27"/>
      <c r="Z26" s="27"/>
      <c r="AA26"/>
      <c r="AB26"/>
      <c r="AC26" s="27"/>
      <c r="AD26"/>
      <c r="AE26" s="27"/>
      <c r="AF26" s="31"/>
      <c r="AG26" s="32"/>
      <c r="AH26" s="13"/>
      <c r="AI26" s="13"/>
      <c r="AJ26"/>
      <c r="AK26" s="27"/>
      <c r="AL26"/>
      <c r="AM26"/>
      <c r="AN26"/>
      <c r="AO26" s="33"/>
      <c r="AP26" s="34"/>
      <c r="AQ26" s="13"/>
      <c r="AR26"/>
      <c r="AS26" s="34"/>
      <c r="AT26"/>
      <c r="AU26"/>
      <c r="AV26"/>
      <c r="AW26" s="13"/>
      <c r="AX26"/>
      <c r="AY26"/>
      <c r="AZ26"/>
      <c r="BA26"/>
      <c r="BB26" s="14"/>
      <c r="BC26"/>
      <c r="BD26"/>
      <c r="BE26"/>
      <c r="BF26"/>
      <c r="BG26" s="13"/>
      <c r="BH26"/>
      <c r="BI26"/>
      <c r="BJ26"/>
      <c r="BK26"/>
      <c r="BL26"/>
      <c r="BM26"/>
    </row>
    <row r="27" spans="1:65" s="6" customFormat="1" x14ac:dyDescent="0.25">
      <c r="A27"/>
      <c r="B27"/>
      <c r="C27"/>
      <c r="D27"/>
      <c r="E27"/>
      <c r="F27" s="29"/>
      <c r="G27" s="30"/>
      <c r="H27" s="13"/>
      <c r="I27" s="13"/>
      <c r="J27"/>
      <c r="K27"/>
      <c r="L27"/>
      <c r="M27"/>
      <c r="N27"/>
      <c r="O27"/>
      <c r="P27"/>
      <c r="Q27"/>
      <c r="R27"/>
      <c r="S27"/>
      <c r="T27"/>
      <c r="U27" s="27"/>
      <c r="V27"/>
      <c r="W27" s="27"/>
      <c r="X27" s="27"/>
      <c r="Y27" s="27"/>
      <c r="Z27" s="27"/>
      <c r="AA27"/>
      <c r="AB27"/>
      <c r="AC27" s="27"/>
      <c r="AD27"/>
      <c r="AE27" s="27"/>
      <c r="AF27" s="31"/>
      <c r="AG27" s="32"/>
      <c r="AH27" s="13"/>
      <c r="AI27" s="13"/>
      <c r="AJ27"/>
      <c r="AK27" s="27"/>
      <c r="AL27"/>
      <c r="AM27"/>
      <c r="AN27"/>
      <c r="AO27" s="33"/>
      <c r="AP27" s="34"/>
      <c r="AQ27" s="13"/>
      <c r="AR27"/>
      <c r="AS27" s="34"/>
      <c r="AT27"/>
      <c r="AU27"/>
      <c r="AV27"/>
      <c r="AW27" s="13"/>
      <c r="AX27"/>
      <c r="AY27"/>
      <c r="AZ27"/>
      <c r="BA27"/>
      <c r="BB27" s="14"/>
      <c r="BC27"/>
      <c r="BD27"/>
      <c r="BE27"/>
      <c r="BF27"/>
      <c r="BG27" s="13"/>
      <c r="BH27"/>
      <c r="BI27"/>
      <c r="BJ27"/>
      <c r="BK27"/>
      <c r="BL27"/>
      <c r="BM27"/>
    </row>
    <row r="28" spans="1:65" s="6" customFormat="1" x14ac:dyDescent="0.25">
      <c r="A28"/>
      <c r="B28"/>
      <c r="C28"/>
      <c r="D28"/>
      <c r="E28"/>
      <c r="F28"/>
      <c r="G28"/>
      <c r="H28" s="13"/>
      <c r="I28" s="13"/>
      <c r="J28"/>
      <c r="K28"/>
      <c r="L28"/>
      <c r="M28"/>
      <c r="N28"/>
      <c r="O28"/>
      <c r="P28"/>
      <c r="Q28"/>
      <c r="R28"/>
      <c r="S28"/>
      <c r="T28"/>
      <c r="U28" s="27"/>
      <c r="V28" s="14"/>
      <c r="W28" s="27"/>
      <c r="X28" s="27"/>
      <c r="Y28" s="27"/>
      <c r="Z28" s="27"/>
      <c r="AA28"/>
      <c r="AB28"/>
      <c r="AC28" s="27"/>
      <c r="AD28"/>
      <c r="AE28" s="27"/>
      <c r="AF28" s="27"/>
      <c r="AG28" s="28"/>
      <c r="AH28" s="15"/>
      <c r="AI28" s="15"/>
      <c r="AJ28"/>
      <c r="AK28" s="27"/>
      <c r="AL28"/>
      <c r="AM28"/>
      <c r="AN28"/>
      <c r="AO28" s="27"/>
      <c r="AP28" s="27"/>
      <c r="AQ28" s="15"/>
      <c r="AR28"/>
      <c r="AS28" s="27"/>
      <c r="AT28"/>
      <c r="AU28"/>
      <c r="AW28" s="13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</row>
    <row r="29" spans="1:65" s="6" customFormat="1" x14ac:dyDescent="0.25">
      <c r="A29"/>
      <c r="B29"/>
      <c r="C29"/>
      <c r="D29"/>
      <c r="E29"/>
      <c r="F29" s="29"/>
      <c r="G29" s="30"/>
      <c r="H29" s="13"/>
      <c r="I29" s="13"/>
      <c r="J29"/>
      <c r="K29"/>
      <c r="L29"/>
      <c r="M29"/>
      <c r="N29"/>
      <c r="O29"/>
      <c r="P29"/>
      <c r="Q29"/>
      <c r="R29"/>
      <c r="S29"/>
      <c r="T29"/>
      <c r="U29" s="27"/>
      <c r="V29"/>
      <c r="W29" s="27"/>
      <c r="X29" s="27"/>
      <c r="Y29" s="27"/>
      <c r="Z29" s="27"/>
      <c r="AA29"/>
      <c r="AB29"/>
      <c r="AC29" s="27"/>
      <c r="AD29"/>
      <c r="AE29" s="27"/>
      <c r="AF29" s="31"/>
      <c r="AG29" s="32"/>
      <c r="AH29" s="13"/>
      <c r="AI29" s="13"/>
      <c r="AJ29"/>
      <c r="AK29" s="27"/>
      <c r="AL29"/>
      <c r="AM29"/>
      <c r="AN29"/>
      <c r="AO29" s="33"/>
      <c r="AP29" s="34"/>
      <c r="AQ29" s="13"/>
      <c r="AR29"/>
      <c r="AS29" s="34"/>
      <c r="AT29"/>
      <c r="AU29"/>
      <c r="AV29"/>
      <c r="AW29" s="13"/>
      <c r="AX29"/>
      <c r="AY29"/>
      <c r="AZ29"/>
      <c r="BA29"/>
      <c r="BB29" s="14"/>
      <c r="BC29"/>
      <c r="BD29"/>
      <c r="BE29"/>
      <c r="BF29"/>
      <c r="BG29" s="13"/>
      <c r="BH29"/>
      <c r="BI29"/>
      <c r="BJ29"/>
      <c r="BK29"/>
      <c r="BL29"/>
      <c r="BM29"/>
    </row>
    <row r="30" spans="1:65" s="6" customFormat="1" x14ac:dyDescent="0.25">
      <c r="A30"/>
      <c r="B30"/>
      <c r="C30"/>
      <c r="D30"/>
      <c r="E30"/>
      <c r="F30" s="29"/>
      <c r="G30" s="30"/>
      <c r="H30" s="13"/>
      <c r="I30" s="13"/>
      <c r="J30"/>
      <c r="K30"/>
      <c r="L30"/>
      <c r="M30"/>
      <c r="N30"/>
      <c r="O30"/>
      <c r="P30"/>
      <c r="Q30"/>
      <c r="R30"/>
      <c r="S30"/>
      <c r="T30"/>
      <c r="U30" s="27"/>
      <c r="V30"/>
      <c r="W30" s="27"/>
      <c r="X30" s="27"/>
      <c r="Y30" s="27"/>
      <c r="Z30" s="27"/>
      <c r="AA30"/>
      <c r="AB30"/>
      <c r="AC30" s="27"/>
      <c r="AD30"/>
      <c r="AE30" s="27"/>
      <c r="AF30" s="31"/>
      <c r="AG30" s="32"/>
      <c r="AH30" s="13"/>
      <c r="AI30" s="13"/>
      <c r="AJ30"/>
      <c r="AK30" s="27"/>
      <c r="AL30"/>
      <c r="AM30"/>
      <c r="AN30"/>
      <c r="AO30" s="33"/>
      <c r="AP30" s="34"/>
      <c r="AQ30" s="13"/>
      <c r="AR30"/>
      <c r="AS30" s="34"/>
      <c r="AT30"/>
      <c r="AU30"/>
      <c r="AV30"/>
      <c r="AW30" s="13"/>
      <c r="AX30"/>
      <c r="AY30"/>
      <c r="AZ30"/>
      <c r="BA30"/>
      <c r="BB30" s="14"/>
      <c r="BC30"/>
      <c r="BD30"/>
      <c r="BE30"/>
      <c r="BF30"/>
      <c r="BG30" s="13"/>
      <c r="BH30"/>
      <c r="BI30"/>
      <c r="BJ30"/>
      <c r="BK30"/>
      <c r="BL30"/>
      <c r="BM30"/>
    </row>
    <row r="31" spans="1:65" s="6" customFormat="1" x14ac:dyDescent="0.25">
      <c r="A31"/>
      <c r="B31"/>
      <c r="C31"/>
      <c r="D31"/>
      <c r="E31"/>
      <c r="F31"/>
      <c r="G31"/>
      <c r="H31" s="13"/>
      <c r="I31" s="13"/>
      <c r="J31"/>
      <c r="K31"/>
      <c r="L31"/>
      <c r="M31"/>
      <c r="N31"/>
      <c r="O31"/>
      <c r="P31"/>
      <c r="Q31"/>
      <c r="R31"/>
      <c r="S31"/>
      <c r="T31"/>
      <c r="U31" s="27"/>
      <c r="V31" s="14"/>
      <c r="W31" s="27"/>
      <c r="X31" s="27"/>
      <c r="Y31" s="27"/>
      <c r="Z31" s="27"/>
      <c r="AA31"/>
      <c r="AB31"/>
      <c r="AC31" s="27"/>
      <c r="AD31"/>
      <c r="AE31" s="27"/>
      <c r="AF31" s="27"/>
      <c r="AG31" s="28"/>
      <c r="AH31" s="15"/>
      <c r="AI31" s="15"/>
      <c r="AJ31"/>
      <c r="AK31" s="27"/>
      <c r="AL31"/>
      <c r="AM31"/>
      <c r="AN31"/>
      <c r="AO31" s="27"/>
      <c r="AP31" s="27"/>
      <c r="AQ31" s="15"/>
      <c r="AR31"/>
      <c r="AS31" s="27"/>
      <c r="AT31"/>
      <c r="AU31"/>
      <c r="AV31"/>
      <c r="AW31" s="13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</row>
    <row r="32" spans="1:65" s="6" customFormat="1" x14ac:dyDescent="0.25">
      <c r="F32" s="21"/>
      <c r="G32" s="10"/>
      <c r="H32" s="7"/>
      <c r="I32" s="13"/>
      <c r="U32" s="16"/>
      <c r="W32" s="16"/>
      <c r="X32" s="16"/>
      <c r="Y32" s="16"/>
      <c r="Z32" s="16"/>
      <c r="AC32" s="16"/>
      <c r="AE32" s="16"/>
      <c r="AF32" s="22"/>
      <c r="AG32" s="18"/>
      <c r="AH32" s="7"/>
      <c r="AI32" s="7"/>
      <c r="AK32" s="16"/>
      <c r="AO32" s="23"/>
      <c r="AP32" s="17"/>
      <c r="AQ32" s="7"/>
      <c r="AR32"/>
      <c r="AS32" s="17"/>
      <c r="AV32"/>
      <c r="AW32" s="7"/>
      <c r="BB32" s="24"/>
      <c r="BC32"/>
      <c r="BG32"/>
    </row>
    <row r="33" spans="1:65" s="6" customFormat="1" x14ac:dyDescent="0.25">
      <c r="F33" s="21"/>
      <c r="G33" s="10"/>
      <c r="H33" s="7"/>
      <c r="I33" s="13"/>
      <c r="U33" s="16"/>
      <c r="W33" s="16"/>
      <c r="X33" s="16"/>
      <c r="Y33" s="16"/>
      <c r="Z33" s="16"/>
      <c r="AC33" s="16"/>
      <c r="AE33" s="16"/>
      <c r="AF33" s="22"/>
      <c r="AG33" s="18"/>
      <c r="AH33" s="7"/>
      <c r="AI33" s="7"/>
      <c r="AK33" s="16"/>
      <c r="AO33" s="23"/>
      <c r="AP33" s="17"/>
      <c r="AQ33" s="7"/>
      <c r="AR33"/>
      <c r="AS33" s="17"/>
      <c r="AW33" s="7"/>
      <c r="BB33" s="24"/>
      <c r="BC33"/>
      <c r="BG33"/>
    </row>
    <row r="34" spans="1:65" s="6" customFormat="1" x14ac:dyDescent="0.25">
      <c r="A34"/>
      <c r="B34"/>
      <c r="C34"/>
      <c r="D34"/>
      <c r="E34"/>
      <c r="F34"/>
      <c r="G34"/>
      <c r="H34" s="13"/>
      <c r="I34" s="13"/>
      <c r="J34"/>
      <c r="K34"/>
      <c r="L34"/>
      <c r="M34"/>
      <c r="N34"/>
      <c r="O34"/>
      <c r="P34"/>
      <c r="Q34"/>
      <c r="R34"/>
      <c r="S34"/>
      <c r="T34"/>
      <c r="U34" s="27"/>
      <c r="V34" s="14"/>
      <c r="W34" s="27"/>
      <c r="X34" s="27"/>
      <c r="Y34" s="27"/>
      <c r="Z34" s="27"/>
      <c r="AA34"/>
      <c r="AB34"/>
      <c r="AC34" s="27"/>
      <c r="AD34"/>
      <c r="AE34" s="27"/>
      <c r="AF34" s="27"/>
      <c r="AG34" s="28"/>
      <c r="AH34" s="15"/>
      <c r="AI34" s="15"/>
      <c r="AJ34"/>
      <c r="AK34" s="27"/>
      <c r="AL34"/>
      <c r="AM34"/>
      <c r="AN34"/>
      <c r="AO34" s="27"/>
      <c r="AP34" s="27"/>
      <c r="AQ34" s="15"/>
      <c r="AR34"/>
      <c r="AS34" s="27"/>
      <c r="AT34"/>
      <c r="AU34"/>
      <c r="AV34"/>
      <c r="AW34" s="13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</row>
    <row r="35" spans="1:65" s="6" customFormat="1" x14ac:dyDescent="0.25">
      <c r="F35" s="21"/>
      <c r="G35" s="10"/>
      <c r="H35" s="7"/>
      <c r="I35" s="7"/>
      <c r="U35" s="16"/>
      <c r="W35" s="16"/>
      <c r="X35" s="16"/>
      <c r="Y35" s="16"/>
      <c r="Z35" s="16"/>
      <c r="AC35" s="16"/>
      <c r="AE35" s="16"/>
      <c r="AF35" s="22"/>
      <c r="AG35" s="18"/>
      <c r="AH35" s="7"/>
      <c r="AI35" s="7"/>
      <c r="AK35" s="16"/>
      <c r="AO35" s="23"/>
      <c r="AP35" s="17"/>
      <c r="AQ35" s="7"/>
      <c r="AR35"/>
      <c r="AS35" s="17"/>
      <c r="AW35" s="7"/>
      <c r="BB35" s="24"/>
      <c r="BC35"/>
      <c r="BG35"/>
    </row>
    <row r="36" spans="1:65" s="6" customFormat="1" x14ac:dyDescent="0.25">
      <c r="A36"/>
      <c r="B36"/>
      <c r="C36"/>
      <c r="D36"/>
      <c r="E36"/>
      <c r="F36"/>
      <c r="G36"/>
      <c r="H36" s="13"/>
      <c r="I36" s="13"/>
      <c r="J36"/>
      <c r="K36"/>
      <c r="L36"/>
      <c r="M36"/>
      <c r="N36"/>
      <c r="O36"/>
      <c r="P36"/>
      <c r="Q36"/>
      <c r="R36"/>
      <c r="S36"/>
      <c r="T36"/>
      <c r="U36" s="27"/>
      <c r="V36" s="14"/>
      <c r="W36" s="27"/>
      <c r="X36" s="27"/>
      <c r="Y36" s="27"/>
      <c r="Z36" s="27"/>
      <c r="AA36"/>
      <c r="AB36"/>
      <c r="AC36" s="27"/>
      <c r="AD36"/>
      <c r="AE36" s="27"/>
      <c r="AF36" s="27"/>
      <c r="AG36" s="28"/>
      <c r="AH36" s="15"/>
      <c r="AI36" s="15"/>
      <c r="AJ36"/>
      <c r="AK36" s="27"/>
      <c r="AL36"/>
      <c r="AM36"/>
      <c r="AN36"/>
      <c r="AO36" s="27"/>
      <c r="AP36" s="27"/>
      <c r="AQ36" s="15"/>
      <c r="AR36"/>
      <c r="AS36" s="27"/>
      <c r="AT36"/>
      <c r="AU36"/>
      <c r="AW36" s="13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</row>
    <row r="37" spans="1:65" s="6" customFormat="1" x14ac:dyDescent="0.25">
      <c r="A37"/>
      <c r="B37"/>
      <c r="C37"/>
      <c r="D37"/>
      <c r="E37"/>
      <c r="F37" s="29"/>
      <c r="G37" s="30"/>
      <c r="H37" s="13"/>
      <c r="I37" s="13"/>
      <c r="J37"/>
      <c r="K37"/>
      <c r="L37"/>
      <c r="M37"/>
      <c r="N37"/>
      <c r="O37"/>
      <c r="P37"/>
      <c r="Q37"/>
      <c r="R37"/>
      <c r="S37"/>
      <c r="T37"/>
      <c r="U37" s="27"/>
      <c r="V37"/>
      <c r="W37" s="27"/>
      <c r="X37" s="27"/>
      <c r="Y37" s="27"/>
      <c r="Z37" s="27"/>
      <c r="AA37"/>
      <c r="AB37"/>
      <c r="AC37" s="27"/>
      <c r="AD37"/>
      <c r="AE37" s="27"/>
      <c r="AF37" s="31"/>
      <c r="AG37" s="32"/>
      <c r="AH37" s="13"/>
      <c r="AI37" s="13"/>
      <c r="AJ37"/>
      <c r="AK37" s="27"/>
      <c r="AL37"/>
      <c r="AM37"/>
      <c r="AN37"/>
      <c r="AO37" s="33"/>
      <c r="AP37" s="34"/>
      <c r="AQ37" s="13"/>
      <c r="AR37"/>
      <c r="AS37" s="34"/>
      <c r="AT37"/>
      <c r="AU37"/>
      <c r="AV37"/>
      <c r="AW37" s="13"/>
      <c r="AX37"/>
      <c r="AY37"/>
      <c r="AZ37"/>
      <c r="BA37"/>
      <c r="BB37" s="14"/>
      <c r="BC37"/>
      <c r="BD37"/>
      <c r="BE37"/>
      <c r="BF37"/>
      <c r="BG37" s="13"/>
      <c r="BH37"/>
      <c r="BI37"/>
      <c r="BJ37"/>
      <c r="BK37"/>
      <c r="BL37"/>
      <c r="BM37"/>
    </row>
    <row r="38" spans="1:65" s="6" customFormat="1" x14ac:dyDescent="0.25">
      <c r="F38" s="21"/>
      <c r="G38" s="10"/>
      <c r="H38" s="7"/>
      <c r="I38" s="7"/>
      <c r="U38" s="16"/>
      <c r="W38" s="16"/>
      <c r="X38" s="16"/>
      <c r="Y38" s="16"/>
      <c r="Z38" s="16"/>
      <c r="AC38" s="16"/>
      <c r="AE38" s="16"/>
      <c r="AF38" s="22"/>
      <c r="AG38" s="18"/>
      <c r="AH38" s="7"/>
      <c r="AI38" s="7"/>
      <c r="AK38" s="16"/>
      <c r="AO38" s="35"/>
      <c r="AP38" s="17"/>
      <c r="AQ38" s="7"/>
      <c r="AS38" s="17"/>
      <c r="AW38" s="7"/>
      <c r="BB38" s="24"/>
      <c r="BG38" s="7"/>
    </row>
    <row r="39" spans="1:65" s="6" customFormat="1" x14ac:dyDescent="0.25">
      <c r="F39" s="21"/>
      <c r="G39" s="10"/>
      <c r="H39" s="7"/>
      <c r="I39" s="13"/>
      <c r="U39" s="16"/>
      <c r="W39" s="16"/>
      <c r="X39" s="16"/>
      <c r="Y39" s="16"/>
      <c r="Z39" s="16"/>
      <c r="AC39" s="16"/>
      <c r="AE39" s="16"/>
      <c r="AF39" s="22"/>
      <c r="AG39" s="18"/>
      <c r="AH39" s="7"/>
      <c r="AI39" s="7"/>
      <c r="AK39" s="16"/>
      <c r="AO39" s="23"/>
      <c r="AP39" s="17"/>
      <c r="AQ39" s="7"/>
      <c r="AR39"/>
      <c r="AS39" s="17"/>
      <c r="AW39" s="7"/>
      <c r="BB39" s="24"/>
      <c r="BC39"/>
      <c r="BG39"/>
    </row>
    <row r="40" spans="1:65" s="6" customFormat="1" x14ac:dyDescent="0.25">
      <c r="F40" s="21"/>
      <c r="G40" s="10"/>
      <c r="H40" s="7"/>
      <c r="I40" s="7"/>
      <c r="U40" s="16"/>
      <c r="W40" s="16"/>
      <c r="X40" s="16"/>
      <c r="Y40" s="16"/>
      <c r="Z40" s="16"/>
      <c r="AC40" s="16"/>
      <c r="AE40" s="16"/>
      <c r="AF40" s="22"/>
      <c r="AG40" s="18"/>
      <c r="AH40" s="7"/>
      <c r="AI40" s="7"/>
      <c r="AK40" s="16"/>
      <c r="AO40" s="23"/>
      <c r="AP40" s="17"/>
      <c r="AQ40" s="7"/>
      <c r="AR40"/>
      <c r="AS40" s="17"/>
      <c r="AW40" s="7"/>
      <c r="BB40" s="24"/>
      <c r="BC40"/>
      <c r="BG40"/>
    </row>
    <row r="41" spans="1:65" s="6" customFormat="1" x14ac:dyDescent="0.25">
      <c r="H41" s="7"/>
      <c r="I41" s="7"/>
      <c r="U41" s="16"/>
      <c r="W41" s="16"/>
      <c r="X41" s="16"/>
      <c r="Y41" s="16"/>
      <c r="Z41" s="16"/>
      <c r="AC41" s="16"/>
      <c r="AE41" s="16"/>
      <c r="AF41" s="16"/>
      <c r="AG41" s="18"/>
      <c r="AH41" s="7"/>
      <c r="AI41" s="7"/>
      <c r="AK41" s="16"/>
      <c r="AO41" s="16"/>
      <c r="AP41" s="16"/>
      <c r="AQ41" s="7"/>
      <c r="AS41" s="16"/>
      <c r="AW41" s="7"/>
      <c r="BG41" s="7"/>
    </row>
    <row r="42" spans="1:65" s="6" customFormat="1" x14ac:dyDescent="0.25">
      <c r="F42" s="21"/>
      <c r="G42" s="10"/>
      <c r="H42" s="7"/>
      <c r="I42" s="7"/>
      <c r="U42" s="16"/>
      <c r="W42" s="16"/>
      <c r="X42" s="16"/>
      <c r="Y42" s="16"/>
      <c r="Z42" s="16"/>
      <c r="AC42" s="16"/>
      <c r="AE42" s="16"/>
      <c r="AF42" s="22"/>
      <c r="AG42" s="18"/>
      <c r="AH42" s="7"/>
      <c r="AI42" s="7"/>
      <c r="AK42" s="16"/>
      <c r="AO42" s="23"/>
      <c r="AP42" s="17"/>
      <c r="AQ42" s="7"/>
      <c r="AR42"/>
      <c r="AS42" s="17"/>
      <c r="AW42" s="7"/>
      <c r="BB42" s="24"/>
      <c r="BC42"/>
      <c r="BG42"/>
    </row>
    <row r="43" spans="1:65" s="6" customFormat="1" x14ac:dyDescent="0.25">
      <c r="A43"/>
      <c r="B43"/>
      <c r="C43"/>
      <c r="D43"/>
      <c r="E43"/>
      <c r="F43" s="29"/>
      <c r="G43" s="30"/>
      <c r="H43" s="13"/>
      <c r="I43" s="13"/>
      <c r="J43"/>
      <c r="K43"/>
      <c r="L43"/>
      <c r="M43"/>
      <c r="N43"/>
      <c r="O43"/>
      <c r="P43"/>
      <c r="Q43"/>
      <c r="R43"/>
      <c r="S43"/>
      <c r="T43"/>
      <c r="U43" s="27"/>
      <c r="V43"/>
      <c r="W43" s="27"/>
      <c r="X43" s="27"/>
      <c r="Y43" s="27"/>
      <c r="Z43" s="27"/>
      <c r="AA43"/>
      <c r="AB43"/>
      <c r="AC43" s="27"/>
      <c r="AD43"/>
      <c r="AE43" s="27"/>
      <c r="AF43" s="31"/>
      <c r="AG43" s="32"/>
      <c r="AH43" s="13"/>
      <c r="AI43" s="13"/>
      <c r="AJ43"/>
      <c r="AK43" s="27"/>
      <c r="AL43"/>
      <c r="AM43"/>
      <c r="AN43"/>
      <c r="AO43" s="33"/>
      <c r="AP43" s="34"/>
      <c r="AQ43" s="13"/>
      <c r="AR43"/>
      <c r="AS43" s="34"/>
      <c r="AT43"/>
      <c r="AU43"/>
      <c r="AV43"/>
      <c r="AW43" s="13"/>
      <c r="AX43"/>
      <c r="AY43"/>
      <c r="AZ43"/>
      <c r="BA43"/>
      <c r="BB43" s="14"/>
      <c r="BC43"/>
      <c r="BD43"/>
      <c r="BE43"/>
      <c r="BF43"/>
      <c r="BG43" s="13"/>
      <c r="BH43"/>
      <c r="BI43"/>
      <c r="BJ43"/>
      <c r="BK43"/>
      <c r="BL43"/>
      <c r="BM43"/>
    </row>
    <row r="44" spans="1:65" s="6" customFormat="1" x14ac:dyDescent="0.25">
      <c r="F44" s="21"/>
      <c r="G44" s="10"/>
      <c r="H44" s="7"/>
      <c r="I44" s="13"/>
      <c r="U44" s="16"/>
      <c r="W44" s="16"/>
      <c r="X44" s="16"/>
      <c r="Y44" s="16"/>
      <c r="Z44" s="16"/>
      <c r="AC44" s="16"/>
      <c r="AE44" s="16"/>
      <c r="AF44" s="22"/>
      <c r="AG44" s="18"/>
      <c r="AH44" s="7"/>
      <c r="AI44" s="7"/>
      <c r="AK44" s="16"/>
      <c r="AO44" s="23"/>
      <c r="AP44" s="17"/>
      <c r="AQ44" s="7"/>
      <c r="AR44"/>
      <c r="AS44" s="17"/>
      <c r="AV44"/>
      <c r="AW44" s="7"/>
      <c r="BB44" s="24"/>
      <c r="BC44"/>
      <c r="BG44"/>
    </row>
    <row r="45" spans="1:65" s="6" customFormat="1" x14ac:dyDescent="0.25">
      <c r="A45"/>
      <c r="B45"/>
      <c r="C45"/>
      <c r="D45"/>
      <c r="E45"/>
      <c r="F45" s="29"/>
      <c r="G45" s="30"/>
      <c r="H45" s="13"/>
      <c r="I45" s="13"/>
      <c r="J45"/>
      <c r="K45"/>
      <c r="L45"/>
      <c r="M45"/>
      <c r="N45"/>
      <c r="O45"/>
      <c r="P45"/>
      <c r="Q45"/>
      <c r="R45"/>
      <c r="S45"/>
      <c r="T45"/>
      <c r="U45" s="27"/>
      <c r="V45"/>
      <c r="W45" s="27"/>
      <c r="X45" s="27"/>
      <c r="Y45" s="27"/>
      <c r="Z45" s="27"/>
      <c r="AA45"/>
      <c r="AB45"/>
      <c r="AC45" s="27"/>
      <c r="AD45"/>
      <c r="AE45" s="27"/>
      <c r="AF45" s="31"/>
      <c r="AG45" s="32"/>
      <c r="AH45" s="13"/>
      <c r="AI45" s="13"/>
      <c r="AJ45"/>
      <c r="AK45" s="27"/>
      <c r="AL45"/>
      <c r="AM45"/>
      <c r="AN45"/>
      <c r="AO45" s="33"/>
      <c r="AP45" s="34"/>
      <c r="AQ45" s="13"/>
      <c r="AR45"/>
      <c r="AS45" s="34"/>
      <c r="AT45"/>
      <c r="AU45"/>
      <c r="AV45"/>
      <c r="AW45" s="13"/>
      <c r="AX45"/>
      <c r="AY45"/>
      <c r="AZ45"/>
      <c r="BA45"/>
      <c r="BB45" s="14"/>
      <c r="BC45"/>
      <c r="BD45"/>
      <c r="BE45"/>
      <c r="BF45"/>
      <c r="BG45" s="13"/>
      <c r="BH45"/>
      <c r="BI45"/>
      <c r="BJ45"/>
      <c r="BK45"/>
      <c r="BL45"/>
      <c r="BM45"/>
    </row>
    <row r="46" spans="1:65" s="6" customFormat="1" x14ac:dyDescent="0.25">
      <c r="A46"/>
      <c r="B46"/>
      <c r="C46"/>
      <c r="D46"/>
      <c r="E46"/>
      <c r="F46" s="29"/>
      <c r="G46" s="30"/>
      <c r="H46" s="13"/>
      <c r="I46" s="13"/>
      <c r="J46"/>
      <c r="K46"/>
      <c r="L46"/>
      <c r="M46"/>
      <c r="N46"/>
      <c r="O46"/>
      <c r="P46"/>
      <c r="Q46"/>
      <c r="R46"/>
      <c r="S46"/>
      <c r="T46"/>
      <c r="U46" s="27"/>
      <c r="V46"/>
      <c r="W46" s="27"/>
      <c r="X46" s="27"/>
      <c r="Y46" s="27"/>
      <c r="Z46" s="27"/>
      <c r="AA46"/>
      <c r="AB46"/>
      <c r="AC46" s="27"/>
      <c r="AD46"/>
      <c r="AE46" s="27"/>
      <c r="AF46" s="31"/>
      <c r="AG46" s="32"/>
      <c r="AH46" s="13"/>
      <c r="AI46" s="13"/>
      <c r="AJ46"/>
      <c r="AK46" s="27"/>
      <c r="AL46"/>
      <c r="AM46"/>
      <c r="AN46"/>
      <c r="AO46" s="33"/>
      <c r="AP46" s="34"/>
      <c r="AQ46" s="13"/>
      <c r="AR46"/>
      <c r="AS46" s="34"/>
      <c r="AT46"/>
      <c r="AU46"/>
      <c r="AV46"/>
      <c r="AW46" s="13"/>
      <c r="AX46"/>
      <c r="AY46"/>
      <c r="AZ46"/>
      <c r="BA46"/>
      <c r="BB46" s="14"/>
      <c r="BC46"/>
      <c r="BD46"/>
      <c r="BE46"/>
      <c r="BF46"/>
      <c r="BG46" s="13"/>
      <c r="BH46"/>
      <c r="BI46"/>
      <c r="BJ46"/>
      <c r="BK46"/>
      <c r="BL46"/>
      <c r="BM46"/>
    </row>
    <row r="47" spans="1:65" s="6" customFormat="1" x14ac:dyDescent="0.25">
      <c r="A47"/>
      <c r="B47"/>
      <c r="C47"/>
      <c r="D47"/>
      <c r="E47"/>
      <c r="F47" s="29"/>
      <c r="G47" s="30"/>
      <c r="H47" s="13"/>
      <c r="I47" s="13"/>
      <c r="J47"/>
      <c r="K47"/>
      <c r="L47"/>
      <c r="M47"/>
      <c r="N47"/>
      <c r="O47"/>
      <c r="P47"/>
      <c r="Q47"/>
      <c r="R47"/>
      <c r="S47"/>
      <c r="T47"/>
      <c r="U47" s="27"/>
      <c r="V47"/>
      <c r="W47" s="27"/>
      <c r="X47" s="27"/>
      <c r="Y47" s="27"/>
      <c r="Z47" s="27"/>
      <c r="AA47"/>
      <c r="AB47"/>
      <c r="AC47" s="27"/>
      <c r="AD47"/>
      <c r="AE47" s="27"/>
      <c r="AF47" s="31"/>
      <c r="AG47" s="32"/>
      <c r="AH47" s="13"/>
      <c r="AI47" s="13"/>
      <c r="AJ47"/>
      <c r="AK47" s="27"/>
      <c r="AL47"/>
      <c r="AM47"/>
      <c r="AN47"/>
      <c r="AO47" s="33"/>
      <c r="AP47" s="34"/>
      <c r="AQ47" s="13"/>
      <c r="AR47"/>
      <c r="AS47" s="34"/>
      <c r="AT47"/>
      <c r="AU47"/>
      <c r="AV47"/>
      <c r="AW47" s="13"/>
      <c r="AX47"/>
      <c r="AY47"/>
      <c r="AZ47"/>
      <c r="BA47"/>
      <c r="BB47" s="14"/>
      <c r="BC47"/>
      <c r="BD47"/>
      <c r="BE47"/>
      <c r="BF47"/>
      <c r="BG47" s="13"/>
      <c r="BH47"/>
      <c r="BI47"/>
      <c r="BJ47"/>
      <c r="BK47"/>
      <c r="BL47"/>
      <c r="BM47"/>
    </row>
    <row r="48" spans="1:65" s="6" customFormat="1" x14ac:dyDescent="0.25">
      <c r="F48" s="21"/>
      <c r="G48" s="10"/>
      <c r="H48" s="7"/>
      <c r="I48" s="13"/>
      <c r="U48" s="16"/>
      <c r="W48" s="16"/>
      <c r="X48" s="16"/>
      <c r="Y48" s="16"/>
      <c r="Z48" s="16"/>
      <c r="AC48" s="16"/>
      <c r="AE48" s="16"/>
      <c r="AF48" s="22"/>
      <c r="AG48" s="18"/>
      <c r="AH48" s="7"/>
      <c r="AI48" s="7"/>
      <c r="AK48" s="16"/>
      <c r="AO48" s="23"/>
      <c r="AP48" s="17"/>
      <c r="AQ48" s="7"/>
      <c r="AR48"/>
      <c r="AS48" s="17"/>
      <c r="AW48" s="7"/>
      <c r="BB48" s="24"/>
      <c r="BC48"/>
      <c r="BG48"/>
    </row>
    <row r="49" spans="1:65" s="6" customFormat="1" x14ac:dyDescent="0.25">
      <c r="A49"/>
      <c r="B49"/>
      <c r="C49"/>
      <c r="D49"/>
      <c r="E49"/>
      <c r="F49" s="29"/>
      <c r="G49" s="30"/>
      <c r="H49" s="13"/>
      <c r="I49" s="13"/>
      <c r="J49"/>
      <c r="K49"/>
      <c r="L49"/>
      <c r="M49"/>
      <c r="N49"/>
      <c r="O49"/>
      <c r="P49"/>
      <c r="Q49"/>
      <c r="R49"/>
      <c r="S49"/>
      <c r="T49"/>
      <c r="U49" s="27"/>
      <c r="V49"/>
      <c r="W49" s="27"/>
      <c r="X49" s="27"/>
      <c r="Y49" s="27"/>
      <c r="Z49" s="27"/>
      <c r="AA49"/>
      <c r="AB49"/>
      <c r="AC49" s="27"/>
      <c r="AD49"/>
      <c r="AE49" s="27"/>
      <c r="AF49" s="31"/>
      <c r="AG49" s="32"/>
      <c r="AH49" s="13"/>
      <c r="AI49" s="13"/>
      <c r="AJ49"/>
      <c r="AK49" s="27"/>
      <c r="AL49"/>
      <c r="AM49"/>
      <c r="AN49"/>
      <c r="AO49" s="33"/>
      <c r="AP49" s="34"/>
      <c r="AQ49" s="13"/>
      <c r="AR49"/>
      <c r="AS49" s="34"/>
      <c r="AT49"/>
      <c r="AU49"/>
      <c r="AV49"/>
      <c r="AW49" s="13"/>
      <c r="AX49"/>
      <c r="AY49"/>
      <c r="AZ49"/>
      <c r="BA49"/>
      <c r="BB49" s="14"/>
      <c r="BC49"/>
      <c r="BD49"/>
      <c r="BE49"/>
      <c r="BF49"/>
      <c r="BG49" s="13"/>
      <c r="BH49"/>
      <c r="BI49"/>
      <c r="BJ49"/>
      <c r="BK49"/>
      <c r="BL49"/>
      <c r="BM49"/>
    </row>
    <row r="50" spans="1:65" s="6" customFormat="1" x14ac:dyDescent="0.25">
      <c r="A50"/>
      <c r="B50"/>
      <c r="C50"/>
      <c r="D50"/>
      <c r="E50"/>
      <c r="F50" s="29"/>
      <c r="G50" s="30"/>
      <c r="H50" s="13"/>
      <c r="I50" s="13"/>
      <c r="J50"/>
      <c r="K50"/>
      <c r="L50"/>
      <c r="M50"/>
      <c r="N50"/>
      <c r="O50"/>
      <c r="P50"/>
      <c r="Q50"/>
      <c r="R50"/>
      <c r="S50"/>
      <c r="T50"/>
      <c r="U50" s="27"/>
      <c r="V50"/>
      <c r="W50" s="27"/>
      <c r="X50" s="27"/>
      <c r="Y50" s="27"/>
      <c r="Z50" s="27"/>
      <c r="AA50"/>
      <c r="AB50"/>
      <c r="AC50" s="27"/>
      <c r="AD50"/>
      <c r="AE50" s="27"/>
      <c r="AF50" s="31"/>
      <c r="AG50" s="32"/>
      <c r="AH50" s="13"/>
      <c r="AI50" s="13"/>
      <c r="AJ50"/>
      <c r="AK50" s="27"/>
      <c r="AL50"/>
      <c r="AM50"/>
      <c r="AN50"/>
      <c r="AO50" s="33"/>
      <c r="AP50" s="34"/>
      <c r="AQ50" s="13"/>
      <c r="AR50"/>
      <c r="AS50" s="34"/>
      <c r="AT50"/>
      <c r="AU50"/>
      <c r="AV50"/>
      <c r="AW50" s="13"/>
      <c r="AX50"/>
      <c r="AY50"/>
      <c r="AZ50"/>
      <c r="BA50"/>
      <c r="BB50" s="14"/>
      <c r="BC50"/>
      <c r="BD50"/>
      <c r="BE50"/>
      <c r="BF50"/>
      <c r="BG50" s="13"/>
      <c r="BH50"/>
      <c r="BI50"/>
      <c r="BJ50"/>
      <c r="BK50"/>
      <c r="BL50"/>
      <c r="BM50"/>
    </row>
    <row r="51" spans="1:65" s="6" customFormat="1" x14ac:dyDescent="0.25">
      <c r="F51" s="21"/>
      <c r="G51" s="10"/>
      <c r="H51" s="7"/>
      <c r="I51" s="13"/>
      <c r="U51" s="16"/>
      <c r="W51" s="16"/>
      <c r="X51" s="16"/>
      <c r="Y51" s="16"/>
      <c r="Z51" s="16"/>
      <c r="AC51" s="16"/>
      <c r="AE51" s="16"/>
      <c r="AF51" s="22"/>
      <c r="AG51" s="18"/>
      <c r="AH51" s="7"/>
      <c r="AI51" s="7"/>
      <c r="AK51" s="16"/>
      <c r="AO51" s="23"/>
      <c r="AP51" s="17"/>
      <c r="AQ51" s="7"/>
      <c r="AR51"/>
      <c r="AS51" s="17"/>
      <c r="AW51" s="7"/>
      <c r="BB51" s="24"/>
      <c r="BC51"/>
      <c r="BG51"/>
    </row>
    <row r="52" spans="1:65" s="6" customFormat="1" x14ac:dyDescent="0.25">
      <c r="A52"/>
      <c r="B52"/>
      <c r="C52"/>
      <c r="D52"/>
      <c r="E52"/>
      <c r="F52"/>
      <c r="G52"/>
      <c r="H52" s="13"/>
      <c r="I52" s="13"/>
      <c r="J52"/>
      <c r="K52"/>
      <c r="L52"/>
      <c r="M52"/>
      <c r="N52"/>
      <c r="O52"/>
      <c r="P52"/>
      <c r="Q52"/>
      <c r="R52"/>
      <c r="S52"/>
      <c r="T52"/>
      <c r="U52" s="27"/>
      <c r="V52" s="14"/>
      <c r="W52" s="27"/>
      <c r="X52" s="27"/>
      <c r="Y52" s="27"/>
      <c r="Z52" s="27"/>
      <c r="AA52"/>
      <c r="AB52"/>
      <c r="AC52" s="27"/>
      <c r="AD52"/>
      <c r="AE52" s="27"/>
      <c r="AF52" s="27"/>
      <c r="AG52" s="28"/>
      <c r="AH52" s="15"/>
      <c r="AI52" s="15"/>
      <c r="AJ52"/>
      <c r="AK52" s="27"/>
      <c r="AL52"/>
      <c r="AM52"/>
      <c r="AN52"/>
      <c r="AO52" s="27"/>
      <c r="AP52" s="27"/>
      <c r="AQ52" s="15"/>
      <c r="AR52"/>
      <c r="AS52" s="27"/>
      <c r="AT52"/>
      <c r="AU52"/>
      <c r="AV52"/>
      <c r="AW52" s="13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</row>
    <row r="53" spans="1:65" s="6" customFormat="1" x14ac:dyDescent="0.25">
      <c r="F53" s="21"/>
      <c r="G53" s="10"/>
      <c r="H53" s="7"/>
      <c r="I53" s="13"/>
      <c r="U53" s="16"/>
      <c r="W53" s="16"/>
      <c r="X53" s="16"/>
      <c r="Y53" s="16"/>
      <c r="Z53" s="16"/>
      <c r="AC53" s="16"/>
      <c r="AE53" s="16"/>
      <c r="AF53" s="22"/>
      <c r="AG53" s="18"/>
      <c r="AH53" s="7"/>
      <c r="AI53" s="7"/>
      <c r="AK53" s="16"/>
      <c r="AO53" s="23"/>
      <c r="AP53" s="17"/>
      <c r="AQ53" s="7"/>
      <c r="AR53"/>
      <c r="AS53" s="17"/>
      <c r="AV53"/>
      <c r="AW53" s="7"/>
      <c r="BB53" s="24"/>
      <c r="BC53"/>
      <c r="BG53" s="13"/>
      <c r="BH53"/>
      <c r="BI53"/>
      <c r="BJ53"/>
      <c r="BK53"/>
      <c r="BL53"/>
      <c r="BM53"/>
    </row>
    <row r="54" spans="1:65" s="6" customFormat="1" x14ac:dyDescent="0.25">
      <c r="F54" s="21"/>
      <c r="G54" s="10"/>
      <c r="H54" s="7"/>
      <c r="I54" s="13"/>
      <c r="U54" s="16"/>
      <c r="W54" s="16"/>
      <c r="X54" s="16"/>
      <c r="Y54" s="16"/>
      <c r="Z54" s="16"/>
      <c r="AC54" s="16"/>
      <c r="AE54" s="16"/>
      <c r="AF54" s="22"/>
      <c r="AG54" s="18"/>
      <c r="AH54" s="7"/>
      <c r="AI54" s="7"/>
      <c r="AK54" s="16"/>
      <c r="AO54" s="23"/>
      <c r="AP54" s="17"/>
      <c r="AQ54" s="7"/>
      <c r="AR54"/>
      <c r="AS54" s="17"/>
      <c r="AW54" s="7"/>
      <c r="BB54" s="24"/>
      <c r="BC54"/>
      <c r="BG54"/>
    </row>
    <row r="55" spans="1:65" s="6" customFormat="1" x14ac:dyDescent="0.25">
      <c r="A55"/>
      <c r="B55"/>
      <c r="C55"/>
      <c r="D55"/>
      <c r="E55"/>
      <c r="F55"/>
      <c r="G55"/>
      <c r="H55" s="13"/>
      <c r="I55" s="13"/>
      <c r="J55"/>
      <c r="K55"/>
      <c r="L55"/>
      <c r="M55"/>
      <c r="N55"/>
      <c r="O55"/>
      <c r="P55"/>
      <c r="Q55"/>
      <c r="R55"/>
      <c r="S55"/>
      <c r="T55"/>
      <c r="U55" s="27"/>
      <c r="V55" s="14"/>
      <c r="W55" s="27"/>
      <c r="X55" s="27"/>
      <c r="Y55" s="27"/>
      <c r="Z55" s="27"/>
      <c r="AA55"/>
      <c r="AB55"/>
      <c r="AC55" s="27"/>
      <c r="AD55"/>
      <c r="AE55" s="27"/>
      <c r="AF55" s="27"/>
      <c r="AG55" s="28"/>
      <c r="AH55" s="15"/>
      <c r="AI55" s="15"/>
      <c r="AJ55"/>
      <c r="AK55" s="27"/>
      <c r="AL55"/>
      <c r="AM55"/>
      <c r="AN55"/>
      <c r="AO55" s="27"/>
      <c r="AP55" s="27"/>
      <c r="AQ55" s="15"/>
      <c r="AR55"/>
      <c r="AS55" s="27"/>
      <c r="AT55"/>
      <c r="AU55"/>
      <c r="AV55"/>
      <c r="AW55" s="13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</row>
    <row r="56" spans="1:65" s="6" customFormat="1" x14ac:dyDescent="0.25">
      <c r="A56"/>
      <c r="B56"/>
      <c r="C56"/>
      <c r="D56"/>
      <c r="E56"/>
      <c r="F56"/>
      <c r="G56"/>
      <c r="H56" s="13"/>
      <c r="I56" s="13"/>
      <c r="J56"/>
      <c r="K56"/>
      <c r="L56"/>
      <c r="M56"/>
      <c r="N56"/>
      <c r="O56"/>
      <c r="P56"/>
      <c r="Q56"/>
      <c r="R56"/>
      <c r="S56"/>
      <c r="T56"/>
      <c r="U56" s="27"/>
      <c r="V56" s="14"/>
      <c r="W56" s="27"/>
      <c r="X56" s="27"/>
      <c r="Y56" s="27"/>
      <c r="Z56" s="27"/>
      <c r="AA56"/>
      <c r="AB56"/>
      <c r="AC56" s="27"/>
      <c r="AD56"/>
      <c r="AE56" s="27"/>
      <c r="AF56" s="27"/>
      <c r="AG56" s="28"/>
      <c r="AH56" s="15"/>
      <c r="AI56" s="15"/>
      <c r="AJ56"/>
      <c r="AK56" s="27"/>
      <c r="AL56"/>
      <c r="AM56"/>
      <c r="AN56"/>
      <c r="AO56" s="27"/>
      <c r="AP56" s="27"/>
      <c r="AQ56" s="15"/>
      <c r="AR56"/>
      <c r="AS56" s="27"/>
      <c r="AT56"/>
      <c r="AU56"/>
      <c r="AV56"/>
      <c r="AW56" s="13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</row>
    <row r="57" spans="1:65" s="6" customFormat="1" x14ac:dyDescent="0.25">
      <c r="F57" s="21"/>
      <c r="G57" s="10"/>
      <c r="H57" s="7"/>
      <c r="I57" s="13"/>
      <c r="U57" s="16"/>
      <c r="W57" s="16"/>
      <c r="X57" s="16"/>
      <c r="Y57" s="16"/>
      <c r="Z57" s="16"/>
      <c r="AC57" s="16"/>
      <c r="AE57" s="16"/>
      <c r="AF57" s="22"/>
      <c r="AG57" s="18"/>
      <c r="AH57" s="7"/>
      <c r="AI57" s="7"/>
      <c r="AK57" s="16"/>
      <c r="AO57" s="23"/>
      <c r="AP57" s="17"/>
      <c r="AQ57" s="7"/>
      <c r="AR57"/>
      <c r="AS57" s="17"/>
      <c r="AW57" s="7"/>
      <c r="BB57" s="24"/>
      <c r="BC57"/>
      <c r="BG57"/>
    </row>
    <row r="58" spans="1:65" s="6" customFormat="1" x14ac:dyDescent="0.25">
      <c r="F58" s="21"/>
      <c r="G58" s="10"/>
      <c r="H58" s="7"/>
      <c r="I58" s="7"/>
      <c r="U58" s="16"/>
      <c r="W58" s="16"/>
      <c r="X58" s="16"/>
      <c r="Y58" s="16"/>
      <c r="Z58" s="16"/>
      <c r="AC58" s="16"/>
      <c r="AE58" s="16"/>
      <c r="AF58" s="22"/>
      <c r="AG58" s="18"/>
      <c r="AH58" s="7"/>
      <c r="AI58" s="7"/>
      <c r="AK58" s="16"/>
      <c r="AO58" s="23"/>
      <c r="AP58" s="17"/>
      <c r="AQ58" s="7"/>
      <c r="AR58"/>
      <c r="AS58" s="17"/>
      <c r="AW58" s="7"/>
      <c r="BB58" s="24"/>
      <c r="BC58"/>
      <c r="BG58"/>
    </row>
    <row r="59" spans="1:65" s="6" customFormat="1" x14ac:dyDescent="0.25">
      <c r="F59" s="21"/>
      <c r="G59" s="10"/>
      <c r="H59" s="7"/>
      <c r="I59" s="13"/>
      <c r="U59" s="16"/>
      <c r="W59" s="16"/>
      <c r="X59" s="16"/>
      <c r="Y59" s="16"/>
      <c r="Z59" s="16"/>
      <c r="AC59" s="16"/>
      <c r="AE59" s="16"/>
      <c r="AF59" s="22"/>
      <c r="AG59" s="18"/>
      <c r="AH59" s="7"/>
      <c r="AI59" s="7"/>
      <c r="AK59" s="16"/>
      <c r="AO59" s="23"/>
      <c r="AP59" s="17"/>
      <c r="AQ59" s="7"/>
      <c r="AR59"/>
      <c r="AS59" s="17"/>
      <c r="AV59"/>
      <c r="AW59" s="7"/>
      <c r="BB59" s="24"/>
      <c r="BC59"/>
      <c r="BG59"/>
    </row>
    <row r="60" spans="1:65" s="6" customFormat="1" x14ac:dyDescent="0.25">
      <c r="A60"/>
      <c r="B60"/>
      <c r="C60"/>
      <c r="D60"/>
      <c r="E60"/>
      <c r="F60"/>
      <c r="G60"/>
      <c r="H60" s="13"/>
      <c r="I60" s="13"/>
      <c r="J60"/>
      <c r="K60"/>
      <c r="L60"/>
      <c r="M60"/>
      <c r="N60"/>
      <c r="O60"/>
      <c r="P60"/>
      <c r="Q60"/>
      <c r="R60"/>
      <c r="S60"/>
      <c r="T60"/>
      <c r="U60" s="27"/>
      <c r="V60" s="14"/>
      <c r="W60" s="27"/>
      <c r="X60" s="27"/>
      <c r="Y60" s="27"/>
      <c r="Z60" s="27"/>
      <c r="AA60"/>
      <c r="AB60"/>
      <c r="AC60" s="27"/>
      <c r="AD60"/>
      <c r="AE60" s="27"/>
      <c r="AF60" s="27"/>
      <c r="AG60" s="28"/>
      <c r="AH60" s="15"/>
      <c r="AI60" s="15"/>
      <c r="AJ60"/>
      <c r="AK60" s="27"/>
      <c r="AL60"/>
      <c r="AM60"/>
      <c r="AN60"/>
      <c r="AO60" s="27"/>
      <c r="AP60" s="27"/>
      <c r="AQ60" s="15"/>
      <c r="AR60"/>
      <c r="AS60" s="27"/>
      <c r="AT60"/>
      <c r="AU60"/>
      <c r="AW60" s="13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</row>
    <row r="61" spans="1:65" s="6" customFormat="1" x14ac:dyDescent="0.25">
      <c r="F61" s="21"/>
      <c r="G61" s="10"/>
      <c r="H61" s="7"/>
      <c r="I61" s="7"/>
      <c r="U61" s="16"/>
      <c r="W61" s="16"/>
      <c r="X61" s="16"/>
      <c r="Y61" s="16"/>
      <c r="Z61" s="16"/>
      <c r="AC61" s="16"/>
      <c r="AE61" s="16"/>
      <c r="AF61" s="22"/>
      <c r="AG61" s="18"/>
      <c r="AH61" s="7"/>
      <c r="AI61" s="7"/>
      <c r="AK61" s="16"/>
      <c r="AO61" s="23"/>
      <c r="AP61" s="17"/>
      <c r="AQ61" s="7"/>
      <c r="AR61"/>
      <c r="AS61" s="17"/>
      <c r="AW61" s="7"/>
      <c r="BB61" s="24"/>
      <c r="BC61"/>
      <c r="BG61"/>
    </row>
    <row r="62" spans="1:65" s="6" customFormat="1" x14ac:dyDescent="0.25">
      <c r="F62" s="21"/>
      <c r="G62" s="10"/>
      <c r="H62" s="7"/>
      <c r="I62" s="13"/>
      <c r="U62" s="16"/>
      <c r="W62" s="16"/>
      <c r="X62" s="16"/>
      <c r="Y62" s="16"/>
      <c r="Z62" s="16"/>
      <c r="AC62" s="16"/>
      <c r="AE62" s="16"/>
      <c r="AF62" s="22"/>
      <c r="AG62" s="18"/>
      <c r="AH62" s="7"/>
      <c r="AI62" s="7"/>
      <c r="AK62" s="16"/>
      <c r="AO62" s="23"/>
      <c r="AP62" s="17"/>
      <c r="AQ62" s="7"/>
      <c r="AR62"/>
      <c r="AS62" s="17"/>
      <c r="AV62"/>
      <c r="AW62" s="7"/>
      <c r="BB62" s="24"/>
      <c r="BC62"/>
      <c r="BG62"/>
    </row>
    <row r="63" spans="1:65" s="6" customFormat="1" x14ac:dyDescent="0.25">
      <c r="F63" s="21"/>
      <c r="G63" s="10"/>
      <c r="H63" s="7"/>
      <c r="I63" s="13"/>
      <c r="U63" s="16"/>
      <c r="W63" s="16"/>
      <c r="X63" s="16"/>
      <c r="Y63" s="16"/>
      <c r="Z63" s="16"/>
      <c r="AC63" s="16"/>
      <c r="AE63" s="16"/>
      <c r="AF63" s="22"/>
      <c r="AG63" s="18"/>
      <c r="AH63" s="7"/>
      <c r="AI63" s="7"/>
      <c r="AK63" s="16"/>
      <c r="AO63" s="23"/>
      <c r="AP63" s="17"/>
      <c r="AQ63" s="7"/>
      <c r="AR63"/>
      <c r="AS63" s="17"/>
      <c r="AW63" s="7"/>
      <c r="BB63" s="24"/>
      <c r="BC63"/>
      <c r="BG63"/>
    </row>
    <row r="64" spans="1:65" s="6" customFormat="1" x14ac:dyDescent="0.25">
      <c r="A64"/>
      <c r="B64"/>
      <c r="C64"/>
      <c r="D64"/>
      <c r="E64"/>
      <c r="F64"/>
      <c r="G64"/>
      <c r="H64" s="13"/>
      <c r="I64" s="13"/>
      <c r="J64"/>
      <c r="K64"/>
      <c r="L64"/>
      <c r="M64"/>
      <c r="N64"/>
      <c r="O64"/>
      <c r="P64"/>
      <c r="Q64"/>
      <c r="R64"/>
      <c r="S64"/>
      <c r="T64"/>
      <c r="U64" s="27"/>
      <c r="V64" s="14"/>
      <c r="W64" s="27"/>
      <c r="X64" s="27"/>
      <c r="Y64" s="27"/>
      <c r="Z64" s="27"/>
      <c r="AA64"/>
      <c r="AB64"/>
      <c r="AC64" s="27"/>
      <c r="AD64"/>
      <c r="AE64" s="27"/>
      <c r="AF64" s="27"/>
      <c r="AG64" s="28"/>
      <c r="AH64" s="15"/>
      <c r="AI64" s="15"/>
      <c r="AJ64"/>
      <c r="AK64" s="27"/>
      <c r="AL64"/>
      <c r="AM64"/>
      <c r="AN64"/>
      <c r="AO64" s="27"/>
      <c r="AP64" s="27"/>
      <c r="AQ64" s="15"/>
      <c r="AR64"/>
      <c r="AS64" s="27"/>
      <c r="AT64"/>
      <c r="AU64"/>
      <c r="AV64"/>
      <c r="AW64" s="13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</row>
    <row r="65" spans="1:65" s="6" customFormat="1" x14ac:dyDescent="0.25">
      <c r="A65"/>
      <c r="B65"/>
      <c r="C65"/>
      <c r="D65"/>
      <c r="E65"/>
      <c r="F65"/>
      <c r="G65"/>
      <c r="H65" s="13"/>
      <c r="I65" s="13"/>
      <c r="J65"/>
      <c r="K65"/>
      <c r="L65"/>
      <c r="M65"/>
      <c r="N65"/>
      <c r="O65"/>
      <c r="P65"/>
      <c r="Q65"/>
      <c r="R65"/>
      <c r="S65"/>
      <c r="T65"/>
      <c r="U65" s="27"/>
      <c r="V65" s="14"/>
      <c r="W65" s="27"/>
      <c r="X65" s="27"/>
      <c r="Y65" s="27"/>
      <c r="Z65" s="27"/>
      <c r="AA65"/>
      <c r="AB65"/>
      <c r="AC65" s="27"/>
      <c r="AD65"/>
      <c r="AE65" s="27"/>
      <c r="AF65" s="27"/>
      <c r="AG65" s="28"/>
      <c r="AH65" s="15"/>
      <c r="AI65" s="15"/>
      <c r="AJ65"/>
      <c r="AK65" s="27"/>
      <c r="AL65"/>
      <c r="AM65"/>
      <c r="AN65"/>
      <c r="AO65" s="27"/>
      <c r="AP65" s="27"/>
      <c r="AQ65" s="15"/>
      <c r="AR65"/>
      <c r="AS65" s="27"/>
      <c r="AT65"/>
      <c r="AU65"/>
      <c r="AV65"/>
      <c r="AW65" s="13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</row>
    <row r="66" spans="1:65" s="6" customFormat="1" x14ac:dyDescent="0.25">
      <c r="F66" s="21"/>
      <c r="G66" s="10"/>
      <c r="H66" s="7"/>
      <c r="I66" s="13"/>
      <c r="U66" s="16"/>
      <c r="W66" s="16"/>
      <c r="X66" s="16"/>
      <c r="Y66" s="16"/>
      <c r="Z66" s="16"/>
      <c r="AC66" s="16"/>
      <c r="AE66" s="16"/>
      <c r="AF66" s="22"/>
      <c r="AG66" s="18"/>
      <c r="AH66" s="7"/>
      <c r="AI66" s="7"/>
      <c r="AK66" s="16"/>
      <c r="AO66" s="23"/>
      <c r="AP66" s="17"/>
      <c r="AQ66" s="7"/>
      <c r="AR66"/>
      <c r="AS66" s="17"/>
      <c r="AW66" s="7"/>
      <c r="BB66" s="24"/>
      <c r="BC66"/>
      <c r="BG66"/>
    </row>
  </sheetData>
  <conditionalFormatting sqref="F17:F22">
    <cfRule type="duplicateValues" dxfId="5" priority="4"/>
  </conditionalFormatting>
  <conditionalFormatting sqref="F23:F28">
    <cfRule type="duplicateValues" dxfId="4" priority="9"/>
  </conditionalFormatting>
  <conditionalFormatting sqref="F29:F66">
    <cfRule type="duplicateValues" dxfId="3" priority="15"/>
  </conditionalFormatting>
  <conditionalFormatting sqref="F1:F10">
    <cfRule type="duplicateValues" dxfId="1" priority="2"/>
  </conditionalFormatting>
  <conditionalFormatting sqref="F11:F1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10A1C-44BB-44A7-B770-C4FB1C5E0484}">
  <sheetPr codeName="Hoja3"/>
  <dimension ref="A2:M1190"/>
  <sheetViews>
    <sheetView workbookViewId="0">
      <selection activeCell="J1" sqref="J1"/>
    </sheetView>
  </sheetViews>
  <sheetFormatPr baseColWidth="10" defaultRowHeight="15" x14ac:dyDescent="0.25"/>
  <sheetData>
    <row r="2" spans="1:13" ht="15.75" thickBot="1" x14ac:dyDescent="0.3">
      <c r="A2" s="12"/>
      <c r="B2" t="s">
        <v>67</v>
      </c>
      <c r="C2" s="19">
        <v>0.125</v>
      </c>
      <c r="D2" t="s">
        <v>68</v>
      </c>
      <c r="E2" t="s">
        <v>69</v>
      </c>
      <c r="F2" t="s">
        <v>70</v>
      </c>
      <c r="G2" t="s">
        <v>71</v>
      </c>
      <c r="H2" t="s">
        <v>72</v>
      </c>
      <c r="I2" t="s">
        <v>73</v>
      </c>
      <c r="J2" t="str">
        <f>"46155"</f>
        <v>46155</v>
      </c>
      <c r="K2" t="s">
        <v>74</v>
      </c>
      <c r="L2" t="s">
        <v>75</v>
      </c>
      <c r="M2" t="s">
        <v>76</v>
      </c>
    </row>
    <row r="3" spans="1:13" ht="15.75" thickBot="1" x14ac:dyDescent="0.3">
      <c r="A3" s="12"/>
      <c r="B3" t="s">
        <v>67</v>
      </c>
      <c r="C3" s="20">
        <v>1.3333333333333333</v>
      </c>
      <c r="D3" t="s">
        <v>68</v>
      </c>
      <c r="E3" t="s">
        <v>69</v>
      </c>
      <c r="F3" t="s">
        <v>70</v>
      </c>
      <c r="G3" t="s">
        <v>71</v>
      </c>
      <c r="H3" t="s">
        <v>72</v>
      </c>
      <c r="I3" t="s">
        <v>73</v>
      </c>
      <c r="J3" t="str">
        <f>"46156"</f>
        <v>46156</v>
      </c>
      <c r="K3" t="s">
        <v>77</v>
      </c>
      <c r="L3" t="s">
        <v>75</v>
      </c>
      <c r="M3" t="s">
        <v>76</v>
      </c>
    </row>
    <row r="4" spans="1:13" ht="15.75" thickBot="1" x14ac:dyDescent="0.3">
      <c r="A4" s="12"/>
      <c r="B4" t="s">
        <v>67</v>
      </c>
      <c r="C4" s="20">
        <v>2.5416666666666665</v>
      </c>
      <c r="D4" t="s">
        <v>68</v>
      </c>
      <c r="E4" t="s">
        <v>69</v>
      </c>
      <c r="F4" t="s">
        <v>70</v>
      </c>
      <c r="G4" t="s">
        <v>71</v>
      </c>
      <c r="H4" t="s">
        <v>72</v>
      </c>
      <c r="I4" t="s">
        <v>73</v>
      </c>
      <c r="J4" t="str">
        <f>"46157"</f>
        <v>46157</v>
      </c>
      <c r="K4" t="s">
        <v>78</v>
      </c>
      <c r="L4" t="s">
        <v>75</v>
      </c>
      <c r="M4" t="s">
        <v>76</v>
      </c>
    </row>
    <row r="5" spans="1:13" ht="15.75" thickBot="1" x14ac:dyDescent="0.3">
      <c r="A5" s="12"/>
      <c r="B5" t="s">
        <v>67</v>
      </c>
      <c r="C5" s="20">
        <v>3.75</v>
      </c>
      <c r="D5" t="s">
        <v>68</v>
      </c>
      <c r="E5" t="s">
        <v>69</v>
      </c>
      <c r="F5" t="s">
        <v>70</v>
      </c>
      <c r="G5" t="s">
        <v>71</v>
      </c>
      <c r="H5" t="s">
        <v>72</v>
      </c>
      <c r="I5" t="s">
        <v>73</v>
      </c>
      <c r="J5" t="str">
        <f>"46158"</f>
        <v>46158</v>
      </c>
      <c r="K5" t="s">
        <v>79</v>
      </c>
      <c r="L5" t="s">
        <v>75</v>
      </c>
      <c r="M5" t="s">
        <v>76</v>
      </c>
    </row>
    <row r="6" spans="1:13" ht="15.75" thickBot="1" x14ac:dyDescent="0.3">
      <c r="A6" s="12"/>
      <c r="B6" t="s">
        <v>67</v>
      </c>
      <c r="C6" s="20">
        <v>4.958333333333333</v>
      </c>
      <c r="D6" t="s">
        <v>68</v>
      </c>
      <c r="E6" t="s">
        <v>69</v>
      </c>
      <c r="F6" t="s">
        <v>70</v>
      </c>
      <c r="G6" t="s">
        <v>71</v>
      </c>
      <c r="H6" t="s">
        <v>72</v>
      </c>
      <c r="I6" t="s">
        <v>73</v>
      </c>
      <c r="J6" t="str">
        <f>"46159"</f>
        <v>46159</v>
      </c>
      <c r="K6" t="s">
        <v>80</v>
      </c>
      <c r="L6" t="s">
        <v>75</v>
      </c>
      <c r="M6" t="s">
        <v>76</v>
      </c>
    </row>
    <row r="7" spans="1:13" ht="15.75" thickBot="1" x14ac:dyDescent="0.3">
      <c r="A7" s="12"/>
      <c r="B7" t="s">
        <v>67</v>
      </c>
      <c r="C7" s="20">
        <v>6.166666666666667</v>
      </c>
      <c r="D7" t="s">
        <v>68</v>
      </c>
      <c r="E7" t="s">
        <v>69</v>
      </c>
      <c r="F7" t="s">
        <v>70</v>
      </c>
      <c r="G7" t="s">
        <v>71</v>
      </c>
      <c r="H7" t="s">
        <v>72</v>
      </c>
      <c r="I7" t="s">
        <v>73</v>
      </c>
      <c r="J7" t="str">
        <f>"46160"</f>
        <v>46160</v>
      </c>
      <c r="K7" t="s">
        <v>81</v>
      </c>
      <c r="L7" t="s">
        <v>75</v>
      </c>
      <c r="M7" t="s">
        <v>76</v>
      </c>
    </row>
    <row r="8" spans="1:13" ht="15.75" thickBot="1" x14ac:dyDescent="0.3">
      <c r="A8" s="12"/>
      <c r="B8" t="s">
        <v>67</v>
      </c>
      <c r="C8" s="20">
        <v>7.375</v>
      </c>
      <c r="D8" t="s">
        <v>68</v>
      </c>
      <c r="E8" t="s">
        <v>69</v>
      </c>
      <c r="F8" t="s">
        <v>70</v>
      </c>
      <c r="G8" t="s">
        <v>71</v>
      </c>
      <c r="H8" t="s">
        <v>72</v>
      </c>
      <c r="I8" t="s">
        <v>73</v>
      </c>
      <c r="J8" t="str">
        <f>"46161"</f>
        <v>46161</v>
      </c>
      <c r="K8" t="s">
        <v>82</v>
      </c>
      <c r="L8" t="s">
        <v>75</v>
      </c>
      <c r="M8" t="s">
        <v>76</v>
      </c>
    </row>
    <row r="9" spans="1:13" ht="15.75" thickBot="1" x14ac:dyDescent="0.3">
      <c r="A9" s="12"/>
      <c r="B9" t="s">
        <v>67</v>
      </c>
      <c r="C9" s="20">
        <v>8.5833333333333339</v>
      </c>
      <c r="D9" t="s">
        <v>68</v>
      </c>
      <c r="E9" t="s">
        <v>69</v>
      </c>
      <c r="F9" t="s">
        <v>70</v>
      </c>
      <c r="G9" t="s">
        <v>71</v>
      </c>
      <c r="H9" t="s">
        <v>72</v>
      </c>
      <c r="I9" t="s">
        <v>73</v>
      </c>
      <c r="J9" t="str">
        <f>"46162"</f>
        <v>46162</v>
      </c>
      <c r="K9" t="s">
        <v>83</v>
      </c>
      <c r="L9" t="s">
        <v>75</v>
      </c>
      <c r="M9" t="s">
        <v>76</v>
      </c>
    </row>
    <row r="10" spans="1:13" ht="15.75" thickBot="1" x14ac:dyDescent="0.3">
      <c r="A10" s="12"/>
      <c r="B10" t="s">
        <v>67</v>
      </c>
      <c r="C10" s="20">
        <v>9.7916666666666661</v>
      </c>
      <c r="D10" t="s">
        <v>68</v>
      </c>
      <c r="E10" t="s">
        <v>69</v>
      </c>
      <c r="F10" t="s">
        <v>70</v>
      </c>
      <c r="G10" t="s">
        <v>71</v>
      </c>
      <c r="H10" t="s">
        <v>72</v>
      </c>
      <c r="I10" t="s">
        <v>73</v>
      </c>
      <c r="J10" t="str">
        <f>"46163"</f>
        <v>46163</v>
      </c>
      <c r="K10" t="s">
        <v>84</v>
      </c>
      <c r="L10" t="s">
        <v>75</v>
      </c>
      <c r="M10" t="s">
        <v>76</v>
      </c>
    </row>
    <row r="11" spans="1:13" ht="15.75" thickBot="1" x14ac:dyDescent="0.3">
      <c r="A11" s="12"/>
      <c r="B11" t="s">
        <v>67</v>
      </c>
      <c r="C11" s="20">
        <v>11</v>
      </c>
      <c r="D11" t="s">
        <v>68</v>
      </c>
      <c r="E11" t="s">
        <v>69</v>
      </c>
      <c r="F11" t="s">
        <v>70</v>
      </c>
      <c r="G11" t="s">
        <v>71</v>
      </c>
      <c r="H11" t="s">
        <v>72</v>
      </c>
      <c r="I11" t="s">
        <v>73</v>
      </c>
      <c r="J11" t="str">
        <f>"46164"</f>
        <v>46164</v>
      </c>
      <c r="K11" t="s">
        <v>85</v>
      </c>
      <c r="L11" t="s">
        <v>75</v>
      </c>
      <c r="M11" t="s">
        <v>76</v>
      </c>
    </row>
    <row r="12" spans="1:13" ht="15.75" thickBot="1" x14ac:dyDescent="0.3">
      <c r="A12" s="12"/>
      <c r="B12" t="s">
        <v>67</v>
      </c>
      <c r="C12" s="20">
        <v>12.208333333333334</v>
      </c>
      <c r="D12" t="s">
        <v>68</v>
      </c>
      <c r="E12" t="s">
        <v>69</v>
      </c>
      <c r="F12" t="s">
        <v>70</v>
      </c>
      <c r="G12" t="s">
        <v>71</v>
      </c>
      <c r="H12" t="s">
        <v>72</v>
      </c>
      <c r="I12" t="s">
        <v>73</v>
      </c>
      <c r="J12" t="str">
        <f>"46165"</f>
        <v>46165</v>
      </c>
      <c r="K12" t="s">
        <v>86</v>
      </c>
      <c r="L12" t="s">
        <v>75</v>
      </c>
      <c r="M12" t="s">
        <v>76</v>
      </c>
    </row>
    <row r="13" spans="1:13" ht="15.75" thickBot="1" x14ac:dyDescent="0.3">
      <c r="A13" s="12"/>
      <c r="B13" t="s">
        <v>67</v>
      </c>
      <c r="C13" s="20">
        <v>13.416666666666666</v>
      </c>
      <c r="D13" t="s">
        <v>68</v>
      </c>
      <c r="E13" t="s">
        <v>69</v>
      </c>
      <c r="F13" t="s">
        <v>70</v>
      </c>
      <c r="G13" t="s">
        <v>71</v>
      </c>
      <c r="H13" t="s">
        <v>72</v>
      </c>
      <c r="I13" t="s">
        <v>73</v>
      </c>
      <c r="J13" t="str">
        <f>"46166"</f>
        <v>46166</v>
      </c>
      <c r="K13" t="s">
        <v>87</v>
      </c>
      <c r="L13" t="s">
        <v>75</v>
      </c>
      <c r="M13" t="s">
        <v>76</v>
      </c>
    </row>
    <row r="14" spans="1:13" ht="15.75" thickBot="1" x14ac:dyDescent="0.3">
      <c r="A14" s="12"/>
      <c r="B14" t="s">
        <v>67</v>
      </c>
      <c r="C14" s="20">
        <v>14.625</v>
      </c>
      <c r="D14" t="s">
        <v>68</v>
      </c>
      <c r="E14" t="s">
        <v>69</v>
      </c>
      <c r="F14" t="s">
        <v>70</v>
      </c>
      <c r="G14" t="s">
        <v>71</v>
      </c>
      <c r="H14" t="s">
        <v>72</v>
      </c>
      <c r="I14" t="s">
        <v>73</v>
      </c>
      <c r="J14" t="str">
        <f>"46167"</f>
        <v>46167</v>
      </c>
      <c r="K14" t="s">
        <v>88</v>
      </c>
      <c r="L14" t="s">
        <v>75</v>
      </c>
      <c r="M14" t="s">
        <v>76</v>
      </c>
    </row>
    <row r="15" spans="1:13" ht="15.75" thickBot="1" x14ac:dyDescent="0.3">
      <c r="A15" s="12"/>
      <c r="B15" t="s">
        <v>67</v>
      </c>
      <c r="C15" s="20">
        <v>15.833333333333334</v>
      </c>
      <c r="D15" t="s">
        <v>68</v>
      </c>
      <c r="E15" t="s">
        <v>69</v>
      </c>
      <c r="F15" t="s">
        <v>70</v>
      </c>
      <c r="G15" t="s">
        <v>71</v>
      </c>
      <c r="H15" t="s">
        <v>72</v>
      </c>
      <c r="I15" t="s">
        <v>73</v>
      </c>
      <c r="J15" t="str">
        <f>"46168"</f>
        <v>46168</v>
      </c>
      <c r="K15" t="s">
        <v>89</v>
      </c>
      <c r="L15" t="s">
        <v>75</v>
      </c>
      <c r="M15" t="s">
        <v>76</v>
      </c>
    </row>
    <row r="16" spans="1:13" ht="15.75" thickBot="1" x14ac:dyDescent="0.3">
      <c r="A16" s="12"/>
      <c r="B16" t="s">
        <v>67</v>
      </c>
      <c r="C16" s="20">
        <v>17.041666666666668</v>
      </c>
      <c r="D16" t="s">
        <v>68</v>
      </c>
      <c r="E16" t="s">
        <v>69</v>
      </c>
      <c r="F16" t="s">
        <v>70</v>
      </c>
      <c r="G16" t="s">
        <v>71</v>
      </c>
      <c r="H16" t="s">
        <v>72</v>
      </c>
      <c r="I16" t="s">
        <v>73</v>
      </c>
      <c r="J16" t="str">
        <f>"46169"</f>
        <v>46169</v>
      </c>
      <c r="K16" t="s">
        <v>90</v>
      </c>
      <c r="L16" t="s">
        <v>75</v>
      </c>
      <c r="M16" t="s">
        <v>76</v>
      </c>
    </row>
    <row r="17" spans="1:13" ht="15.75" thickBot="1" x14ac:dyDescent="0.3">
      <c r="A17" s="12"/>
      <c r="B17" t="s">
        <v>67</v>
      </c>
      <c r="C17" s="20">
        <v>18.25</v>
      </c>
      <c r="D17" t="s">
        <v>68</v>
      </c>
      <c r="E17" t="s">
        <v>69</v>
      </c>
      <c r="F17" t="s">
        <v>70</v>
      </c>
      <c r="G17" t="s">
        <v>71</v>
      </c>
      <c r="H17" t="s">
        <v>72</v>
      </c>
      <c r="I17" t="s">
        <v>73</v>
      </c>
      <c r="J17" t="str">
        <f>"46170"</f>
        <v>46170</v>
      </c>
      <c r="K17" t="s">
        <v>91</v>
      </c>
      <c r="L17" t="s">
        <v>75</v>
      </c>
      <c r="M17" t="s">
        <v>76</v>
      </c>
    </row>
    <row r="18" spans="1:13" ht="15.75" thickBot="1" x14ac:dyDescent="0.3">
      <c r="A18" s="12"/>
      <c r="B18" t="s">
        <v>67</v>
      </c>
      <c r="C18" s="20">
        <v>19.458333333333332</v>
      </c>
      <c r="D18" t="s">
        <v>68</v>
      </c>
      <c r="E18" t="s">
        <v>69</v>
      </c>
      <c r="F18" t="s">
        <v>70</v>
      </c>
      <c r="G18" t="s">
        <v>71</v>
      </c>
      <c r="H18" t="s">
        <v>72</v>
      </c>
      <c r="I18" t="s">
        <v>73</v>
      </c>
      <c r="J18" t="str">
        <f>"46171"</f>
        <v>46171</v>
      </c>
      <c r="K18" t="s">
        <v>92</v>
      </c>
      <c r="L18" t="s">
        <v>75</v>
      </c>
      <c r="M18" t="s">
        <v>76</v>
      </c>
    </row>
    <row r="19" spans="1:13" ht="15.75" thickBot="1" x14ac:dyDescent="0.3">
      <c r="A19" s="12"/>
      <c r="B19" t="s">
        <v>67</v>
      </c>
      <c r="C19" s="20">
        <v>20.666666666666668</v>
      </c>
      <c r="D19" t="s">
        <v>68</v>
      </c>
      <c r="E19" t="s">
        <v>69</v>
      </c>
      <c r="F19" t="s">
        <v>70</v>
      </c>
      <c r="G19" t="s">
        <v>71</v>
      </c>
      <c r="H19" t="s">
        <v>72</v>
      </c>
      <c r="I19" t="s">
        <v>73</v>
      </c>
      <c r="J19" t="str">
        <f>"46172"</f>
        <v>46172</v>
      </c>
      <c r="K19" t="s">
        <v>93</v>
      </c>
      <c r="L19" t="s">
        <v>75</v>
      </c>
      <c r="M19" t="s">
        <v>76</v>
      </c>
    </row>
    <row r="20" spans="1:13" ht="15.75" thickBot="1" x14ac:dyDescent="0.3">
      <c r="A20" s="12"/>
      <c r="B20" t="s">
        <v>67</v>
      </c>
      <c r="C20" s="20">
        <v>21.875</v>
      </c>
      <c r="D20" t="s">
        <v>68</v>
      </c>
      <c r="E20" t="s">
        <v>69</v>
      </c>
      <c r="F20" t="s">
        <v>70</v>
      </c>
      <c r="G20" t="s">
        <v>71</v>
      </c>
      <c r="H20" t="s">
        <v>72</v>
      </c>
      <c r="I20" t="s">
        <v>73</v>
      </c>
      <c r="J20" t="str">
        <f>"46173"</f>
        <v>46173</v>
      </c>
      <c r="K20" t="s">
        <v>94</v>
      </c>
      <c r="L20" t="s">
        <v>75</v>
      </c>
      <c r="M20" t="s">
        <v>76</v>
      </c>
    </row>
    <row r="21" spans="1:13" ht="15.75" thickBot="1" x14ac:dyDescent="0.3">
      <c r="A21" s="12"/>
      <c r="B21" t="s">
        <v>67</v>
      </c>
      <c r="C21" s="20">
        <v>23.083333333333332</v>
      </c>
      <c r="D21" t="s">
        <v>68</v>
      </c>
      <c r="E21" t="s">
        <v>69</v>
      </c>
      <c r="F21" t="s">
        <v>70</v>
      </c>
      <c r="G21" t="s">
        <v>71</v>
      </c>
      <c r="H21" t="s">
        <v>72</v>
      </c>
      <c r="I21" t="s">
        <v>73</v>
      </c>
      <c r="J21" t="str">
        <f>"46174"</f>
        <v>46174</v>
      </c>
      <c r="K21" t="s">
        <v>95</v>
      </c>
      <c r="L21" t="s">
        <v>75</v>
      </c>
      <c r="M21" t="s">
        <v>76</v>
      </c>
    </row>
    <row r="22" spans="1:13" ht="15.75" thickBot="1" x14ac:dyDescent="0.3">
      <c r="A22" s="12"/>
      <c r="B22" t="s">
        <v>67</v>
      </c>
      <c r="C22" s="20">
        <v>24.291666666666668</v>
      </c>
      <c r="D22" t="s">
        <v>68</v>
      </c>
      <c r="E22" t="s">
        <v>69</v>
      </c>
      <c r="F22" t="s">
        <v>70</v>
      </c>
      <c r="G22" t="s">
        <v>71</v>
      </c>
      <c r="H22" t="s">
        <v>72</v>
      </c>
      <c r="I22" t="s">
        <v>73</v>
      </c>
      <c r="J22" t="str">
        <f>"46175"</f>
        <v>46175</v>
      </c>
      <c r="K22" t="s">
        <v>96</v>
      </c>
      <c r="L22" t="s">
        <v>75</v>
      </c>
      <c r="M22" t="s">
        <v>76</v>
      </c>
    </row>
    <row r="23" spans="1:13" ht="15.75" thickBot="1" x14ac:dyDescent="0.3">
      <c r="A23" s="12"/>
      <c r="B23" t="s">
        <v>67</v>
      </c>
      <c r="C23" s="20">
        <v>25.5</v>
      </c>
      <c r="D23" t="s">
        <v>68</v>
      </c>
      <c r="E23" t="s">
        <v>69</v>
      </c>
      <c r="F23" t="s">
        <v>70</v>
      </c>
      <c r="G23" t="s">
        <v>71</v>
      </c>
      <c r="H23" t="s">
        <v>72</v>
      </c>
      <c r="I23" t="s">
        <v>73</v>
      </c>
      <c r="J23" t="str">
        <f>"46176"</f>
        <v>46176</v>
      </c>
      <c r="K23" t="s">
        <v>97</v>
      </c>
      <c r="L23" t="s">
        <v>75</v>
      </c>
      <c r="M23" t="s">
        <v>76</v>
      </c>
    </row>
    <row r="24" spans="1:13" ht="15.75" thickBot="1" x14ac:dyDescent="0.3">
      <c r="A24" s="12"/>
      <c r="B24" t="s">
        <v>67</v>
      </c>
      <c r="C24" s="20">
        <v>26.708333333333332</v>
      </c>
      <c r="D24" t="s">
        <v>68</v>
      </c>
      <c r="E24" t="s">
        <v>69</v>
      </c>
      <c r="F24" t="s">
        <v>70</v>
      </c>
      <c r="G24" t="s">
        <v>71</v>
      </c>
      <c r="H24" t="s">
        <v>72</v>
      </c>
      <c r="I24" t="s">
        <v>73</v>
      </c>
      <c r="J24" t="str">
        <f>"46177"</f>
        <v>46177</v>
      </c>
      <c r="K24" t="s">
        <v>98</v>
      </c>
      <c r="L24" t="s">
        <v>75</v>
      </c>
      <c r="M24" t="s">
        <v>76</v>
      </c>
    </row>
    <row r="25" spans="1:13" ht="15.75" thickBot="1" x14ac:dyDescent="0.3">
      <c r="A25" s="12"/>
      <c r="B25" t="s">
        <v>67</v>
      </c>
      <c r="C25" s="20">
        <v>27.916666666666668</v>
      </c>
      <c r="D25" t="s">
        <v>68</v>
      </c>
      <c r="E25" t="s">
        <v>69</v>
      </c>
      <c r="F25" t="s">
        <v>70</v>
      </c>
      <c r="G25" t="s">
        <v>71</v>
      </c>
      <c r="H25" t="s">
        <v>72</v>
      </c>
      <c r="I25" t="s">
        <v>73</v>
      </c>
      <c r="J25" t="str">
        <f>"46178"</f>
        <v>46178</v>
      </c>
      <c r="K25" t="s">
        <v>99</v>
      </c>
      <c r="L25" t="s">
        <v>75</v>
      </c>
      <c r="M25" t="s">
        <v>76</v>
      </c>
    </row>
    <row r="26" spans="1:13" ht="15.75" thickBot="1" x14ac:dyDescent="0.3">
      <c r="A26" s="12"/>
      <c r="B26" t="s">
        <v>67</v>
      </c>
      <c r="C26" s="20">
        <v>29.125</v>
      </c>
      <c r="D26" t="s">
        <v>68</v>
      </c>
      <c r="E26" t="s">
        <v>69</v>
      </c>
      <c r="F26" t="s">
        <v>70</v>
      </c>
      <c r="G26" t="s">
        <v>71</v>
      </c>
      <c r="H26" t="s">
        <v>72</v>
      </c>
      <c r="I26" t="s">
        <v>73</v>
      </c>
      <c r="J26" t="str">
        <f>"46179"</f>
        <v>46179</v>
      </c>
      <c r="K26" t="s">
        <v>100</v>
      </c>
      <c r="L26" t="s">
        <v>75</v>
      </c>
      <c r="M26" t="s">
        <v>76</v>
      </c>
    </row>
    <row r="27" spans="1:13" ht="15.75" thickBot="1" x14ac:dyDescent="0.3">
      <c r="A27" s="12"/>
      <c r="B27" t="s">
        <v>67</v>
      </c>
      <c r="C27" s="20">
        <v>30.333333333333332</v>
      </c>
      <c r="D27" t="s">
        <v>68</v>
      </c>
      <c r="E27" t="s">
        <v>69</v>
      </c>
      <c r="F27" t="s">
        <v>70</v>
      </c>
      <c r="G27" t="s">
        <v>71</v>
      </c>
      <c r="H27" t="s">
        <v>72</v>
      </c>
      <c r="I27" t="s">
        <v>73</v>
      </c>
      <c r="J27" t="str">
        <f>"46180"</f>
        <v>46180</v>
      </c>
      <c r="K27" t="s">
        <v>101</v>
      </c>
      <c r="L27" t="s">
        <v>75</v>
      </c>
      <c r="M27" t="s">
        <v>76</v>
      </c>
    </row>
    <row r="28" spans="1:13" ht="15.75" thickBot="1" x14ac:dyDescent="0.3">
      <c r="A28" s="12"/>
      <c r="B28" t="s">
        <v>67</v>
      </c>
      <c r="C28" s="20">
        <v>31.541666666666668</v>
      </c>
      <c r="D28" t="s">
        <v>68</v>
      </c>
      <c r="E28" t="s">
        <v>69</v>
      </c>
      <c r="F28" t="s">
        <v>70</v>
      </c>
      <c r="G28" t="s">
        <v>71</v>
      </c>
      <c r="H28" t="s">
        <v>72</v>
      </c>
      <c r="I28" t="s">
        <v>73</v>
      </c>
      <c r="J28" t="str">
        <f>"46181"</f>
        <v>46181</v>
      </c>
      <c r="K28" t="s">
        <v>102</v>
      </c>
      <c r="L28" t="s">
        <v>75</v>
      </c>
      <c r="M28" t="s">
        <v>76</v>
      </c>
    </row>
    <row r="29" spans="1:13" ht="15.75" thickBot="1" x14ac:dyDescent="0.3">
      <c r="A29" s="12"/>
      <c r="B29" t="s">
        <v>67</v>
      </c>
      <c r="C29" s="20">
        <v>32.75</v>
      </c>
      <c r="D29" t="s">
        <v>68</v>
      </c>
      <c r="E29" t="s">
        <v>69</v>
      </c>
      <c r="F29" t="s">
        <v>70</v>
      </c>
      <c r="G29" t="s">
        <v>71</v>
      </c>
      <c r="H29" t="s">
        <v>72</v>
      </c>
      <c r="I29" t="s">
        <v>73</v>
      </c>
      <c r="J29" t="str">
        <f>"46182"</f>
        <v>46182</v>
      </c>
      <c r="K29" t="s">
        <v>103</v>
      </c>
      <c r="L29" t="s">
        <v>75</v>
      </c>
      <c r="M29" t="s">
        <v>76</v>
      </c>
    </row>
    <row r="30" spans="1:13" ht="15.75" thickBot="1" x14ac:dyDescent="0.3">
      <c r="A30" s="12"/>
      <c r="B30" t="s">
        <v>67</v>
      </c>
      <c r="C30" s="20">
        <v>33.958333333333336</v>
      </c>
      <c r="D30" t="s">
        <v>68</v>
      </c>
      <c r="E30" t="s">
        <v>69</v>
      </c>
      <c r="F30" t="s">
        <v>70</v>
      </c>
      <c r="G30" t="s">
        <v>71</v>
      </c>
      <c r="H30" t="s">
        <v>72</v>
      </c>
      <c r="I30" t="s">
        <v>73</v>
      </c>
      <c r="J30" t="str">
        <f>"46183"</f>
        <v>46183</v>
      </c>
      <c r="K30" t="s">
        <v>104</v>
      </c>
      <c r="L30" t="s">
        <v>75</v>
      </c>
      <c r="M30" t="s">
        <v>76</v>
      </c>
    </row>
    <row r="31" spans="1:13" ht="15.75" thickBot="1" x14ac:dyDescent="0.3">
      <c r="A31" s="12"/>
      <c r="B31" t="s">
        <v>67</v>
      </c>
      <c r="C31" s="20">
        <v>35.166666666666664</v>
      </c>
      <c r="D31" t="s">
        <v>68</v>
      </c>
      <c r="E31" t="s">
        <v>69</v>
      </c>
      <c r="F31" t="s">
        <v>70</v>
      </c>
      <c r="G31" t="s">
        <v>71</v>
      </c>
      <c r="H31" t="s">
        <v>72</v>
      </c>
      <c r="I31" t="s">
        <v>73</v>
      </c>
      <c r="J31" t="str">
        <f>"46184"</f>
        <v>46184</v>
      </c>
      <c r="K31" t="s">
        <v>105</v>
      </c>
      <c r="L31" t="s">
        <v>75</v>
      </c>
      <c r="M31" t="s">
        <v>76</v>
      </c>
    </row>
    <row r="32" spans="1:13" ht="15.75" thickBot="1" x14ac:dyDescent="0.3">
      <c r="A32" s="12"/>
      <c r="B32" t="s">
        <v>67</v>
      </c>
      <c r="C32" s="20">
        <v>36.375</v>
      </c>
      <c r="D32" t="s">
        <v>68</v>
      </c>
      <c r="E32" t="s">
        <v>69</v>
      </c>
      <c r="F32" t="s">
        <v>70</v>
      </c>
      <c r="G32" t="s">
        <v>71</v>
      </c>
      <c r="H32" t="s">
        <v>72</v>
      </c>
      <c r="I32" t="s">
        <v>73</v>
      </c>
      <c r="J32" t="str">
        <f>"46185"</f>
        <v>46185</v>
      </c>
      <c r="K32" t="s">
        <v>106</v>
      </c>
      <c r="L32" t="s">
        <v>75</v>
      </c>
      <c r="M32" t="s">
        <v>76</v>
      </c>
    </row>
    <row r="33" spans="1:13" ht="15.75" thickBot="1" x14ac:dyDescent="0.3">
      <c r="A33" s="12"/>
      <c r="B33" t="s">
        <v>67</v>
      </c>
      <c r="C33" s="20">
        <v>37.583333333333336</v>
      </c>
      <c r="D33" t="s">
        <v>68</v>
      </c>
      <c r="E33" t="s">
        <v>69</v>
      </c>
      <c r="F33" t="s">
        <v>70</v>
      </c>
      <c r="G33" t="s">
        <v>71</v>
      </c>
      <c r="H33" t="s">
        <v>72</v>
      </c>
      <c r="I33" t="s">
        <v>73</v>
      </c>
      <c r="J33" t="str">
        <f>"46186"</f>
        <v>46186</v>
      </c>
      <c r="K33" t="s">
        <v>107</v>
      </c>
      <c r="L33" t="s">
        <v>75</v>
      </c>
      <c r="M33" t="s">
        <v>76</v>
      </c>
    </row>
    <row r="34" spans="1:13" ht="15.75" thickBot="1" x14ac:dyDescent="0.3">
      <c r="A34" s="12"/>
      <c r="B34" t="s">
        <v>67</v>
      </c>
      <c r="C34" s="20">
        <v>38.791666666666664</v>
      </c>
      <c r="D34" t="s">
        <v>68</v>
      </c>
      <c r="E34" t="s">
        <v>69</v>
      </c>
      <c r="F34" t="s">
        <v>70</v>
      </c>
      <c r="G34" t="s">
        <v>71</v>
      </c>
      <c r="H34" t="s">
        <v>72</v>
      </c>
      <c r="I34" t="s">
        <v>73</v>
      </c>
      <c r="J34" t="str">
        <f>"46187"</f>
        <v>46187</v>
      </c>
      <c r="K34" t="s">
        <v>108</v>
      </c>
      <c r="L34" t="s">
        <v>75</v>
      </c>
      <c r="M34" t="s">
        <v>76</v>
      </c>
    </row>
    <row r="35" spans="1:13" ht="15.75" thickBot="1" x14ac:dyDescent="0.3">
      <c r="A35" s="12"/>
      <c r="B35" t="s">
        <v>67</v>
      </c>
      <c r="C35" s="20">
        <v>40</v>
      </c>
      <c r="D35" t="s">
        <v>68</v>
      </c>
      <c r="E35" t="s">
        <v>69</v>
      </c>
      <c r="F35" t="s">
        <v>70</v>
      </c>
      <c r="G35" t="s">
        <v>71</v>
      </c>
      <c r="H35" t="s">
        <v>72</v>
      </c>
      <c r="I35" t="s">
        <v>73</v>
      </c>
      <c r="J35" t="str">
        <f>"46188"</f>
        <v>46188</v>
      </c>
      <c r="K35" t="s">
        <v>109</v>
      </c>
      <c r="L35" t="s">
        <v>75</v>
      </c>
      <c r="M35" t="s">
        <v>76</v>
      </c>
    </row>
    <row r="36" spans="1:13" ht="15.75" thickBot="1" x14ac:dyDescent="0.3">
      <c r="A36" s="12"/>
      <c r="B36" t="s">
        <v>67</v>
      </c>
      <c r="C36" s="20">
        <v>41.208333333333336</v>
      </c>
      <c r="D36" t="s">
        <v>68</v>
      </c>
      <c r="E36" t="s">
        <v>69</v>
      </c>
      <c r="F36" t="s">
        <v>70</v>
      </c>
      <c r="G36" t="s">
        <v>71</v>
      </c>
      <c r="H36" t="s">
        <v>72</v>
      </c>
      <c r="I36" t="s">
        <v>73</v>
      </c>
      <c r="J36" t="str">
        <f>"46189"</f>
        <v>46189</v>
      </c>
      <c r="K36" t="s">
        <v>110</v>
      </c>
      <c r="L36" t="s">
        <v>75</v>
      </c>
      <c r="M36" t="s">
        <v>76</v>
      </c>
    </row>
    <row r="37" spans="1:13" ht="15.75" thickBot="1" x14ac:dyDescent="0.3">
      <c r="A37" s="12"/>
      <c r="B37" t="s">
        <v>67</v>
      </c>
      <c r="C37" s="20">
        <v>42.416666666666664</v>
      </c>
      <c r="D37" t="s">
        <v>68</v>
      </c>
      <c r="E37" t="s">
        <v>69</v>
      </c>
      <c r="F37" t="s">
        <v>70</v>
      </c>
      <c r="G37" t="s">
        <v>71</v>
      </c>
      <c r="H37" t="s">
        <v>72</v>
      </c>
      <c r="I37" t="s">
        <v>73</v>
      </c>
      <c r="J37" t="str">
        <f>"46190"</f>
        <v>46190</v>
      </c>
      <c r="K37" t="s">
        <v>111</v>
      </c>
      <c r="L37" t="s">
        <v>75</v>
      </c>
      <c r="M37" t="s">
        <v>76</v>
      </c>
    </row>
    <row r="38" spans="1:13" ht="15.75" thickBot="1" x14ac:dyDescent="0.3">
      <c r="A38" s="12"/>
      <c r="B38" t="s">
        <v>67</v>
      </c>
      <c r="C38" s="20">
        <v>43.625</v>
      </c>
      <c r="D38" t="s">
        <v>68</v>
      </c>
      <c r="E38" t="s">
        <v>69</v>
      </c>
      <c r="F38" t="s">
        <v>70</v>
      </c>
      <c r="G38" t="s">
        <v>71</v>
      </c>
      <c r="H38" t="s">
        <v>72</v>
      </c>
      <c r="I38" t="s">
        <v>73</v>
      </c>
      <c r="J38" t="str">
        <f>"46191"</f>
        <v>46191</v>
      </c>
      <c r="K38" t="s">
        <v>112</v>
      </c>
      <c r="L38" t="s">
        <v>75</v>
      </c>
      <c r="M38" t="s">
        <v>76</v>
      </c>
    </row>
    <row r="39" spans="1:13" ht="15.75" thickBot="1" x14ac:dyDescent="0.3">
      <c r="A39" s="12"/>
      <c r="B39" t="s">
        <v>67</v>
      </c>
      <c r="C39" s="20">
        <v>44.833333333333336</v>
      </c>
      <c r="D39" t="s">
        <v>68</v>
      </c>
      <c r="E39" t="s">
        <v>69</v>
      </c>
      <c r="F39" t="s">
        <v>70</v>
      </c>
      <c r="G39" t="s">
        <v>71</v>
      </c>
      <c r="H39" t="s">
        <v>72</v>
      </c>
      <c r="I39" t="s">
        <v>73</v>
      </c>
      <c r="J39" t="str">
        <f>"46192"</f>
        <v>46192</v>
      </c>
      <c r="K39" t="s">
        <v>113</v>
      </c>
      <c r="L39" t="s">
        <v>75</v>
      </c>
      <c r="M39" t="s">
        <v>76</v>
      </c>
    </row>
    <row r="40" spans="1:13" ht="15.75" thickBot="1" x14ac:dyDescent="0.3">
      <c r="A40" s="12"/>
      <c r="B40" t="s">
        <v>67</v>
      </c>
      <c r="C40" s="20">
        <v>46.041666666666664</v>
      </c>
      <c r="D40" t="s">
        <v>68</v>
      </c>
      <c r="E40" t="s">
        <v>69</v>
      </c>
      <c r="F40" t="s">
        <v>70</v>
      </c>
      <c r="G40" t="s">
        <v>71</v>
      </c>
      <c r="H40" t="s">
        <v>72</v>
      </c>
      <c r="I40" t="s">
        <v>73</v>
      </c>
      <c r="J40" t="str">
        <f>"46193"</f>
        <v>46193</v>
      </c>
      <c r="K40" t="s">
        <v>114</v>
      </c>
      <c r="L40" t="s">
        <v>75</v>
      </c>
      <c r="M40" t="s">
        <v>76</v>
      </c>
    </row>
    <row r="41" spans="1:13" ht="15.75" thickBot="1" x14ac:dyDescent="0.3">
      <c r="A41" s="12"/>
      <c r="B41" t="s">
        <v>67</v>
      </c>
      <c r="C41" s="20">
        <v>47.25</v>
      </c>
      <c r="D41" t="s">
        <v>68</v>
      </c>
      <c r="E41" t="s">
        <v>69</v>
      </c>
      <c r="F41" t="s">
        <v>70</v>
      </c>
      <c r="G41" t="s">
        <v>71</v>
      </c>
      <c r="H41" t="s">
        <v>72</v>
      </c>
      <c r="I41" t="s">
        <v>73</v>
      </c>
      <c r="J41" t="str">
        <f>"46194"</f>
        <v>46194</v>
      </c>
      <c r="K41" t="s">
        <v>115</v>
      </c>
      <c r="L41" t="s">
        <v>75</v>
      </c>
      <c r="M41" t="s">
        <v>76</v>
      </c>
    </row>
    <row r="42" spans="1:13" ht="15.75" thickBot="1" x14ac:dyDescent="0.3">
      <c r="A42" s="12"/>
      <c r="B42" t="s">
        <v>67</v>
      </c>
      <c r="C42" s="20">
        <v>48.458333333333336</v>
      </c>
      <c r="D42" t="s">
        <v>68</v>
      </c>
      <c r="E42" t="s">
        <v>69</v>
      </c>
      <c r="F42" t="s">
        <v>70</v>
      </c>
      <c r="G42" t="s">
        <v>71</v>
      </c>
      <c r="H42" t="s">
        <v>72</v>
      </c>
      <c r="I42" t="s">
        <v>73</v>
      </c>
      <c r="J42" t="str">
        <f>"46195"</f>
        <v>46195</v>
      </c>
      <c r="K42" t="s">
        <v>116</v>
      </c>
      <c r="L42" t="s">
        <v>75</v>
      </c>
      <c r="M42" t="s">
        <v>76</v>
      </c>
    </row>
    <row r="43" spans="1:13" ht="15.75" thickBot="1" x14ac:dyDescent="0.3">
      <c r="A43" s="12"/>
      <c r="B43" t="s">
        <v>67</v>
      </c>
      <c r="C43" s="20">
        <v>49.666666666666664</v>
      </c>
      <c r="D43" t="s">
        <v>68</v>
      </c>
      <c r="E43" t="s">
        <v>69</v>
      </c>
      <c r="F43" t="s">
        <v>70</v>
      </c>
      <c r="G43" t="s">
        <v>71</v>
      </c>
      <c r="H43" t="s">
        <v>72</v>
      </c>
      <c r="I43" t="s">
        <v>73</v>
      </c>
      <c r="J43" t="str">
        <f>"46196"</f>
        <v>46196</v>
      </c>
      <c r="K43" t="s">
        <v>117</v>
      </c>
      <c r="L43" t="s">
        <v>75</v>
      </c>
      <c r="M43" t="s">
        <v>76</v>
      </c>
    </row>
    <row r="44" spans="1:13" ht="15.75" thickBot="1" x14ac:dyDescent="0.3">
      <c r="A44" s="12"/>
      <c r="B44" t="s">
        <v>67</v>
      </c>
      <c r="C44" s="20">
        <v>50.875</v>
      </c>
      <c r="D44" t="s">
        <v>68</v>
      </c>
      <c r="E44" t="s">
        <v>69</v>
      </c>
      <c r="F44" t="s">
        <v>70</v>
      </c>
      <c r="G44" t="s">
        <v>71</v>
      </c>
      <c r="H44" t="s">
        <v>72</v>
      </c>
      <c r="I44" t="s">
        <v>73</v>
      </c>
      <c r="J44" t="str">
        <f>"46197"</f>
        <v>46197</v>
      </c>
      <c r="K44" t="s">
        <v>118</v>
      </c>
      <c r="L44" t="s">
        <v>75</v>
      </c>
      <c r="M44" t="s">
        <v>76</v>
      </c>
    </row>
    <row r="45" spans="1:13" ht="15.75" thickBot="1" x14ac:dyDescent="0.3">
      <c r="A45" s="12"/>
      <c r="B45" t="s">
        <v>67</v>
      </c>
      <c r="C45" s="20">
        <v>52.083333333333336</v>
      </c>
      <c r="D45" t="s">
        <v>68</v>
      </c>
      <c r="E45" t="s">
        <v>69</v>
      </c>
      <c r="F45" t="s">
        <v>70</v>
      </c>
      <c r="G45" t="s">
        <v>71</v>
      </c>
      <c r="H45" t="s">
        <v>72</v>
      </c>
      <c r="I45" t="s">
        <v>73</v>
      </c>
      <c r="J45" t="str">
        <f>"46198"</f>
        <v>46198</v>
      </c>
      <c r="K45" t="s">
        <v>119</v>
      </c>
      <c r="L45" t="s">
        <v>75</v>
      </c>
      <c r="M45" t="s">
        <v>76</v>
      </c>
    </row>
    <row r="46" spans="1:13" ht="15.75" thickBot="1" x14ac:dyDescent="0.3">
      <c r="A46" s="12"/>
      <c r="B46" t="s">
        <v>67</v>
      </c>
      <c r="C46" s="20">
        <v>53.291666666666664</v>
      </c>
      <c r="D46" t="s">
        <v>68</v>
      </c>
      <c r="E46" t="s">
        <v>69</v>
      </c>
      <c r="F46" t="s">
        <v>70</v>
      </c>
      <c r="G46" t="s">
        <v>71</v>
      </c>
      <c r="H46" t="s">
        <v>72</v>
      </c>
      <c r="I46" t="s">
        <v>73</v>
      </c>
      <c r="J46" t="str">
        <f>"46199"</f>
        <v>46199</v>
      </c>
      <c r="K46" t="s">
        <v>120</v>
      </c>
      <c r="L46" t="s">
        <v>75</v>
      </c>
      <c r="M46" t="s">
        <v>76</v>
      </c>
    </row>
    <row r="47" spans="1:13" ht="15.75" thickBot="1" x14ac:dyDescent="0.3">
      <c r="A47" s="12"/>
      <c r="B47" t="s">
        <v>67</v>
      </c>
      <c r="C47" s="20">
        <v>54.5</v>
      </c>
      <c r="D47" t="s">
        <v>68</v>
      </c>
      <c r="E47" t="s">
        <v>69</v>
      </c>
      <c r="F47" t="s">
        <v>70</v>
      </c>
      <c r="G47" t="s">
        <v>71</v>
      </c>
      <c r="H47" t="s">
        <v>72</v>
      </c>
      <c r="I47" t="s">
        <v>73</v>
      </c>
      <c r="J47" t="str">
        <f>"46200"</f>
        <v>46200</v>
      </c>
      <c r="K47" t="s">
        <v>121</v>
      </c>
      <c r="L47" t="s">
        <v>75</v>
      </c>
      <c r="M47" t="s">
        <v>76</v>
      </c>
    </row>
    <row r="48" spans="1:13" ht="15.75" thickBot="1" x14ac:dyDescent="0.3">
      <c r="A48" s="12"/>
      <c r="B48" t="s">
        <v>67</v>
      </c>
      <c r="C48" s="20">
        <v>55.708333333333336</v>
      </c>
      <c r="D48" t="s">
        <v>68</v>
      </c>
      <c r="E48" t="s">
        <v>69</v>
      </c>
      <c r="F48" t="s">
        <v>70</v>
      </c>
      <c r="G48" t="s">
        <v>71</v>
      </c>
      <c r="H48" t="s">
        <v>72</v>
      </c>
      <c r="I48" t="s">
        <v>73</v>
      </c>
      <c r="J48" t="str">
        <f>"46201"</f>
        <v>46201</v>
      </c>
      <c r="K48" t="s">
        <v>122</v>
      </c>
      <c r="L48" t="s">
        <v>75</v>
      </c>
      <c r="M48" t="s">
        <v>76</v>
      </c>
    </row>
    <row r="49" spans="1:13" ht="15.75" thickBot="1" x14ac:dyDescent="0.3">
      <c r="A49" s="12"/>
      <c r="B49" t="s">
        <v>67</v>
      </c>
      <c r="C49" s="20">
        <v>56.916666666666664</v>
      </c>
      <c r="D49" t="s">
        <v>68</v>
      </c>
      <c r="E49" t="s">
        <v>69</v>
      </c>
      <c r="F49" t="s">
        <v>70</v>
      </c>
      <c r="G49" t="s">
        <v>71</v>
      </c>
      <c r="H49" t="s">
        <v>72</v>
      </c>
      <c r="I49" t="s">
        <v>73</v>
      </c>
      <c r="J49" t="str">
        <f>"46202"</f>
        <v>46202</v>
      </c>
      <c r="K49" t="s">
        <v>123</v>
      </c>
      <c r="L49" t="s">
        <v>75</v>
      </c>
      <c r="M49" t="s">
        <v>76</v>
      </c>
    </row>
    <row r="50" spans="1:13" ht="15.75" thickBot="1" x14ac:dyDescent="0.3">
      <c r="A50" s="12"/>
      <c r="B50" t="s">
        <v>67</v>
      </c>
      <c r="C50" s="20">
        <v>58.125</v>
      </c>
      <c r="D50" t="s">
        <v>68</v>
      </c>
      <c r="E50" t="s">
        <v>69</v>
      </c>
      <c r="F50" t="s">
        <v>70</v>
      </c>
      <c r="G50" t="s">
        <v>71</v>
      </c>
      <c r="H50" t="s">
        <v>72</v>
      </c>
      <c r="I50" t="s">
        <v>73</v>
      </c>
      <c r="J50" t="str">
        <f>"46203"</f>
        <v>46203</v>
      </c>
      <c r="K50" t="s">
        <v>124</v>
      </c>
      <c r="L50" t="s">
        <v>75</v>
      </c>
      <c r="M50" t="s">
        <v>76</v>
      </c>
    </row>
    <row r="51" spans="1:13" ht="15.75" thickBot="1" x14ac:dyDescent="0.3">
      <c r="A51" s="12"/>
      <c r="B51" t="s">
        <v>67</v>
      </c>
      <c r="C51" s="20">
        <v>59.333333333333336</v>
      </c>
      <c r="D51" t="s">
        <v>68</v>
      </c>
      <c r="E51" t="s">
        <v>69</v>
      </c>
      <c r="F51" t="s">
        <v>70</v>
      </c>
      <c r="G51" t="s">
        <v>71</v>
      </c>
      <c r="H51" t="s">
        <v>72</v>
      </c>
      <c r="I51" t="s">
        <v>73</v>
      </c>
      <c r="J51" t="str">
        <f>"46204"</f>
        <v>46204</v>
      </c>
      <c r="K51" t="s">
        <v>125</v>
      </c>
      <c r="L51" t="s">
        <v>75</v>
      </c>
      <c r="M51" t="s">
        <v>76</v>
      </c>
    </row>
    <row r="52" spans="1:13" x14ac:dyDescent="0.25">
      <c r="B52" t="s">
        <v>67</v>
      </c>
      <c r="C52" s="20">
        <v>60.541666666666664</v>
      </c>
      <c r="D52" t="s">
        <v>68</v>
      </c>
      <c r="E52" t="s">
        <v>69</v>
      </c>
      <c r="F52" t="s">
        <v>70</v>
      </c>
      <c r="G52" t="s">
        <v>71</v>
      </c>
      <c r="H52" t="s">
        <v>72</v>
      </c>
      <c r="I52" t="s">
        <v>73</v>
      </c>
      <c r="J52" t="str">
        <f>"46205"</f>
        <v>46205</v>
      </c>
      <c r="K52" t="s">
        <v>126</v>
      </c>
      <c r="L52" t="s">
        <v>127</v>
      </c>
      <c r="M52" t="s">
        <v>76</v>
      </c>
    </row>
    <row r="53" spans="1:13" x14ac:dyDescent="0.25">
      <c r="B53" t="s">
        <v>67</v>
      </c>
      <c r="C53" s="20">
        <v>61.75</v>
      </c>
      <c r="D53" t="s">
        <v>68</v>
      </c>
      <c r="E53" t="s">
        <v>69</v>
      </c>
      <c r="F53" t="s">
        <v>70</v>
      </c>
      <c r="G53" t="s">
        <v>71</v>
      </c>
      <c r="H53" t="s">
        <v>72</v>
      </c>
      <c r="I53" t="s">
        <v>73</v>
      </c>
      <c r="J53" t="str">
        <f>"46206"</f>
        <v>46206</v>
      </c>
      <c r="K53" t="s">
        <v>128</v>
      </c>
      <c r="L53" t="s">
        <v>75</v>
      </c>
      <c r="M53" t="s">
        <v>76</v>
      </c>
    </row>
    <row r="54" spans="1:13" x14ac:dyDescent="0.25">
      <c r="B54" t="s">
        <v>67</v>
      </c>
      <c r="C54" s="20">
        <v>62.958333333333336</v>
      </c>
      <c r="D54" t="s">
        <v>68</v>
      </c>
      <c r="E54" t="s">
        <v>69</v>
      </c>
      <c r="F54" t="s">
        <v>70</v>
      </c>
      <c r="G54" t="s">
        <v>71</v>
      </c>
      <c r="H54" t="s">
        <v>72</v>
      </c>
      <c r="I54" t="s">
        <v>73</v>
      </c>
      <c r="J54" t="str">
        <f>"46207"</f>
        <v>46207</v>
      </c>
      <c r="K54" t="s">
        <v>129</v>
      </c>
      <c r="L54" t="s">
        <v>75</v>
      </c>
      <c r="M54" t="s">
        <v>76</v>
      </c>
    </row>
    <row r="55" spans="1:13" x14ac:dyDescent="0.25">
      <c r="B55" t="s">
        <v>67</v>
      </c>
      <c r="C55" s="20">
        <v>64.166666666666671</v>
      </c>
      <c r="D55" t="s">
        <v>68</v>
      </c>
      <c r="E55" t="s">
        <v>69</v>
      </c>
      <c r="F55" t="s">
        <v>70</v>
      </c>
      <c r="G55" t="s">
        <v>71</v>
      </c>
      <c r="H55" t="s">
        <v>72</v>
      </c>
      <c r="I55" t="s">
        <v>73</v>
      </c>
      <c r="J55" t="str">
        <f>"46208"</f>
        <v>46208</v>
      </c>
      <c r="K55" t="s">
        <v>130</v>
      </c>
      <c r="L55" t="s">
        <v>75</v>
      </c>
      <c r="M55" t="s">
        <v>76</v>
      </c>
    </row>
    <row r="56" spans="1:13" x14ac:dyDescent="0.25">
      <c r="B56" t="s">
        <v>67</v>
      </c>
      <c r="C56" s="20">
        <v>65.375</v>
      </c>
      <c r="D56" t="s">
        <v>68</v>
      </c>
      <c r="E56" t="s">
        <v>69</v>
      </c>
      <c r="F56" t="s">
        <v>70</v>
      </c>
      <c r="G56" t="s">
        <v>71</v>
      </c>
      <c r="H56" t="s">
        <v>72</v>
      </c>
      <c r="I56" t="s">
        <v>73</v>
      </c>
      <c r="J56" t="str">
        <f>"46209"</f>
        <v>46209</v>
      </c>
      <c r="K56" t="s">
        <v>131</v>
      </c>
      <c r="L56" t="s">
        <v>75</v>
      </c>
      <c r="M56" t="s">
        <v>76</v>
      </c>
    </row>
    <row r="57" spans="1:13" x14ac:dyDescent="0.25">
      <c r="B57" t="s">
        <v>67</v>
      </c>
      <c r="C57" s="20">
        <v>66.583333333333329</v>
      </c>
      <c r="D57" t="s">
        <v>68</v>
      </c>
      <c r="E57" t="s">
        <v>69</v>
      </c>
      <c r="F57" t="s">
        <v>70</v>
      </c>
      <c r="G57" t="s">
        <v>71</v>
      </c>
      <c r="H57" t="s">
        <v>72</v>
      </c>
      <c r="I57" t="s">
        <v>73</v>
      </c>
      <c r="J57" t="str">
        <f>"46210"</f>
        <v>46210</v>
      </c>
      <c r="K57" t="s">
        <v>132</v>
      </c>
      <c r="L57" t="s">
        <v>127</v>
      </c>
      <c r="M57" t="s">
        <v>76</v>
      </c>
    </row>
    <row r="58" spans="1:13" x14ac:dyDescent="0.25">
      <c r="B58" t="s">
        <v>67</v>
      </c>
      <c r="C58" s="20">
        <v>67.791666666666671</v>
      </c>
      <c r="D58" t="s">
        <v>68</v>
      </c>
      <c r="E58" t="s">
        <v>69</v>
      </c>
      <c r="F58" t="s">
        <v>70</v>
      </c>
      <c r="G58" t="s">
        <v>71</v>
      </c>
      <c r="H58" t="s">
        <v>72</v>
      </c>
      <c r="I58" t="s">
        <v>73</v>
      </c>
      <c r="J58" t="str">
        <f>"46211"</f>
        <v>46211</v>
      </c>
      <c r="K58" t="s">
        <v>133</v>
      </c>
      <c r="L58" t="s">
        <v>127</v>
      </c>
      <c r="M58" t="s">
        <v>76</v>
      </c>
    </row>
    <row r="59" spans="1:13" x14ac:dyDescent="0.25">
      <c r="B59" t="s">
        <v>67</v>
      </c>
      <c r="C59" s="20">
        <v>69</v>
      </c>
      <c r="D59" t="s">
        <v>68</v>
      </c>
      <c r="E59" t="s">
        <v>69</v>
      </c>
      <c r="F59" t="s">
        <v>70</v>
      </c>
      <c r="G59" t="s">
        <v>71</v>
      </c>
      <c r="H59" t="s">
        <v>72</v>
      </c>
      <c r="I59" t="s">
        <v>73</v>
      </c>
      <c r="J59" t="str">
        <f>"46212"</f>
        <v>46212</v>
      </c>
      <c r="K59" t="s">
        <v>134</v>
      </c>
      <c r="L59" t="s">
        <v>127</v>
      </c>
      <c r="M59" t="s">
        <v>76</v>
      </c>
    </row>
    <row r="60" spans="1:13" x14ac:dyDescent="0.25">
      <c r="B60" t="s">
        <v>67</v>
      </c>
      <c r="C60" s="20">
        <v>70.208333333333329</v>
      </c>
      <c r="D60" t="s">
        <v>68</v>
      </c>
      <c r="E60" t="s">
        <v>69</v>
      </c>
      <c r="F60" t="s">
        <v>70</v>
      </c>
      <c r="G60" t="s">
        <v>71</v>
      </c>
      <c r="H60" t="s">
        <v>72</v>
      </c>
      <c r="I60" t="s">
        <v>73</v>
      </c>
      <c r="J60" t="str">
        <f>"46213"</f>
        <v>46213</v>
      </c>
      <c r="K60" t="s">
        <v>135</v>
      </c>
      <c r="L60" t="s">
        <v>127</v>
      </c>
      <c r="M60" t="s">
        <v>76</v>
      </c>
    </row>
    <row r="61" spans="1:13" x14ac:dyDescent="0.25">
      <c r="B61" t="s">
        <v>67</v>
      </c>
      <c r="C61" s="20">
        <v>71.416666666666671</v>
      </c>
      <c r="D61" t="s">
        <v>68</v>
      </c>
      <c r="E61" t="s">
        <v>69</v>
      </c>
      <c r="F61" t="s">
        <v>70</v>
      </c>
      <c r="G61" t="s">
        <v>71</v>
      </c>
      <c r="H61" t="s">
        <v>72</v>
      </c>
      <c r="I61" t="s">
        <v>73</v>
      </c>
      <c r="J61" t="str">
        <f>"46214"</f>
        <v>46214</v>
      </c>
      <c r="K61" t="s">
        <v>136</v>
      </c>
      <c r="L61" t="s">
        <v>127</v>
      </c>
      <c r="M61" t="s">
        <v>76</v>
      </c>
    </row>
    <row r="62" spans="1:13" x14ac:dyDescent="0.25">
      <c r="B62" t="s">
        <v>67</v>
      </c>
      <c r="C62" s="20">
        <v>72.625</v>
      </c>
      <c r="D62" t="s">
        <v>68</v>
      </c>
      <c r="E62" t="s">
        <v>69</v>
      </c>
      <c r="F62" t="s">
        <v>70</v>
      </c>
      <c r="G62" t="s">
        <v>71</v>
      </c>
      <c r="H62" t="s">
        <v>72</v>
      </c>
      <c r="I62" t="s">
        <v>73</v>
      </c>
      <c r="J62" t="str">
        <f>"46215"</f>
        <v>46215</v>
      </c>
      <c r="K62" t="s">
        <v>137</v>
      </c>
      <c r="L62" t="s">
        <v>127</v>
      </c>
      <c r="M62" t="s">
        <v>76</v>
      </c>
    </row>
    <row r="63" spans="1:13" x14ac:dyDescent="0.25">
      <c r="B63" t="s">
        <v>67</v>
      </c>
      <c r="C63" s="20">
        <v>73.833333333333329</v>
      </c>
      <c r="D63" t="s">
        <v>68</v>
      </c>
      <c r="E63" t="s">
        <v>69</v>
      </c>
      <c r="F63" t="s">
        <v>70</v>
      </c>
      <c r="G63" t="s">
        <v>71</v>
      </c>
      <c r="H63" t="s">
        <v>72</v>
      </c>
      <c r="I63" t="s">
        <v>73</v>
      </c>
      <c r="J63" t="str">
        <f>"46216"</f>
        <v>46216</v>
      </c>
      <c r="K63" t="s">
        <v>138</v>
      </c>
      <c r="L63" t="s">
        <v>127</v>
      </c>
      <c r="M63" t="s">
        <v>76</v>
      </c>
    </row>
    <row r="64" spans="1:13" x14ac:dyDescent="0.25">
      <c r="B64" t="s">
        <v>67</v>
      </c>
      <c r="C64" s="20">
        <v>75.041666666666671</v>
      </c>
      <c r="D64" t="s">
        <v>68</v>
      </c>
      <c r="E64" t="s">
        <v>69</v>
      </c>
      <c r="F64" t="s">
        <v>70</v>
      </c>
      <c r="G64" t="s">
        <v>71</v>
      </c>
      <c r="H64" t="s">
        <v>72</v>
      </c>
      <c r="I64" t="s">
        <v>73</v>
      </c>
      <c r="J64" t="str">
        <f>"46217"</f>
        <v>46217</v>
      </c>
      <c r="K64" t="s">
        <v>139</v>
      </c>
      <c r="L64" t="s">
        <v>127</v>
      </c>
      <c r="M64" t="s">
        <v>76</v>
      </c>
    </row>
    <row r="65" spans="2:13" x14ac:dyDescent="0.25">
      <c r="B65" t="s">
        <v>67</v>
      </c>
      <c r="C65" s="20">
        <v>76.25</v>
      </c>
      <c r="D65" t="s">
        <v>68</v>
      </c>
      <c r="E65" t="s">
        <v>69</v>
      </c>
      <c r="F65" t="s">
        <v>70</v>
      </c>
      <c r="G65" t="s">
        <v>71</v>
      </c>
      <c r="H65" t="s">
        <v>72</v>
      </c>
      <c r="I65" t="s">
        <v>73</v>
      </c>
      <c r="J65" t="str">
        <f>"46218"</f>
        <v>46218</v>
      </c>
      <c r="K65" t="s">
        <v>140</v>
      </c>
      <c r="L65" t="s">
        <v>127</v>
      </c>
      <c r="M65" t="s">
        <v>76</v>
      </c>
    </row>
    <row r="66" spans="2:13" x14ac:dyDescent="0.25">
      <c r="B66" t="s">
        <v>67</v>
      </c>
      <c r="C66" s="20">
        <v>77.458333333333329</v>
      </c>
      <c r="D66" t="s">
        <v>68</v>
      </c>
      <c r="E66" t="s">
        <v>69</v>
      </c>
      <c r="F66" t="s">
        <v>70</v>
      </c>
      <c r="G66" t="s">
        <v>71</v>
      </c>
      <c r="H66" t="s">
        <v>72</v>
      </c>
      <c r="I66" t="s">
        <v>73</v>
      </c>
      <c r="J66" t="str">
        <f>"46219"</f>
        <v>46219</v>
      </c>
      <c r="K66" t="s">
        <v>141</v>
      </c>
      <c r="L66" t="s">
        <v>127</v>
      </c>
      <c r="M66" t="s">
        <v>76</v>
      </c>
    </row>
    <row r="67" spans="2:13" x14ac:dyDescent="0.25">
      <c r="B67" t="s">
        <v>67</v>
      </c>
      <c r="C67" s="20">
        <v>78.666666666666671</v>
      </c>
      <c r="D67" t="s">
        <v>68</v>
      </c>
      <c r="E67" t="s">
        <v>69</v>
      </c>
      <c r="F67" t="s">
        <v>70</v>
      </c>
      <c r="G67" t="s">
        <v>71</v>
      </c>
      <c r="H67" t="s">
        <v>72</v>
      </c>
      <c r="I67" t="s">
        <v>73</v>
      </c>
      <c r="J67" t="str">
        <f>"46220"</f>
        <v>46220</v>
      </c>
      <c r="K67" t="s">
        <v>142</v>
      </c>
      <c r="L67" t="s">
        <v>127</v>
      </c>
      <c r="M67" t="s">
        <v>76</v>
      </c>
    </row>
    <row r="68" spans="2:13" x14ac:dyDescent="0.25">
      <c r="B68" t="s">
        <v>67</v>
      </c>
      <c r="C68" s="20">
        <v>79.875</v>
      </c>
      <c r="D68" t="s">
        <v>68</v>
      </c>
      <c r="E68" t="s">
        <v>69</v>
      </c>
      <c r="F68" t="s">
        <v>70</v>
      </c>
      <c r="G68" t="s">
        <v>71</v>
      </c>
      <c r="H68" t="s">
        <v>72</v>
      </c>
      <c r="I68" t="s">
        <v>73</v>
      </c>
      <c r="J68" t="str">
        <f>"46221"</f>
        <v>46221</v>
      </c>
      <c r="K68" t="s">
        <v>143</v>
      </c>
      <c r="L68" t="s">
        <v>127</v>
      </c>
      <c r="M68" t="s">
        <v>76</v>
      </c>
    </row>
    <row r="69" spans="2:13" x14ac:dyDescent="0.25">
      <c r="B69" t="s">
        <v>67</v>
      </c>
      <c r="C69" s="20">
        <v>81.083333333333329</v>
      </c>
      <c r="D69" t="s">
        <v>68</v>
      </c>
      <c r="E69" t="s">
        <v>69</v>
      </c>
      <c r="F69" t="s">
        <v>70</v>
      </c>
      <c r="G69" t="s">
        <v>71</v>
      </c>
      <c r="H69" t="s">
        <v>72</v>
      </c>
      <c r="I69" t="s">
        <v>73</v>
      </c>
      <c r="J69" t="str">
        <f>"46222"</f>
        <v>46222</v>
      </c>
      <c r="K69" t="s">
        <v>144</v>
      </c>
      <c r="L69" t="s">
        <v>127</v>
      </c>
      <c r="M69" t="s">
        <v>76</v>
      </c>
    </row>
    <row r="70" spans="2:13" x14ac:dyDescent="0.25">
      <c r="B70" t="s">
        <v>67</v>
      </c>
      <c r="C70" s="20">
        <v>82.291666666666671</v>
      </c>
      <c r="D70" t="s">
        <v>68</v>
      </c>
      <c r="E70" t="s">
        <v>69</v>
      </c>
      <c r="F70" t="s">
        <v>70</v>
      </c>
      <c r="G70" t="s">
        <v>71</v>
      </c>
      <c r="H70" t="s">
        <v>72</v>
      </c>
      <c r="I70" t="s">
        <v>73</v>
      </c>
      <c r="J70" t="str">
        <f>"46223"</f>
        <v>46223</v>
      </c>
      <c r="K70" t="s">
        <v>145</v>
      </c>
      <c r="L70" t="s">
        <v>127</v>
      </c>
      <c r="M70" t="s">
        <v>76</v>
      </c>
    </row>
    <row r="71" spans="2:13" x14ac:dyDescent="0.25">
      <c r="B71" t="s">
        <v>67</v>
      </c>
      <c r="C71" s="20">
        <v>83.5</v>
      </c>
      <c r="D71" t="s">
        <v>68</v>
      </c>
      <c r="E71" t="s">
        <v>69</v>
      </c>
      <c r="F71" t="s">
        <v>70</v>
      </c>
      <c r="G71" t="s">
        <v>71</v>
      </c>
      <c r="H71" t="s">
        <v>72</v>
      </c>
      <c r="I71" t="s">
        <v>73</v>
      </c>
      <c r="J71" t="str">
        <f>"46224"</f>
        <v>46224</v>
      </c>
      <c r="K71" t="s">
        <v>146</v>
      </c>
      <c r="L71" t="s">
        <v>127</v>
      </c>
      <c r="M71" t="s">
        <v>76</v>
      </c>
    </row>
    <row r="72" spans="2:13" x14ac:dyDescent="0.25">
      <c r="B72" t="s">
        <v>67</v>
      </c>
      <c r="C72" s="20">
        <v>84.708333333333329</v>
      </c>
      <c r="D72" t="s">
        <v>68</v>
      </c>
      <c r="E72" t="s">
        <v>69</v>
      </c>
      <c r="F72" t="s">
        <v>70</v>
      </c>
      <c r="G72" t="s">
        <v>71</v>
      </c>
      <c r="H72" t="s">
        <v>72</v>
      </c>
      <c r="I72" t="s">
        <v>73</v>
      </c>
      <c r="J72" t="str">
        <f>"46225"</f>
        <v>46225</v>
      </c>
      <c r="K72" t="s">
        <v>147</v>
      </c>
      <c r="L72" t="s">
        <v>127</v>
      </c>
      <c r="M72" t="s">
        <v>76</v>
      </c>
    </row>
    <row r="73" spans="2:13" x14ac:dyDescent="0.25">
      <c r="B73" t="s">
        <v>67</v>
      </c>
      <c r="C73" s="20">
        <v>85.916666666666671</v>
      </c>
      <c r="D73" t="s">
        <v>68</v>
      </c>
      <c r="E73" t="s">
        <v>69</v>
      </c>
      <c r="F73" t="s">
        <v>70</v>
      </c>
      <c r="G73" t="s">
        <v>71</v>
      </c>
      <c r="H73" t="s">
        <v>72</v>
      </c>
      <c r="I73" t="s">
        <v>73</v>
      </c>
      <c r="J73" t="str">
        <f>"46226"</f>
        <v>46226</v>
      </c>
      <c r="K73" t="s">
        <v>148</v>
      </c>
      <c r="L73" t="s">
        <v>127</v>
      </c>
      <c r="M73" t="s">
        <v>76</v>
      </c>
    </row>
    <row r="74" spans="2:13" x14ac:dyDescent="0.25">
      <c r="B74" t="s">
        <v>67</v>
      </c>
      <c r="C74" s="20">
        <v>87.125</v>
      </c>
      <c r="D74" t="s">
        <v>68</v>
      </c>
      <c r="E74" t="s">
        <v>69</v>
      </c>
      <c r="F74" t="s">
        <v>70</v>
      </c>
      <c r="G74" t="s">
        <v>71</v>
      </c>
      <c r="H74" t="s">
        <v>72</v>
      </c>
      <c r="I74" t="s">
        <v>73</v>
      </c>
      <c r="J74" t="str">
        <f>"46227"</f>
        <v>46227</v>
      </c>
      <c r="K74" t="s">
        <v>149</v>
      </c>
      <c r="L74" t="s">
        <v>127</v>
      </c>
      <c r="M74" t="s">
        <v>76</v>
      </c>
    </row>
    <row r="75" spans="2:13" x14ac:dyDescent="0.25">
      <c r="B75" t="s">
        <v>67</v>
      </c>
      <c r="C75" s="20">
        <v>88.333333333333329</v>
      </c>
      <c r="D75" t="s">
        <v>68</v>
      </c>
      <c r="E75" t="s">
        <v>69</v>
      </c>
      <c r="F75" t="s">
        <v>70</v>
      </c>
      <c r="G75" t="s">
        <v>71</v>
      </c>
      <c r="H75" t="s">
        <v>72</v>
      </c>
      <c r="I75" t="s">
        <v>73</v>
      </c>
      <c r="J75" t="str">
        <f>"46228"</f>
        <v>46228</v>
      </c>
      <c r="K75" t="s">
        <v>150</v>
      </c>
      <c r="L75" t="s">
        <v>127</v>
      </c>
      <c r="M75" t="s">
        <v>76</v>
      </c>
    </row>
    <row r="76" spans="2:13" x14ac:dyDescent="0.25">
      <c r="B76" t="s">
        <v>67</v>
      </c>
      <c r="C76" s="20">
        <v>89.541666666666671</v>
      </c>
      <c r="D76" t="s">
        <v>68</v>
      </c>
      <c r="E76" t="s">
        <v>69</v>
      </c>
      <c r="F76" t="s">
        <v>70</v>
      </c>
      <c r="G76" t="s">
        <v>71</v>
      </c>
      <c r="H76" t="s">
        <v>72</v>
      </c>
      <c r="I76" t="s">
        <v>73</v>
      </c>
      <c r="J76" t="str">
        <f>"46229"</f>
        <v>46229</v>
      </c>
      <c r="K76" t="s">
        <v>151</v>
      </c>
      <c r="L76" t="s">
        <v>127</v>
      </c>
      <c r="M76" t="s">
        <v>76</v>
      </c>
    </row>
    <row r="77" spans="2:13" x14ac:dyDescent="0.25">
      <c r="B77" t="s">
        <v>67</v>
      </c>
      <c r="C77" s="20">
        <v>90.75</v>
      </c>
      <c r="D77" t="s">
        <v>68</v>
      </c>
      <c r="E77" t="s">
        <v>69</v>
      </c>
      <c r="F77" t="s">
        <v>70</v>
      </c>
      <c r="G77" t="s">
        <v>71</v>
      </c>
      <c r="H77" t="s">
        <v>72</v>
      </c>
      <c r="I77" t="s">
        <v>73</v>
      </c>
      <c r="J77" t="str">
        <f>"46230"</f>
        <v>46230</v>
      </c>
      <c r="K77" t="s">
        <v>152</v>
      </c>
      <c r="L77" t="s">
        <v>127</v>
      </c>
      <c r="M77" t="s">
        <v>76</v>
      </c>
    </row>
    <row r="78" spans="2:13" x14ac:dyDescent="0.25">
      <c r="B78" t="s">
        <v>67</v>
      </c>
      <c r="C78" s="20">
        <v>91.958333333333329</v>
      </c>
      <c r="D78" t="s">
        <v>68</v>
      </c>
      <c r="E78" t="s">
        <v>69</v>
      </c>
      <c r="F78" t="s">
        <v>70</v>
      </c>
      <c r="G78" t="s">
        <v>71</v>
      </c>
      <c r="H78" t="s">
        <v>72</v>
      </c>
      <c r="I78" t="s">
        <v>73</v>
      </c>
      <c r="J78" t="str">
        <f>"46231"</f>
        <v>46231</v>
      </c>
      <c r="K78" t="s">
        <v>153</v>
      </c>
      <c r="L78" t="s">
        <v>127</v>
      </c>
      <c r="M78" t="s">
        <v>76</v>
      </c>
    </row>
    <row r="79" spans="2:13" x14ac:dyDescent="0.25">
      <c r="B79" t="s">
        <v>67</v>
      </c>
      <c r="C79" s="20">
        <v>93.166666666666671</v>
      </c>
      <c r="D79" t="s">
        <v>68</v>
      </c>
      <c r="E79" t="s">
        <v>69</v>
      </c>
      <c r="F79" t="s">
        <v>70</v>
      </c>
      <c r="G79" t="s">
        <v>71</v>
      </c>
      <c r="H79" t="s">
        <v>72</v>
      </c>
      <c r="I79" t="s">
        <v>73</v>
      </c>
      <c r="J79" t="str">
        <f>"46232"</f>
        <v>46232</v>
      </c>
      <c r="K79" t="s">
        <v>154</v>
      </c>
      <c r="L79" t="s">
        <v>127</v>
      </c>
      <c r="M79" t="s">
        <v>76</v>
      </c>
    </row>
    <row r="80" spans="2:13" x14ac:dyDescent="0.25">
      <c r="B80" t="s">
        <v>67</v>
      </c>
      <c r="C80" s="20">
        <v>94.375</v>
      </c>
      <c r="D80" t="s">
        <v>68</v>
      </c>
      <c r="E80" t="s">
        <v>69</v>
      </c>
      <c r="F80" t="s">
        <v>70</v>
      </c>
      <c r="G80" t="s">
        <v>71</v>
      </c>
      <c r="H80" t="s">
        <v>72</v>
      </c>
      <c r="I80" t="s">
        <v>73</v>
      </c>
      <c r="J80" t="str">
        <f>"46233"</f>
        <v>46233</v>
      </c>
      <c r="K80" t="s">
        <v>155</v>
      </c>
      <c r="L80" t="s">
        <v>127</v>
      </c>
      <c r="M80" t="s">
        <v>76</v>
      </c>
    </row>
    <row r="81" spans="2:13" x14ac:dyDescent="0.25">
      <c r="B81" t="s">
        <v>67</v>
      </c>
      <c r="C81" s="20">
        <v>95.583333333333329</v>
      </c>
      <c r="D81" t="s">
        <v>68</v>
      </c>
      <c r="E81" t="s">
        <v>69</v>
      </c>
      <c r="F81" t="s">
        <v>70</v>
      </c>
      <c r="G81" t="s">
        <v>71</v>
      </c>
      <c r="H81" t="s">
        <v>72</v>
      </c>
      <c r="I81" t="s">
        <v>73</v>
      </c>
      <c r="J81" t="str">
        <f>"46234"</f>
        <v>46234</v>
      </c>
      <c r="K81" t="s">
        <v>156</v>
      </c>
      <c r="L81" t="s">
        <v>127</v>
      </c>
      <c r="M81" t="s">
        <v>76</v>
      </c>
    </row>
    <row r="82" spans="2:13" x14ac:dyDescent="0.25">
      <c r="B82" t="s">
        <v>67</v>
      </c>
      <c r="C82" s="20">
        <v>96.791666666666671</v>
      </c>
      <c r="D82" t="s">
        <v>68</v>
      </c>
      <c r="E82" t="s">
        <v>69</v>
      </c>
      <c r="F82" t="s">
        <v>70</v>
      </c>
      <c r="G82" t="s">
        <v>71</v>
      </c>
      <c r="H82" t="s">
        <v>72</v>
      </c>
      <c r="I82" t="s">
        <v>73</v>
      </c>
      <c r="J82" t="str">
        <f>"46235"</f>
        <v>46235</v>
      </c>
      <c r="K82" t="s">
        <v>157</v>
      </c>
      <c r="L82" t="s">
        <v>127</v>
      </c>
      <c r="M82" t="s">
        <v>76</v>
      </c>
    </row>
    <row r="83" spans="2:13" x14ac:dyDescent="0.25">
      <c r="B83" t="s">
        <v>67</v>
      </c>
      <c r="C83" s="20">
        <v>98</v>
      </c>
      <c r="D83" t="s">
        <v>68</v>
      </c>
      <c r="E83" t="s">
        <v>69</v>
      </c>
      <c r="F83" t="s">
        <v>70</v>
      </c>
      <c r="G83" t="s">
        <v>71</v>
      </c>
      <c r="H83" t="s">
        <v>72</v>
      </c>
      <c r="I83" t="s">
        <v>73</v>
      </c>
      <c r="J83" t="str">
        <f>"46236"</f>
        <v>46236</v>
      </c>
      <c r="K83" t="s">
        <v>158</v>
      </c>
      <c r="L83" t="s">
        <v>127</v>
      </c>
      <c r="M83" t="s">
        <v>76</v>
      </c>
    </row>
    <row r="84" spans="2:13" x14ac:dyDescent="0.25">
      <c r="B84" t="s">
        <v>67</v>
      </c>
      <c r="C84" s="20">
        <v>99.208333333333329</v>
      </c>
      <c r="D84" t="s">
        <v>68</v>
      </c>
      <c r="E84" t="s">
        <v>69</v>
      </c>
      <c r="F84" t="s">
        <v>70</v>
      </c>
      <c r="G84" t="s">
        <v>71</v>
      </c>
      <c r="H84" t="s">
        <v>72</v>
      </c>
      <c r="I84" t="s">
        <v>73</v>
      </c>
      <c r="J84" t="str">
        <f>"46237"</f>
        <v>46237</v>
      </c>
      <c r="K84" t="s">
        <v>159</v>
      </c>
      <c r="L84" t="s">
        <v>127</v>
      </c>
      <c r="M84" t="s">
        <v>76</v>
      </c>
    </row>
    <row r="85" spans="2:13" x14ac:dyDescent="0.25">
      <c r="B85" t="s">
        <v>67</v>
      </c>
      <c r="C85" s="20">
        <v>100.41666666666667</v>
      </c>
      <c r="D85" t="s">
        <v>68</v>
      </c>
      <c r="E85" t="s">
        <v>69</v>
      </c>
      <c r="F85" t="s">
        <v>70</v>
      </c>
      <c r="G85" t="s">
        <v>71</v>
      </c>
      <c r="H85" t="s">
        <v>72</v>
      </c>
      <c r="I85" t="s">
        <v>73</v>
      </c>
      <c r="J85" t="str">
        <f>"46238"</f>
        <v>46238</v>
      </c>
      <c r="K85" t="s">
        <v>160</v>
      </c>
      <c r="L85" t="s">
        <v>127</v>
      </c>
      <c r="M85" t="s">
        <v>76</v>
      </c>
    </row>
    <row r="86" spans="2:13" x14ac:dyDescent="0.25">
      <c r="B86" t="s">
        <v>67</v>
      </c>
      <c r="C86" s="20">
        <v>101.625</v>
      </c>
      <c r="D86" t="s">
        <v>68</v>
      </c>
      <c r="E86" t="s">
        <v>69</v>
      </c>
      <c r="F86" t="s">
        <v>70</v>
      </c>
      <c r="G86" t="s">
        <v>71</v>
      </c>
      <c r="H86" t="s">
        <v>72</v>
      </c>
      <c r="I86" t="s">
        <v>73</v>
      </c>
      <c r="J86" t="str">
        <f>"46239"</f>
        <v>46239</v>
      </c>
      <c r="K86" t="s">
        <v>161</v>
      </c>
      <c r="L86" t="s">
        <v>127</v>
      </c>
      <c r="M86" t="s">
        <v>76</v>
      </c>
    </row>
    <row r="87" spans="2:13" x14ac:dyDescent="0.25">
      <c r="B87" t="s">
        <v>67</v>
      </c>
      <c r="C87" s="20">
        <v>102.83333333333333</v>
      </c>
      <c r="D87" t="s">
        <v>68</v>
      </c>
      <c r="E87" t="s">
        <v>69</v>
      </c>
      <c r="F87" t="s">
        <v>70</v>
      </c>
      <c r="G87" t="s">
        <v>71</v>
      </c>
      <c r="H87" t="s">
        <v>72</v>
      </c>
      <c r="I87" t="s">
        <v>73</v>
      </c>
      <c r="J87" t="str">
        <f>"46240"</f>
        <v>46240</v>
      </c>
      <c r="K87" t="s">
        <v>162</v>
      </c>
      <c r="L87" t="s">
        <v>127</v>
      </c>
      <c r="M87" t="s">
        <v>76</v>
      </c>
    </row>
    <row r="88" spans="2:13" x14ac:dyDescent="0.25">
      <c r="B88" t="s">
        <v>67</v>
      </c>
      <c r="C88" s="20">
        <v>104.04166666666667</v>
      </c>
      <c r="D88" t="s">
        <v>68</v>
      </c>
      <c r="E88" t="s">
        <v>69</v>
      </c>
      <c r="F88" t="s">
        <v>70</v>
      </c>
      <c r="G88" t="s">
        <v>71</v>
      </c>
      <c r="H88" t="s">
        <v>72</v>
      </c>
      <c r="I88" t="s">
        <v>73</v>
      </c>
      <c r="J88" t="str">
        <f>"46241"</f>
        <v>46241</v>
      </c>
      <c r="K88" t="s">
        <v>163</v>
      </c>
      <c r="L88" t="s">
        <v>127</v>
      </c>
      <c r="M88" t="s">
        <v>76</v>
      </c>
    </row>
    <row r="89" spans="2:13" x14ac:dyDescent="0.25">
      <c r="B89" t="s">
        <v>67</v>
      </c>
      <c r="C89" s="20">
        <v>105.25</v>
      </c>
      <c r="D89" t="s">
        <v>68</v>
      </c>
      <c r="E89" t="s">
        <v>69</v>
      </c>
      <c r="F89" t="s">
        <v>70</v>
      </c>
      <c r="G89" t="s">
        <v>71</v>
      </c>
      <c r="H89" t="s">
        <v>72</v>
      </c>
      <c r="I89" t="s">
        <v>73</v>
      </c>
      <c r="J89" t="str">
        <f>"46242"</f>
        <v>46242</v>
      </c>
      <c r="K89" t="s">
        <v>164</v>
      </c>
      <c r="L89" t="s">
        <v>127</v>
      </c>
      <c r="M89" t="s">
        <v>76</v>
      </c>
    </row>
    <row r="90" spans="2:13" x14ac:dyDescent="0.25">
      <c r="B90" t="s">
        <v>67</v>
      </c>
      <c r="C90" s="20">
        <v>106.45833333333333</v>
      </c>
      <c r="D90" t="s">
        <v>68</v>
      </c>
      <c r="E90" t="s">
        <v>69</v>
      </c>
      <c r="F90" t="s">
        <v>70</v>
      </c>
      <c r="G90" t="s">
        <v>71</v>
      </c>
      <c r="H90" t="s">
        <v>72</v>
      </c>
      <c r="I90" t="s">
        <v>73</v>
      </c>
      <c r="J90" t="str">
        <f>"46243"</f>
        <v>46243</v>
      </c>
      <c r="K90" t="s">
        <v>165</v>
      </c>
      <c r="L90" t="s">
        <v>127</v>
      </c>
      <c r="M90" t="s">
        <v>76</v>
      </c>
    </row>
    <row r="91" spans="2:13" x14ac:dyDescent="0.25">
      <c r="B91" t="s">
        <v>67</v>
      </c>
      <c r="C91" s="20">
        <v>107.66666666666667</v>
      </c>
      <c r="D91" t="s">
        <v>68</v>
      </c>
      <c r="E91" t="s">
        <v>69</v>
      </c>
      <c r="F91" t="s">
        <v>70</v>
      </c>
      <c r="G91" t="s">
        <v>71</v>
      </c>
      <c r="H91" t="s">
        <v>72</v>
      </c>
      <c r="I91" t="s">
        <v>73</v>
      </c>
      <c r="J91" t="str">
        <f>"46244"</f>
        <v>46244</v>
      </c>
      <c r="K91" t="s">
        <v>166</v>
      </c>
      <c r="L91" t="s">
        <v>127</v>
      </c>
      <c r="M91" t="s">
        <v>76</v>
      </c>
    </row>
    <row r="92" spans="2:13" x14ac:dyDescent="0.25">
      <c r="B92" t="s">
        <v>67</v>
      </c>
      <c r="C92" s="20">
        <v>108.875</v>
      </c>
      <c r="D92" t="s">
        <v>68</v>
      </c>
      <c r="E92" t="s">
        <v>69</v>
      </c>
      <c r="F92" t="s">
        <v>70</v>
      </c>
      <c r="G92" t="s">
        <v>71</v>
      </c>
      <c r="H92" t="s">
        <v>72</v>
      </c>
      <c r="I92" t="s">
        <v>73</v>
      </c>
      <c r="J92" t="str">
        <f>"46245"</f>
        <v>46245</v>
      </c>
      <c r="K92" t="s">
        <v>167</v>
      </c>
      <c r="L92" t="s">
        <v>127</v>
      </c>
      <c r="M92" t="s">
        <v>76</v>
      </c>
    </row>
    <row r="93" spans="2:13" x14ac:dyDescent="0.25">
      <c r="B93" t="s">
        <v>67</v>
      </c>
      <c r="C93" s="20">
        <v>110.08333333333333</v>
      </c>
      <c r="D93" t="s">
        <v>68</v>
      </c>
      <c r="E93" t="s">
        <v>69</v>
      </c>
      <c r="F93" t="s">
        <v>70</v>
      </c>
      <c r="G93" t="s">
        <v>71</v>
      </c>
      <c r="H93" t="s">
        <v>72</v>
      </c>
      <c r="I93" t="s">
        <v>73</v>
      </c>
      <c r="J93" t="str">
        <f>"46246"</f>
        <v>46246</v>
      </c>
      <c r="K93" t="s">
        <v>168</v>
      </c>
      <c r="L93" t="s">
        <v>127</v>
      </c>
      <c r="M93" t="s">
        <v>76</v>
      </c>
    </row>
    <row r="94" spans="2:13" x14ac:dyDescent="0.25">
      <c r="B94" t="s">
        <v>67</v>
      </c>
      <c r="C94" s="20">
        <v>111.29166666666667</v>
      </c>
      <c r="D94" t="s">
        <v>68</v>
      </c>
      <c r="E94" t="s">
        <v>69</v>
      </c>
      <c r="F94" t="s">
        <v>70</v>
      </c>
      <c r="G94" t="s">
        <v>71</v>
      </c>
      <c r="H94" t="s">
        <v>72</v>
      </c>
      <c r="I94" t="s">
        <v>73</v>
      </c>
      <c r="J94" t="str">
        <f>"46247"</f>
        <v>46247</v>
      </c>
      <c r="K94" t="s">
        <v>169</v>
      </c>
      <c r="L94" t="s">
        <v>127</v>
      </c>
      <c r="M94" t="s">
        <v>76</v>
      </c>
    </row>
    <row r="95" spans="2:13" x14ac:dyDescent="0.25">
      <c r="B95" t="s">
        <v>67</v>
      </c>
      <c r="C95" s="20">
        <v>112.5</v>
      </c>
      <c r="D95" t="s">
        <v>68</v>
      </c>
      <c r="E95" t="s">
        <v>69</v>
      </c>
      <c r="F95" t="s">
        <v>70</v>
      </c>
      <c r="G95" t="s">
        <v>71</v>
      </c>
      <c r="H95" t="s">
        <v>72</v>
      </c>
      <c r="I95" t="s">
        <v>73</v>
      </c>
      <c r="J95" t="str">
        <f>"46248"</f>
        <v>46248</v>
      </c>
      <c r="K95" t="s">
        <v>170</v>
      </c>
      <c r="L95" t="s">
        <v>127</v>
      </c>
      <c r="M95" t="s">
        <v>76</v>
      </c>
    </row>
    <row r="96" spans="2:13" x14ac:dyDescent="0.25">
      <c r="B96" t="s">
        <v>67</v>
      </c>
      <c r="C96" s="20">
        <v>113.70833333333333</v>
      </c>
      <c r="D96" t="s">
        <v>68</v>
      </c>
      <c r="E96" t="s">
        <v>69</v>
      </c>
      <c r="F96" t="s">
        <v>70</v>
      </c>
      <c r="G96" t="s">
        <v>71</v>
      </c>
      <c r="H96" t="s">
        <v>72</v>
      </c>
      <c r="I96" t="s">
        <v>73</v>
      </c>
      <c r="J96" t="str">
        <f>"46249"</f>
        <v>46249</v>
      </c>
      <c r="K96" t="s">
        <v>171</v>
      </c>
      <c r="L96" t="s">
        <v>127</v>
      </c>
      <c r="M96" t="s">
        <v>76</v>
      </c>
    </row>
    <row r="97" spans="2:13" x14ac:dyDescent="0.25">
      <c r="B97" t="s">
        <v>67</v>
      </c>
      <c r="C97" s="20">
        <v>114.91666666666667</v>
      </c>
      <c r="D97" t="s">
        <v>68</v>
      </c>
      <c r="E97" t="s">
        <v>69</v>
      </c>
      <c r="F97" t="s">
        <v>70</v>
      </c>
      <c r="G97" t="s">
        <v>71</v>
      </c>
      <c r="H97" t="s">
        <v>72</v>
      </c>
      <c r="I97" t="s">
        <v>73</v>
      </c>
      <c r="J97" t="str">
        <f>"46250"</f>
        <v>46250</v>
      </c>
      <c r="K97" t="s">
        <v>172</v>
      </c>
      <c r="L97" t="s">
        <v>127</v>
      </c>
      <c r="M97" t="s">
        <v>76</v>
      </c>
    </row>
    <row r="98" spans="2:13" x14ac:dyDescent="0.25">
      <c r="B98" t="s">
        <v>67</v>
      </c>
      <c r="C98" s="20">
        <v>116.125</v>
      </c>
      <c r="D98" t="s">
        <v>68</v>
      </c>
      <c r="E98" t="s">
        <v>69</v>
      </c>
      <c r="F98" t="s">
        <v>70</v>
      </c>
      <c r="G98" t="s">
        <v>71</v>
      </c>
      <c r="H98" t="s">
        <v>72</v>
      </c>
      <c r="I98" t="s">
        <v>73</v>
      </c>
      <c r="J98" t="str">
        <f>"46251"</f>
        <v>46251</v>
      </c>
      <c r="K98" t="s">
        <v>173</v>
      </c>
      <c r="L98" t="s">
        <v>127</v>
      </c>
      <c r="M98" t="s">
        <v>76</v>
      </c>
    </row>
    <row r="99" spans="2:13" x14ac:dyDescent="0.25">
      <c r="B99" t="s">
        <v>67</v>
      </c>
      <c r="C99" s="20">
        <v>117.33333333333333</v>
      </c>
      <c r="D99" t="s">
        <v>68</v>
      </c>
      <c r="E99" t="s">
        <v>69</v>
      </c>
      <c r="F99" t="s">
        <v>70</v>
      </c>
      <c r="G99" t="s">
        <v>71</v>
      </c>
      <c r="H99" t="s">
        <v>72</v>
      </c>
      <c r="I99" t="s">
        <v>73</v>
      </c>
      <c r="J99" t="str">
        <f>"46252"</f>
        <v>46252</v>
      </c>
      <c r="K99" t="s">
        <v>174</v>
      </c>
      <c r="L99" t="s">
        <v>127</v>
      </c>
      <c r="M99" t="s">
        <v>76</v>
      </c>
    </row>
    <row r="100" spans="2:13" x14ac:dyDescent="0.25">
      <c r="B100" t="s">
        <v>67</v>
      </c>
      <c r="C100" s="20">
        <v>118.54166666666667</v>
      </c>
      <c r="D100" t="s">
        <v>68</v>
      </c>
      <c r="E100" t="s">
        <v>69</v>
      </c>
      <c r="F100" t="s">
        <v>70</v>
      </c>
      <c r="G100" t="s">
        <v>71</v>
      </c>
      <c r="H100" t="s">
        <v>72</v>
      </c>
      <c r="I100" t="s">
        <v>73</v>
      </c>
      <c r="J100" t="str">
        <f>"46253"</f>
        <v>46253</v>
      </c>
      <c r="K100" t="s">
        <v>175</v>
      </c>
      <c r="L100" t="s">
        <v>127</v>
      </c>
      <c r="M100" t="s">
        <v>76</v>
      </c>
    </row>
    <row r="101" spans="2:13" x14ac:dyDescent="0.25">
      <c r="B101" t="s">
        <v>67</v>
      </c>
      <c r="C101" s="20">
        <v>119.75</v>
      </c>
      <c r="D101" t="s">
        <v>68</v>
      </c>
      <c r="E101" t="s">
        <v>69</v>
      </c>
      <c r="F101" t="s">
        <v>70</v>
      </c>
      <c r="G101" t="s">
        <v>71</v>
      </c>
      <c r="H101" t="s">
        <v>72</v>
      </c>
      <c r="I101" t="s">
        <v>73</v>
      </c>
      <c r="J101" t="str">
        <f>"46254"</f>
        <v>46254</v>
      </c>
      <c r="K101" t="s">
        <v>176</v>
      </c>
      <c r="L101" t="s">
        <v>127</v>
      </c>
      <c r="M101" t="s">
        <v>76</v>
      </c>
    </row>
    <row r="102" spans="2:13" x14ac:dyDescent="0.25">
      <c r="B102" t="s">
        <v>67</v>
      </c>
      <c r="C102" s="20">
        <v>120.95833333333333</v>
      </c>
      <c r="D102" t="s">
        <v>68</v>
      </c>
      <c r="E102" t="s">
        <v>69</v>
      </c>
      <c r="F102" t="s">
        <v>70</v>
      </c>
      <c r="G102" t="s">
        <v>71</v>
      </c>
      <c r="H102" t="s">
        <v>72</v>
      </c>
      <c r="I102" t="s">
        <v>73</v>
      </c>
      <c r="J102" t="str">
        <f>"46255"</f>
        <v>46255</v>
      </c>
      <c r="K102" t="s">
        <v>177</v>
      </c>
      <c r="L102" t="s">
        <v>127</v>
      </c>
      <c r="M102" t="s">
        <v>76</v>
      </c>
    </row>
    <row r="103" spans="2:13" x14ac:dyDescent="0.25">
      <c r="B103" t="s">
        <v>67</v>
      </c>
      <c r="C103" s="20">
        <v>122.16666666666667</v>
      </c>
      <c r="D103" t="s">
        <v>68</v>
      </c>
      <c r="E103" t="s">
        <v>69</v>
      </c>
      <c r="F103" t="s">
        <v>70</v>
      </c>
      <c r="G103" t="s">
        <v>71</v>
      </c>
      <c r="H103" t="s">
        <v>72</v>
      </c>
      <c r="I103" t="s">
        <v>73</v>
      </c>
      <c r="J103" t="str">
        <f>"46256"</f>
        <v>46256</v>
      </c>
      <c r="K103" t="s">
        <v>178</v>
      </c>
      <c r="L103" t="s">
        <v>127</v>
      </c>
      <c r="M103" t="s">
        <v>76</v>
      </c>
    </row>
    <row r="104" spans="2:13" x14ac:dyDescent="0.25">
      <c r="B104" t="s">
        <v>67</v>
      </c>
      <c r="C104" s="20">
        <v>123.375</v>
      </c>
      <c r="D104" t="s">
        <v>68</v>
      </c>
      <c r="E104" t="s">
        <v>69</v>
      </c>
      <c r="F104" t="s">
        <v>70</v>
      </c>
      <c r="G104" t="s">
        <v>71</v>
      </c>
      <c r="H104" t="s">
        <v>72</v>
      </c>
      <c r="I104" t="s">
        <v>73</v>
      </c>
      <c r="J104" t="str">
        <f>"46257"</f>
        <v>46257</v>
      </c>
      <c r="K104" t="s">
        <v>179</v>
      </c>
      <c r="L104" t="s">
        <v>127</v>
      </c>
      <c r="M104" t="s">
        <v>76</v>
      </c>
    </row>
    <row r="105" spans="2:13" x14ac:dyDescent="0.25">
      <c r="B105" t="s">
        <v>67</v>
      </c>
      <c r="C105" s="20">
        <v>124.58333333333333</v>
      </c>
      <c r="D105" t="s">
        <v>68</v>
      </c>
      <c r="E105" t="s">
        <v>69</v>
      </c>
      <c r="F105" t="s">
        <v>70</v>
      </c>
      <c r="G105" t="s">
        <v>71</v>
      </c>
      <c r="H105" t="s">
        <v>72</v>
      </c>
      <c r="I105" t="s">
        <v>73</v>
      </c>
      <c r="J105" t="str">
        <f>"46258"</f>
        <v>46258</v>
      </c>
      <c r="K105" t="s">
        <v>180</v>
      </c>
      <c r="L105" t="s">
        <v>127</v>
      </c>
      <c r="M105" t="s">
        <v>76</v>
      </c>
    </row>
    <row r="106" spans="2:13" x14ac:dyDescent="0.25">
      <c r="B106" t="s">
        <v>67</v>
      </c>
      <c r="C106" s="20">
        <v>125.79166666666667</v>
      </c>
      <c r="D106" t="s">
        <v>68</v>
      </c>
      <c r="E106" t="s">
        <v>69</v>
      </c>
      <c r="F106" t="s">
        <v>70</v>
      </c>
      <c r="G106" t="s">
        <v>71</v>
      </c>
      <c r="H106" t="s">
        <v>72</v>
      </c>
      <c r="I106" t="s">
        <v>73</v>
      </c>
      <c r="J106" t="str">
        <f>"46259"</f>
        <v>46259</v>
      </c>
      <c r="K106" t="s">
        <v>181</v>
      </c>
      <c r="L106" t="s">
        <v>127</v>
      </c>
      <c r="M106" t="s">
        <v>76</v>
      </c>
    </row>
    <row r="107" spans="2:13" x14ac:dyDescent="0.25">
      <c r="B107" t="s">
        <v>67</v>
      </c>
      <c r="C107" s="20">
        <v>127</v>
      </c>
      <c r="D107" t="s">
        <v>68</v>
      </c>
      <c r="E107" t="s">
        <v>69</v>
      </c>
      <c r="F107" t="s">
        <v>70</v>
      </c>
      <c r="G107" t="s">
        <v>71</v>
      </c>
      <c r="H107" t="s">
        <v>72</v>
      </c>
      <c r="I107" t="s">
        <v>73</v>
      </c>
      <c r="J107" t="str">
        <f>"46260"</f>
        <v>46260</v>
      </c>
      <c r="K107" t="s">
        <v>182</v>
      </c>
      <c r="L107" t="s">
        <v>127</v>
      </c>
      <c r="M107" t="s">
        <v>76</v>
      </c>
    </row>
    <row r="108" spans="2:13" x14ac:dyDescent="0.25">
      <c r="B108" t="s">
        <v>67</v>
      </c>
      <c r="C108" s="20">
        <v>128.20833333333334</v>
      </c>
      <c r="D108" t="s">
        <v>68</v>
      </c>
      <c r="E108" t="s">
        <v>69</v>
      </c>
      <c r="F108" t="s">
        <v>70</v>
      </c>
      <c r="G108" t="s">
        <v>71</v>
      </c>
      <c r="H108" t="s">
        <v>72</v>
      </c>
      <c r="I108" t="s">
        <v>73</v>
      </c>
      <c r="J108" t="str">
        <f>"46261"</f>
        <v>46261</v>
      </c>
      <c r="K108" t="s">
        <v>183</v>
      </c>
      <c r="L108" t="s">
        <v>127</v>
      </c>
      <c r="M108" t="s">
        <v>76</v>
      </c>
    </row>
    <row r="109" spans="2:13" x14ac:dyDescent="0.25">
      <c r="B109" t="s">
        <v>67</v>
      </c>
      <c r="C109" s="20">
        <v>129.41666666666666</v>
      </c>
      <c r="D109" t="s">
        <v>68</v>
      </c>
      <c r="E109" t="s">
        <v>69</v>
      </c>
      <c r="F109" t="s">
        <v>70</v>
      </c>
      <c r="G109" t="s">
        <v>71</v>
      </c>
      <c r="H109" t="s">
        <v>72</v>
      </c>
      <c r="I109" t="s">
        <v>73</v>
      </c>
      <c r="J109" t="str">
        <f>"46262"</f>
        <v>46262</v>
      </c>
      <c r="K109" t="s">
        <v>184</v>
      </c>
      <c r="L109" t="s">
        <v>127</v>
      </c>
      <c r="M109" t="s">
        <v>76</v>
      </c>
    </row>
    <row r="110" spans="2:13" x14ac:dyDescent="0.25">
      <c r="B110" t="s">
        <v>67</v>
      </c>
      <c r="C110" s="20">
        <v>130.625</v>
      </c>
      <c r="D110" t="s">
        <v>68</v>
      </c>
      <c r="E110" t="s">
        <v>69</v>
      </c>
      <c r="F110" t="s">
        <v>70</v>
      </c>
      <c r="G110" t="s">
        <v>71</v>
      </c>
      <c r="H110" t="s">
        <v>72</v>
      </c>
      <c r="I110" t="s">
        <v>73</v>
      </c>
      <c r="J110" t="str">
        <f>"46263"</f>
        <v>46263</v>
      </c>
      <c r="K110" t="s">
        <v>185</v>
      </c>
      <c r="L110" t="s">
        <v>127</v>
      </c>
      <c r="M110" t="s">
        <v>76</v>
      </c>
    </row>
    <row r="111" spans="2:13" x14ac:dyDescent="0.25">
      <c r="B111" t="s">
        <v>67</v>
      </c>
      <c r="C111" s="20">
        <v>131.83333333333334</v>
      </c>
      <c r="D111" t="s">
        <v>68</v>
      </c>
      <c r="E111" t="s">
        <v>69</v>
      </c>
      <c r="F111" t="s">
        <v>70</v>
      </c>
      <c r="G111" t="s">
        <v>71</v>
      </c>
      <c r="H111" t="s">
        <v>72</v>
      </c>
      <c r="I111" t="s">
        <v>73</v>
      </c>
      <c r="J111" t="str">
        <f>"46264"</f>
        <v>46264</v>
      </c>
      <c r="K111" t="s">
        <v>186</v>
      </c>
      <c r="L111" t="s">
        <v>127</v>
      </c>
      <c r="M111" t="s">
        <v>76</v>
      </c>
    </row>
    <row r="112" spans="2:13" x14ac:dyDescent="0.25">
      <c r="B112" t="s">
        <v>67</v>
      </c>
      <c r="C112" s="20">
        <v>133.04166666666666</v>
      </c>
      <c r="D112" t="s">
        <v>68</v>
      </c>
      <c r="E112" t="s">
        <v>69</v>
      </c>
      <c r="F112" t="s">
        <v>70</v>
      </c>
      <c r="G112" t="s">
        <v>71</v>
      </c>
      <c r="H112" t="s">
        <v>72</v>
      </c>
      <c r="I112" t="s">
        <v>73</v>
      </c>
      <c r="J112" t="str">
        <f>"46265"</f>
        <v>46265</v>
      </c>
      <c r="K112" t="s">
        <v>187</v>
      </c>
      <c r="L112" t="s">
        <v>127</v>
      </c>
      <c r="M112" t="s">
        <v>76</v>
      </c>
    </row>
    <row r="113" spans="2:13" x14ac:dyDescent="0.25">
      <c r="B113" t="s">
        <v>67</v>
      </c>
      <c r="C113" s="20">
        <v>134.25</v>
      </c>
      <c r="D113" t="s">
        <v>68</v>
      </c>
      <c r="E113" t="s">
        <v>69</v>
      </c>
      <c r="F113" t="s">
        <v>70</v>
      </c>
      <c r="G113" t="s">
        <v>71</v>
      </c>
      <c r="H113" t="s">
        <v>72</v>
      </c>
      <c r="I113" t="s">
        <v>73</v>
      </c>
      <c r="J113" t="str">
        <f>"46266"</f>
        <v>46266</v>
      </c>
      <c r="K113" t="s">
        <v>188</v>
      </c>
      <c r="L113" t="s">
        <v>127</v>
      </c>
      <c r="M113" t="s">
        <v>76</v>
      </c>
    </row>
    <row r="114" spans="2:13" x14ac:dyDescent="0.25">
      <c r="B114" t="s">
        <v>67</v>
      </c>
      <c r="C114" s="20">
        <v>135.45833333333334</v>
      </c>
      <c r="D114" t="s">
        <v>68</v>
      </c>
      <c r="E114" t="s">
        <v>69</v>
      </c>
      <c r="F114" t="s">
        <v>70</v>
      </c>
      <c r="G114" t="s">
        <v>71</v>
      </c>
      <c r="H114" t="s">
        <v>72</v>
      </c>
      <c r="I114" t="s">
        <v>73</v>
      </c>
      <c r="J114" t="str">
        <f>"46267"</f>
        <v>46267</v>
      </c>
      <c r="K114" t="s">
        <v>189</v>
      </c>
      <c r="L114" t="s">
        <v>127</v>
      </c>
      <c r="M114" t="s">
        <v>76</v>
      </c>
    </row>
    <row r="115" spans="2:13" x14ac:dyDescent="0.25">
      <c r="B115" t="s">
        <v>67</v>
      </c>
      <c r="C115" s="20">
        <v>136.66666666666666</v>
      </c>
      <c r="D115" t="s">
        <v>68</v>
      </c>
      <c r="E115" t="s">
        <v>69</v>
      </c>
      <c r="F115" t="s">
        <v>70</v>
      </c>
      <c r="G115" t="s">
        <v>71</v>
      </c>
      <c r="H115" t="s">
        <v>72</v>
      </c>
      <c r="I115" t="s">
        <v>73</v>
      </c>
      <c r="J115" t="str">
        <f>"46268"</f>
        <v>46268</v>
      </c>
      <c r="K115" t="s">
        <v>190</v>
      </c>
      <c r="L115" t="s">
        <v>127</v>
      </c>
      <c r="M115" t="s">
        <v>76</v>
      </c>
    </row>
    <row r="116" spans="2:13" x14ac:dyDescent="0.25">
      <c r="B116" t="s">
        <v>67</v>
      </c>
      <c r="C116" s="20">
        <v>137.875</v>
      </c>
      <c r="D116" t="s">
        <v>68</v>
      </c>
      <c r="E116" t="s">
        <v>69</v>
      </c>
      <c r="F116" t="s">
        <v>70</v>
      </c>
      <c r="G116" t="s">
        <v>71</v>
      </c>
      <c r="H116" t="s">
        <v>72</v>
      </c>
      <c r="I116" t="s">
        <v>73</v>
      </c>
      <c r="J116" t="str">
        <f>"46269"</f>
        <v>46269</v>
      </c>
      <c r="K116" t="s">
        <v>191</v>
      </c>
      <c r="L116" t="s">
        <v>127</v>
      </c>
      <c r="M116" t="s">
        <v>76</v>
      </c>
    </row>
    <row r="117" spans="2:13" x14ac:dyDescent="0.25">
      <c r="B117" t="s">
        <v>67</v>
      </c>
      <c r="C117" s="20">
        <v>139.08333333333334</v>
      </c>
      <c r="D117" t="s">
        <v>68</v>
      </c>
      <c r="E117" t="s">
        <v>69</v>
      </c>
      <c r="F117" t="s">
        <v>70</v>
      </c>
      <c r="G117" t="s">
        <v>71</v>
      </c>
      <c r="H117" t="s">
        <v>72</v>
      </c>
      <c r="I117" t="s">
        <v>73</v>
      </c>
      <c r="J117" t="str">
        <f>"46270"</f>
        <v>46270</v>
      </c>
      <c r="K117" t="s">
        <v>192</v>
      </c>
      <c r="L117" t="s">
        <v>127</v>
      </c>
      <c r="M117" t="s">
        <v>76</v>
      </c>
    </row>
    <row r="118" spans="2:13" x14ac:dyDescent="0.25">
      <c r="B118" t="s">
        <v>67</v>
      </c>
      <c r="C118" s="20">
        <v>140.29166666666666</v>
      </c>
      <c r="D118" t="s">
        <v>68</v>
      </c>
      <c r="E118" t="s">
        <v>69</v>
      </c>
      <c r="F118" t="s">
        <v>70</v>
      </c>
      <c r="G118" t="s">
        <v>71</v>
      </c>
      <c r="H118" t="s">
        <v>72</v>
      </c>
      <c r="I118" t="s">
        <v>73</v>
      </c>
      <c r="J118" t="str">
        <f>"46271"</f>
        <v>46271</v>
      </c>
      <c r="K118" t="s">
        <v>193</v>
      </c>
      <c r="L118" t="s">
        <v>127</v>
      </c>
      <c r="M118" t="s">
        <v>76</v>
      </c>
    </row>
    <row r="119" spans="2:13" x14ac:dyDescent="0.25">
      <c r="B119" t="s">
        <v>67</v>
      </c>
      <c r="C119" s="20">
        <v>141.5</v>
      </c>
      <c r="D119" t="s">
        <v>68</v>
      </c>
      <c r="E119" t="s">
        <v>69</v>
      </c>
      <c r="F119" t="s">
        <v>70</v>
      </c>
      <c r="G119" t="s">
        <v>71</v>
      </c>
      <c r="H119" t="s">
        <v>72</v>
      </c>
      <c r="I119" t="s">
        <v>73</v>
      </c>
      <c r="J119" t="str">
        <f>"46272"</f>
        <v>46272</v>
      </c>
      <c r="K119" t="s">
        <v>194</v>
      </c>
      <c r="L119" t="s">
        <v>127</v>
      </c>
      <c r="M119" t="s">
        <v>76</v>
      </c>
    </row>
    <row r="120" spans="2:13" x14ac:dyDescent="0.25">
      <c r="B120" t="s">
        <v>67</v>
      </c>
      <c r="C120" s="20">
        <v>142.70833333333334</v>
      </c>
      <c r="D120" t="s">
        <v>68</v>
      </c>
      <c r="E120" t="s">
        <v>69</v>
      </c>
      <c r="F120" t="s">
        <v>70</v>
      </c>
      <c r="G120" t="s">
        <v>71</v>
      </c>
      <c r="H120" t="s">
        <v>72</v>
      </c>
      <c r="I120" t="s">
        <v>73</v>
      </c>
      <c r="J120" t="str">
        <f>"46273"</f>
        <v>46273</v>
      </c>
      <c r="K120" t="s">
        <v>195</v>
      </c>
      <c r="L120" t="s">
        <v>127</v>
      </c>
      <c r="M120" t="s">
        <v>76</v>
      </c>
    </row>
    <row r="121" spans="2:13" x14ac:dyDescent="0.25">
      <c r="B121" t="s">
        <v>67</v>
      </c>
      <c r="C121" s="20">
        <v>143.91666666666666</v>
      </c>
      <c r="D121" t="s">
        <v>68</v>
      </c>
      <c r="E121" t="s">
        <v>69</v>
      </c>
      <c r="F121" t="s">
        <v>70</v>
      </c>
      <c r="G121" t="s">
        <v>71</v>
      </c>
      <c r="H121" t="s">
        <v>72</v>
      </c>
      <c r="I121" t="s">
        <v>73</v>
      </c>
      <c r="J121" t="str">
        <f>"46274"</f>
        <v>46274</v>
      </c>
      <c r="K121" t="s">
        <v>196</v>
      </c>
      <c r="L121" t="s">
        <v>127</v>
      </c>
      <c r="M121" t="s">
        <v>76</v>
      </c>
    </row>
    <row r="122" spans="2:13" x14ac:dyDescent="0.25">
      <c r="B122" t="s">
        <v>67</v>
      </c>
      <c r="C122" s="20">
        <v>145.125</v>
      </c>
      <c r="D122" t="s">
        <v>68</v>
      </c>
      <c r="E122" t="s">
        <v>69</v>
      </c>
      <c r="F122" t="s">
        <v>70</v>
      </c>
      <c r="G122" t="s">
        <v>71</v>
      </c>
      <c r="H122" t="s">
        <v>72</v>
      </c>
      <c r="I122" t="s">
        <v>73</v>
      </c>
      <c r="J122" t="str">
        <f>"46275"</f>
        <v>46275</v>
      </c>
      <c r="K122" t="s">
        <v>197</v>
      </c>
      <c r="L122" t="s">
        <v>127</v>
      </c>
      <c r="M122" t="s">
        <v>76</v>
      </c>
    </row>
    <row r="123" spans="2:13" x14ac:dyDescent="0.25">
      <c r="B123" t="s">
        <v>67</v>
      </c>
      <c r="C123" s="20">
        <v>146.33333333333334</v>
      </c>
      <c r="D123" t="s">
        <v>68</v>
      </c>
      <c r="E123" t="s">
        <v>69</v>
      </c>
      <c r="F123" t="s">
        <v>70</v>
      </c>
      <c r="G123" t="s">
        <v>71</v>
      </c>
      <c r="H123" t="s">
        <v>72</v>
      </c>
      <c r="I123" t="s">
        <v>73</v>
      </c>
      <c r="J123" t="str">
        <f>"46276"</f>
        <v>46276</v>
      </c>
      <c r="K123" t="s">
        <v>198</v>
      </c>
      <c r="L123" t="s">
        <v>127</v>
      </c>
      <c r="M123" t="s">
        <v>76</v>
      </c>
    </row>
    <row r="124" spans="2:13" x14ac:dyDescent="0.25">
      <c r="B124" t="s">
        <v>67</v>
      </c>
      <c r="C124" s="20">
        <v>147.54166666666666</v>
      </c>
      <c r="D124" t="s">
        <v>68</v>
      </c>
      <c r="E124" t="s">
        <v>69</v>
      </c>
      <c r="F124" t="s">
        <v>70</v>
      </c>
      <c r="G124" t="s">
        <v>71</v>
      </c>
      <c r="H124" t="s">
        <v>72</v>
      </c>
      <c r="I124" t="s">
        <v>73</v>
      </c>
      <c r="J124" t="str">
        <f>"46277"</f>
        <v>46277</v>
      </c>
      <c r="K124" t="s">
        <v>199</v>
      </c>
      <c r="L124" t="s">
        <v>127</v>
      </c>
      <c r="M124" t="s">
        <v>76</v>
      </c>
    </row>
    <row r="125" spans="2:13" x14ac:dyDescent="0.25">
      <c r="B125" t="s">
        <v>67</v>
      </c>
      <c r="C125" s="20">
        <v>148.75</v>
      </c>
      <c r="D125" t="s">
        <v>68</v>
      </c>
      <c r="E125" t="s">
        <v>69</v>
      </c>
      <c r="F125" t="s">
        <v>70</v>
      </c>
      <c r="G125" t="s">
        <v>71</v>
      </c>
      <c r="H125" t="s">
        <v>72</v>
      </c>
      <c r="I125" t="s">
        <v>73</v>
      </c>
      <c r="J125" t="str">
        <f>"46278"</f>
        <v>46278</v>
      </c>
      <c r="K125" t="s">
        <v>200</v>
      </c>
      <c r="L125" t="s">
        <v>127</v>
      </c>
      <c r="M125" t="s">
        <v>76</v>
      </c>
    </row>
    <row r="126" spans="2:13" x14ac:dyDescent="0.25">
      <c r="B126" t="s">
        <v>67</v>
      </c>
      <c r="C126" s="20">
        <v>149.95833333333334</v>
      </c>
      <c r="D126" t="s">
        <v>68</v>
      </c>
      <c r="E126" t="s">
        <v>69</v>
      </c>
      <c r="F126" t="s">
        <v>70</v>
      </c>
      <c r="G126" t="s">
        <v>71</v>
      </c>
      <c r="H126" t="s">
        <v>72</v>
      </c>
      <c r="I126" t="s">
        <v>73</v>
      </c>
      <c r="J126" t="str">
        <f>"46279"</f>
        <v>46279</v>
      </c>
      <c r="K126" t="s">
        <v>201</v>
      </c>
      <c r="L126" t="s">
        <v>127</v>
      </c>
      <c r="M126" t="s">
        <v>76</v>
      </c>
    </row>
    <row r="127" spans="2:13" x14ac:dyDescent="0.25">
      <c r="B127" t="s">
        <v>67</v>
      </c>
      <c r="C127" s="20">
        <v>151.16666666666666</v>
      </c>
      <c r="D127" t="s">
        <v>68</v>
      </c>
      <c r="E127" t="s">
        <v>69</v>
      </c>
      <c r="F127" t="s">
        <v>70</v>
      </c>
      <c r="G127" t="s">
        <v>71</v>
      </c>
      <c r="H127" t="s">
        <v>72</v>
      </c>
      <c r="I127" t="s">
        <v>73</v>
      </c>
      <c r="J127" t="str">
        <f>"46280"</f>
        <v>46280</v>
      </c>
      <c r="K127" t="s">
        <v>202</v>
      </c>
      <c r="L127" t="s">
        <v>127</v>
      </c>
      <c r="M127" t="s">
        <v>76</v>
      </c>
    </row>
    <row r="128" spans="2:13" x14ac:dyDescent="0.25">
      <c r="B128" t="s">
        <v>67</v>
      </c>
      <c r="C128" s="20">
        <v>152.375</v>
      </c>
      <c r="D128" t="s">
        <v>68</v>
      </c>
      <c r="E128" t="s">
        <v>69</v>
      </c>
      <c r="F128" t="s">
        <v>70</v>
      </c>
      <c r="G128" t="s">
        <v>71</v>
      </c>
      <c r="H128" t="s">
        <v>72</v>
      </c>
      <c r="I128" t="s">
        <v>73</v>
      </c>
      <c r="J128" t="str">
        <f>"46281"</f>
        <v>46281</v>
      </c>
      <c r="K128" t="s">
        <v>203</v>
      </c>
      <c r="L128" t="s">
        <v>127</v>
      </c>
      <c r="M128" t="s">
        <v>76</v>
      </c>
    </row>
    <row r="129" spans="2:13" x14ac:dyDescent="0.25">
      <c r="B129" t="s">
        <v>67</v>
      </c>
      <c r="C129" s="20">
        <v>153.58333333333334</v>
      </c>
      <c r="D129" t="s">
        <v>68</v>
      </c>
      <c r="E129" t="s">
        <v>69</v>
      </c>
      <c r="F129" t="s">
        <v>70</v>
      </c>
      <c r="G129" t="s">
        <v>71</v>
      </c>
      <c r="H129" t="s">
        <v>72</v>
      </c>
      <c r="I129" t="s">
        <v>73</v>
      </c>
      <c r="J129" t="str">
        <f>"46282"</f>
        <v>46282</v>
      </c>
      <c r="K129" t="s">
        <v>204</v>
      </c>
      <c r="L129" t="s">
        <v>127</v>
      </c>
      <c r="M129" t="s">
        <v>76</v>
      </c>
    </row>
    <row r="130" spans="2:13" x14ac:dyDescent="0.25">
      <c r="B130" t="s">
        <v>67</v>
      </c>
      <c r="C130" s="20">
        <v>154.79166666666666</v>
      </c>
      <c r="D130" t="s">
        <v>68</v>
      </c>
      <c r="E130" t="s">
        <v>69</v>
      </c>
      <c r="F130" t="s">
        <v>70</v>
      </c>
      <c r="G130" t="s">
        <v>71</v>
      </c>
      <c r="H130" t="s">
        <v>72</v>
      </c>
      <c r="I130" t="s">
        <v>73</v>
      </c>
      <c r="J130" t="str">
        <f>"46283"</f>
        <v>46283</v>
      </c>
      <c r="K130" t="s">
        <v>205</v>
      </c>
      <c r="L130" t="s">
        <v>127</v>
      </c>
      <c r="M130" t="s">
        <v>76</v>
      </c>
    </row>
    <row r="131" spans="2:13" x14ac:dyDescent="0.25">
      <c r="B131" t="s">
        <v>67</v>
      </c>
      <c r="C131" s="20">
        <v>156</v>
      </c>
      <c r="D131" t="s">
        <v>68</v>
      </c>
      <c r="E131" t="s">
        <v>69</v>
      </c>
      <c r="F131" t="s">
        <v>70</v>
      </c>
      <c r="G131" t="s">
        <v>71</v>
      </c>
      <c r="H131" t="s">
        <v>72</v>
      </c>
      <c r="I131" t="s">
        <v>73</v>
      </c>
      <c r="J131" t="str">
        <f>"46284"</f>
        <v>46284</v>
      </c>
      <c r="K131" t="s">
        <v>206</v>
      </c>
      <c r="L131" t="s">
        <v>127</v>
      </c>
      <c r="M131" t="s">
        <v>76</v>
      </c>
    </row>
    <row r="132" spans="2:13" x14ac:dyDescent="0.25">
      <c r="B132" t="s">
        <v>67</v>
      </c>
      <c r="C132" s="20">
        <v>157.20833333333334</v>
      </c>
      <c r="D132" t="s">
        <v>68</v>
      </c>
      <c r="E132" t="s">
        <v>69</v>
      </c>
      <c r="F132" t="s">
        <v>70</v>
      </c>
      <c r="G132" t="s">
        <v>71</v>
      </c>
      <c r="H132" t="s">
        <v>72</v>
      </c>
      <c r="I132" t="s">
        <v>73</v>
      </c>
      <c r="J132" t="str">
        <f>"46285"</f>
        <v>46285</v>
      </c>
      <c r="K132" t="s">
        <v>207</v>
      </c>
      <c r="L132" t="s">
        <v>127</v>
      </c>
      <c r="M132" t="s">
        <v>76</v>
      </c>
    </row>
    <row r="133" spans="2:13" x14ac:dyDescent="0.25">
      <c r="B133" t="s">
        <v>67</v>
      </c>
      <c r="C133" s="20">
        <v>158.41666666666666</v>
      </c>
      <c r="D133" t="s">
        <v>68</v>
      </c>
      <c r="E133" t="s">
        <v>69</v>
      </c>
      <c r="F133" t="s">
        <v>70</v>
      </c>
      <c r="G133" t="s">
        <v>71</v>
      </c>
      <c r="H133" t="s">
        <v>72</v>
      </c>
      <c r="I133" t="s">
        <v>73</v>
      </c>
      <c r="J133" t="str">
        <f>"46286"</f>
        <v>46286</v>
      </c>
      <c r="K133" t="s">
        <v>208</v>
      </c>
      <c r="L133" t="s">
        <v>127</v>
      </c>
      <c r="M133" t="s">
        <v>76</v>
      </c>
    </row>
    <row r="134" spans="2:13" x14ac:dyDescent="0.25">
      <c r="B134" t="s">
        <v>67</v>
      </c>
      <c r="C134" s="20">
        <v>159.625</v>
      </c>
      <c r="D134" t="s">
        <v>68</v>
      </c>
      <c r="E134" t="s">
        <v>69</v>
      </c>
      <c r="F134" t="s">
        <v>70</v>
      </c>
      <c r="G134" t="s">
        <v>71</v>
      </c>
      <c r="H134" t="s">
        <v>72</v>
      </c>
      <c r="I134" t="s">
        <v>73</v>
      </c>
      <c r="J134" t="str">
        <f>"46287"</f>
        <v>46287</v>
      </c>
      <c r="K134" t="s">
        <v>209</v>
      </c>
      <c r="L134" t="s">
        <v>127</v>
      </c>
      <c r="M134" t="s">
        <v>76</v>
      </c>
    </row>
    <row r="135" spans="2:13" x14ac:dyDescent="0.25">
      <c r="B135" t="s">
        <v>67</v>
      </c>
      <c r="C135" s="20">
        <v>160.83333333333334</v>
      </c>
      <c r="D135" t="s">
        <v>68</v>
      </c>
      <c r="E135" t="s">
        <v>69</v>
      </c>
      <c r="F135" t="s">
        <v>70</v>
      </c>
      <c r="G135" t="s">
        <v>71</v>
      </c>
      <c r="H135" t="s">
        <v>72</v>
      </c>
      <c r="I135" t="s">
        <v>73</v>
      </c>
      <c r="J135" t="str">
        <f>"46288"</f>
        <v>46288</v>
      </c>
      <c r="K135" t="s">
        <v>210</v>
      </c>
      <c r="L135" t="s">
        <v>127</v>
      </c>
      <c r="M135" t="s">
        <v>76</v>
      </c>
    </row>
    <row r="136" spans="2:13" x14ac:dyDescent="0.25">
      <c r="B136" t="s">
        <v>67</v>
      </c>
      <c r="C136" s="20">
        <v>162.04166666666666</v>
      </c>
      <c r="D136" t="s">
        <v>68</v>
      </c>
      <c r="E136" t="s">
        <v>69</v>
      </c>
      <c r="F136" t="s">
        <v>70</v>
      </c>
      <c r="G136" t="s">
        <v>71</v>
      </c>
      <c r="H136" t="s">
        <v>72</v>
      </c>
      <c r="I136" t="s">
        <v>73</v>
      </c>
      <c r="J136" t="str">
        <f>"46289"</f>
        <v>46289</v>
      </c>
      <c r="K136" t="s">
        <v>211</v>
      </c>
      <c r="L136" t="s">
        <v>127</v>
      </c>
      <c r="M136" t="s">
        <v>76</v>
      </c>
    </row>
    <row r="137" spans="2:13" x14ac:dyDescent="0.25">
      <c r="B137" t="s">
        <v>67</v>
      </c>
      <c r="C137" s="20">
        <v>163.25</v>
      </c>
      <c r="D137" t="s">
        <v>68</v>
      </c>
      <c r="E137" t="s">
        <v>69</v>
      </c>
      <c r="F137" t="s">
        <v>70</v>
      </c>
      <c r="G137" t="s">
        <v>71</v>
      </c>
      <c r="H137" t="s">
        <v>72</v>
      </c>
      <c r="I137" t="s">
        <v>73</v>
      </c>
      <c r="J137" t="str">
        <f>"46290"</f>
        <v>46290</v>
      </c>
      <c r="K137" t="s">
        <v>212</v>
      </c>
      <c r="L137" t="s">
        <v>127</v>
      </c>
      <c r="M137" t="s">
        <v>76</v>
      </c>
    </row>
    <row r="138" spans="2:13" x14ac:dyDescent="0.25">
      <c r="B138" t="s">
        <v>67</v>
      </c>
      <c r="C138" s="20">
        <v>164.45833333333334</v>
      </c>
      <c r="D138" t="s">
        <v>68</v>
      </c>
      <c r="E138" t="s">
        <v>69</v>
      </c>
      <c r="F138" t="s">
        <v>70</v>
      </c>
      <c r="G138" t="s">
        <v>71</v>
      </c>
      <c r="H138" t="s">
        <v>72</v>
      </c>
      <c r="I138" t="s">
        <v>73</v>
      </c>
      <c r="J138" t="str">
        <f>"46291"</f>
        <v>46291</v>
      </c>
      <c r="K138" t="s">
        <v>213</v>
      </c>
      <c r="L138" t="s">
        <v>127</v>
      </c>
      <c r="M138" t="s">
        <v>76</v>
      </c>
    </row>
    <row r="139" spans="2:13" x14ac:dyDescent="0.25">
      <c r="B139" t="s">
        <v>67</v>
      </c>
      <c r="C139" s="20">
        <v>165.66666666666666</v>
      </c>
      <c r="D139" t="s">
        <v>68</v>
      </c>
      <c r="E139" t="s">
        <v>69</v>
      </c>
      <c r="F139" t="s">
        <v>70</v>
      </c>
      <c r="G139" t="s">
        <v>71</v>
      </c>
      <c r="H139" t="s">
        <v>72</v>
      </c>
      <c r="I139" t="s">
        <v>73</v>
      </c>
      <c r="J139" t="str">
        <f>"46292"</f>
        <v>46292</v>
      </c>
      <c r="K139" t="s">
        <v>214</v>
      </c>
      <c r="L139" t="s">
        <v>127</v>
      </c>
      <c r="M139" t="s">
        <v>76</v>
      </c>
    </row>
    <row r="140" spans="2:13" x14ac:dyDescent="0.25">
      <c r="B140" t="s">
        <v>67</v>
      </c>
      <c r="C140" s="20">
        <v>166.875</v>
      </c>
      <c r="D140" t="s">
        <v>68</v>
      </c>
      <c r="E140" t="s">
        <v>69</v>
      </c>
      <c r="F140" t="s">
        <v>70</v>
      </c>
      <c r="G140" t="s">
        <v>71</v>
      </c>
      <c r="H140" t="s">
        <v>72</v>
      </c>
      <c r="I140" t="s">
        <v>73</v>
      </c>
      <c r="J140" t="str">
        <f>"46293"</f>
        <v>46293</v>
      </c>
      <c r="K140" t="s">
        <v>215</v>
      </c>
      <c r="L140" t="s">
        <v>127</v>
      </c>
      <c r="M140" t="s">
        <v>76</v>
      </c>
    </row>
    <row r="141" spans="2:13" x14ac:dyDescent="0.25">
      <c r="B141" t="s">
        <v>67</v>
      </c>
      <c r="C141" s="20">
        <v>168.08333333333334</v>
      </c>
      <c r="D141" t="s">
        <v>68</v>
      </c>
      <c r="E141" t="s">
        <v>69</v>
      </c>
      <c r="F141" t="s">
        <v>70</v>
      </c>
      <c r="G141" t="s">
        <v>71</v>
      </c>
      <c r="H141" t="s">
        <v>72</v>
      </c>
      <c r="I141" t="s">
        <v>73</v>
      </c>
      <c r="J141" t="str">
        <f>"46294"</f>
        <v>46294</v>
      </c>
      <c r="K141" t="s">
        <v>216</v>
      </c>
      <c r="L141" t="s">
        <v>127</v>
      </c>
      <c r="M141" t="s">
        <v>76</v>
      </c>
    </row>
    <row r="142" spans="2:13" x14ac:dyDescent="0.25">
      <c r="B142" t="s">
        <v>67</v>
      </c>
      <c r="C142" s="20">
        <v>169.29166666666666</v>
      </c>
      <c r="D142" t="s">
        <v>68</v>
      </c>
      <c r="E142" t="s">
        <v>69</v>
      </c>
      <c r="F142" t="s">
        <v>70</v>
      </c>
      <c r="G142" t="s">
        <v>71</v>
      </c>
      <c r="H142" t="s">
        <v>72</v>
      </c>
      <c r="I142" t="s">
        <v>73</v>
      </c>
      <c r="J142" t="str">
        <f>"46295"</f>
        <v>46295</v>
      </c>
      <c r="K142" t="s">
        <v>217</v>
      </c>
      <c r="L142" t="s">
        <v>127</v>
      </c>
      <c r="M142" t="s">
        <v>76</v>
      </c>
    </row>
    <row r="143" spans="2:13" x14ac:dyDescent="0.25">
      <c r="B143" t="s">
        <v>67</v>
      </c>
      <c r="C143" s="20">
        <v>170.5</v>
      </c>
      <c r="D143" t="s">
        <v>68</v>
      </c>
      <c r="E143" t="s">
        <v>69</v>
      </c>
      <c r="F143" t="s">
        <v>70</v>
      </c>
      <c r="G143" t="s">
        <v>71</v>
      </c>
      <c r="H143" t="s">
        <v>72</v>
      </c>
      <c r="I143" t="s">
        <v>73</v>
      </c>
      <c r="J143" t="str">
        <f>"46296"</f>
        <v>46296</v>
      </c>
      <c r="K143" t="s">
        <v>218</v>
      </c>
      <c r="L143" t="s">
        <v>127</v>
      </c>
      <c r="M143" t="s">
        <v>76</v>
      </c>
    </row>
    <row r="144" spans="2:13" x14ac:dyDescent="0.25">
      <c r="B144" t="s">
        <v>67</v>
      </c>
      <c r="C144" s="20">
        <v>171.70833333333334</v>
      </c>
      <c r="D144" t="s">
        <v>68</v>
      </c>
      <c r="E144" t="s">
        <v>69</v>
      </c>
      <c r="F144" t="s">
        <v>70</v>
      </c>
      <c r="G144" t="s">
        <v>71</v>
      </c>
      <c r="H144" t="s">
        <v>72</v>
      </c>
      <c r="I144" t="s">
        <v>73</v>
      </c>
      <c r="J144" t="str">
        <f>"46297"</f>
        <v>46297</v>
      </c>
      <c r="K144" t="s">
        <v>219</v>
      </c>
      <c r="L144" t="s">
        <v>127</v>
      </c>
      <c r="M144" t="s">
        <v>76</v>
      </c>
    </row>
    <row r="145" spans="2:13" x14ac:dyDescent="0.25">
      <c r="B145" t="s">
        <v>67</v>
      </c>
      <c r="C145" s="20">
        <v>172.91666666666666</v>
      </c>
      <c r="D145" t="s">
        <v>68</v>
      </c>
      <c r="E145" t="s">
        <v>69</v>
      </c>
      <c r="F145" t="s">
        <v>70</v>
      </c>
      <c r="G145" t="s">
        <v>71</v>
      </c>
      <c r="H145" t="s">
        <v>72</v>
      </c>
      <c r="I145" t="s">
        <v>73</v>
      </c>
      <c r="J145" t="str">
        <f>"46298"</f>
        <v>46298</v>
      </c>
      <c r="K145" t="s">
        <v>220</v>
      </c>
      <c r="L145" t="s">
        <v>127</v>
      </c>
      <c r="M145" t="s">
        <v>76</v>
      </c>
    </row>
    <row r="146" spans="2:13" x14ac:dyDescent="0.25">
      <c r="B146" t="s">
        <v>67</v>
      </c>
      <c r="C146" s="20">
        <v>174.125</v>
      </c>
      <c r="D146" t="s">
        <v>68</v>
      </c>
      <c r="E146" t="s">
        <v>69</v>
      </c>
      <c r="F146" t="s">
        <v>70</v>
      </c>
      <c r="G146" t="s">
        <v>71</v>
      </c>
      <c r="H146" t="s">
        <v>72</v>
      </c>
      <c r="I146" t="s">
        <v>73</v>
      </c>
      <c r="J146" t="str">
        <f>"46299"</f>
        <v>46299</v>
      </c>
      <c r="K146" t="s">
        <v>221</v>
      </c>
      <c r="L146" t="s">
        <v>127</v>
      </c>
      <c r="M146" t="s">
        <v>76</v>
      </c>
    </row>
    <row r="147" spans="2:13" x14ac:dyDescent="0.25">
      <c r="B147" t="s">
        <v>67</v>
      </c>
      <c r="C147" s="20">
        <v>175.33333333333334</v>
      </c>
      <c r="D147" t="s">
        <v>68</v>
      </c>
      <c r="E147" t="s">
        <v>69</v>
      </c>
      <c r="F147" t="s">
        <v>70</v>
      </c>
      <c r="G147" t="s">
        <v>71</v>
      </c>
      <c r="H147" t="s">
        <v>72</v>
      </c>
      <c r="I147" t="s">
        <v>73</v>
      </c>
      <c r="J147" t="str">
        <f>"46300"</f>
        <v>46300</v>
      </c>
      <c r="K147" t="s">
        <v>222</v>
      </c>
      <c r="L147" t="s">
        <v>127</v>
      </c>
      <c r="M147" t="s">
        <v>76</v>
      </c>
    </row>
    <row r="148" spans="2:13" x14ac:dyDescent="0.25">
      <c r="B148" t="s">
        <v>67</v>
      </c>
      <c r="C148" s="20">
        <v>176.54166666666666</v>
      </c>
      <c r="D148" t="s">
        <v>68</v>
      </c>
      <c r="E148" t="s">
        <v>69</v>
      </c>
      <c r="F148" t="s">
        <v>70</v>
      </c>
      <c r="G148" t="s">
        <v>71</v>
      </c>
      <c r="H148" t="s">
        <v>72</v>
      </c>
      <c r="I148" t="s">
        <v>73</v>
      </c>
      <c r="J148" t="str">
        <f>"46301"</f>
        <v>46301</v>
      </c>
      <c r="K148" t="s">
        <v>223</v>
      </c>
      <c r="L148" t="s">
        <v>127</v>
      </c>
      <c r="M148" t="s">
        <v>76</v>
      </c>
    </row>
    <row r="149" spans="2:13" x14ac:dyDescent="0.25">
      <c r="B149" t="s">
        <v>67</v>
      </c>
      <c r="C149" s="20">
        <v>177.75</v>
      </c>
      <c r="D149" t="s">
        <v>68</v>
      </c>
      <c r="E149" t="s">
        <v>69</v>
      </c>
      <c r="F149" t="s">
        <v>70</v>
      </c>
      <c r="G149" t="s">
        <v>71</v>
      </c>
      <c r="H149" t="s">
        <v>72</v>
      </c>
      <c r="I149" t="s">
        <v>73</v>
      </c>
      <c r="J149" t="str">
        <f>"46302"</f>
        <v>46302</v>
      </c>
      <c r="K149" t="s">
        <v>224</v>
      </c>
      <c r="L149" t="s">
        <v>127</v>
      </c>
      <c r="M149" t="s">
        <v>76</v>
      </c>
    </row>
    <row r="150" spans="2:13" x14ac:dyDescent="0.25">
      <c r="B150" t="s">
        <v>67</v>
      </c>
      <c r="C150" s="20">
        <v>178.95833333333334</v>
      </c>
      <c r="D150" t="s">
        <v>68</v>
      </c>
      <c r="E150" t="s">
        <v>69</v>
      </c>
      <c r="F150" t="s">
        <v>70</v>
      </c>
      <c r="G150" t="s">
        <v>71</v>
      </c>
      <c r="H150" t="s">
        <v>72</v>
      </c>
      <c r="I150" t="s">
        <v>73</v>
      </c>
      <c r="J150" t="str">
        <f>"46303"</f>
        <v>46303</v>
      </c>
      <c r="K150" t="s">
        <v>225</v>
      </c>
      <c r="L150" t="s">
        <v>127</v>
      </c>
      <c r="M150" t="s">
        <v>76</v>
      </c>
    </row>
    <row r="151" spans="2:13" x14ac:dyDescent="0.25">
      <c r="B151" t="s">
        <v>67</v>
      </c>
      <c r="C151" s="20">
        <v>180.16666666666666</v>
      </c>
      <c r="D151" t="s">
        <v>68</v>
      </c>
      <c r="E151" t="s">
        <v>69</v>
      </c>
      <c r="F151" t="s">
        <v>70</v>
      </c>
      <c r="G151" t="s">
        <v>71</v>
      </c>
      <c r="H151" t="s">
        <v>72</v>
      </c>
      <c r="I151" t="s">
        <v>73</v>
      </c>
      <c r="J151" t="str">
        <f>"46304"</f>
        <v>46304</v>
      </c>
      <c r="K151" t="s">
        <v>226</v>
      </c>
      <c r="L151" t="s">
        <v>127</v>
      </c>
      <c r="M151" t="s">
        <v>76</v>
      </c>
    </row>
    <row r="152" spans="2:13" x14ac:dyDescent="0.25">
      <c r="B152" t="s">
        <v>67</v>
      </c>
      <c r="C152" s="20">
        <v>181.375</v>
      </c>
      <c r="D152" t="s">
        <v>68</v>
      </c>
      <c r="E152" t="s">
        <v>69</v>
      </c>
      <c r="F152" t="s">
        <v>70</v>
      </c>
      <c r="G152" t="s">
        <v>71</v>
      </c>
      <c r="H152" t="s">
        <v>72</v>
      </c>
      <c r="I152" t="s">
        <v>73</v>
      </c>
      <c r="J152" t="str">
        <f>"46305"</f>
        <v>46305</v>
      </c>
      <c r="K152" t="s">
        <v>227</v>
      </c>
      <c r="L152" t="s">
        <v>127</v>
      </c>
      <c r="M152" t="s">
        <v>76</v>
      </c>
    </row>
    <row r="153" spans="2:13" x14ac:dyDescent="0.25">
      <c r="B153" t="s">
        <v>67</v>
      </c>
      <c r="C153" s="20">
        <v>182.58333333333334</v>
      </c>
      <c r="D153" t="s">
        <v>68</v>
      </c>
      <c r="E153" t="s">
        <v>69</v>
      </c>
      <c r="F153" t="s">
        <v>70</v>
      </c>
      <c r="G153" t="s">
        <v>71</v>
      </c>
      <c r="H153" t="s">
        <v>72</v>
      </c>
      <c r="I153" t="s">
        <v>73</v>
      </c>
      <c r="J153" t="str">
        <f>"46306"</f>
        <v>46306</v>
      </c>
      <c r="K153" t="s">
        <v>228</v>
      </c>
      <c r="L153" t="s">
        <v>127</v>
      </c>
      <c r="M153" t="s">
        <v>76</v>
      </c>
    </row>
    <row r="154" spans="2:13" x14ac:dyDescent="0.25">
      <c r="B154" t="s">
        <v>67</v>
      </c>
      <c r="C154" s="20">
        <v>183.79166666666666</v>
      </c>
      <c r="D154" t="s">
        <v>68</v>
      </c>
      <c r="E154" t="s">
        <v>69</v>
      </c>
      <c r="F154" t="s">
        <v>70</v>
      </c>
      <c r="G154" t="s">
        <v>71</v>
      </c>
      <c r="H154" t="s">
        <v>72</v>
      </c>
      <c r="I154" t="s">
        <v>73</v>
      </c>
      <c r="J154" t="str">
        <f>"46307"</f>
        <v>46307</v>
      </c>
      <c r="K154" t="s">
        <v>229</v>
      </c>
      <c r="L154" t="s">
        <v>127</v>
      </c>
      <c r="M154" t="s">
        <v>76</v>
      </c>
    </row>
    <row r="155" spans="2:13" x14ac:dyDescent="0.25">
      <c r="B155" t="s">
        <v>67</v>
      </c>
      <c r="C155" s="20">
        <v>185</v>
      </c>
      <c r="D155" t="s">
        <v>68</v>
      </c>
      <c r="E155" t="s">
        <v>69</v>
      </c>
      <c r="F155" t="s">
        <v>70</v>
      </c>
      <c r="G155" t="s">
        <v>71</v>
      </c>
      <c r="H155" t="s">
        <v>72</v>
      </c>
      <c r="I155" t="s">
        <v>73</v>
      </c>
      <c r="J155" t="str">
        <f>"46308"</f>
        <v>46308</v>
      </c>
      <c r="K155" t="s">
        <v>230</v>
      </c>
      <c r="L155" t="s">
        <v>127</v>
      </c>
      <c r="M155" t="s">
        <v>76</v>
      </c>
    </row>
    <row r="156" spans="2:13" x14ac:dyDescent="0.25">
      <c r="B156" t="s">
        <v>67</v>
      </c>
      <c r="C156" s="20">
        <v>186.20833333333334</v>
      </c>
      <c r="D156" t="s">
        <v>68</v>
      </c>
      <c r="E156" t="s">
        <v>69</v>
      </c>
      <c r="F156" t="s">
        <v>70</v>
      </c>
      <c r="G156" t="s">
        <v>71</v>
      </c>
      <c r="H156" t="s">
        <v>72</v>
      </c>
      <c r="I156" t="s">
        <v>73</v>
      </c>
      <c r="J156" t="str">
        <f>"46309"</f>
        <v>46309</v>
      </c>
      <c r="K156" t="s">
        <v>231</v>
      </c>
      <c r="L156" t="s">
        <v>127</v>
      </c>
      <c r="M156" t="s">
        <v>76</v>
      </c>
    </row>
    <row r="157" spans="2:13" x14ac:dyDescent="0.25">
      <c r="B157" t="s">
        <v>67</v>
      </c>
      <c r="C157" s="20">
        <v>187.41666666666666</v>
      </c>
      <c r="D157" t="s">
        <v>68</v>
      </c>
      <c r="E157" t="s">
        <v>69</v>
      </c>
      <c r="F157" t="s">
        <v>70</v>
      </c>
      <c r="G157" t="s">
        <v>71</v>
      </c>
      <c r="H157" t="s">
        <v>72</v>
      </c>
      <c r="I157" t="s">
        <v>73</v>
      </c>
      <c r="J157" t="str">
        <f>"46310"</f>
        <v>46310</v>
      </c>
      <c r="K157" t="s">
        <v>232</v>
      </c>
      <c r="L157" t="s">
        <v>127</v>
      </c>
      <c r="M157" t="s">
        <v>76</v>
      </c>
    </row>
    <row r="158" spans="2:13" x14ac:dyDescent="0.25">
      <c r="B158" t="s">
        <v>67</v>
      </c>
      <c r="C158" s="20">
        <v>188.625</v>
      </c>
      <c r="D158" t="s">
        <v>68</v>
      </c>
      <c r="E158" t="s">
        <v>69</v>
      </c>
      <c r="F158" t="s">
        <v>70</v>
      </c>
      <c r="G158" t="s">
        <v>71</v>
      </c>
      <c r="H158" t="s">
        <v>72</v>
      </c>
      <c r="I158" t="s">
        <v>73</v>
      </c>
      <c r="J158" t="str">
        <f>"46311"</f>
        <v>46311</v>
      </c>
      <c r="K158" t="s">
        <v>233</v>
      </c>
      <c r="L158" t="s">
        <v>127</v>
      </c>
      <c r="M158" t="s">
        <v>76</v>
      </c>
    </row>
    <row r="159" spans="2:13" x14ac:dyDescent="0.25">
      <c r="B159" t="s">
        <v>67</v>
      </c>
      <c r="C159" s="20">
        <v>189.83333333333334</v>
      </c>
      <c r="D159" t="s">
        <v>68</v>
      </c>
      <c r="E159" t="s">
        <v>69</v>
      </c>
      <c r="F159" t="s">
        <v>70</v>
      </c>
      <c r="G159" t="s">
        <v>71</v>
      </c>
      <c r="H159" t="s">
        <v>72</v>
      </c>
      <c r="I159" t="s">
        <v>73</v>
      </c>
      <c r="J159" t="str">
        <f>"46312"</f>
        <v>46312</v>
      </c>
      <c r="K159" t="s">
        <v>234</v>
      </c>
      <c r="L159" t="s">
        <v>127</v>
      </c>
      <c r="M159" t="s">
        <v>76</v>
      </c>
    </row>
    <row r="160" spans="2:13" x14ac:dyDescent="0.25">
      <c r="B160" t="s">
        <v>67</v>
      </c>
      <c r="C160" s="20">
        <v>191.04166666666666</v>
      </c>
      <c r="D160" t="s">
        <v>68</v>
      </c>
      <c r="E160" t="s">
        <v>69</v>
      </c>
      <c r="F160" t="s">
        <v>70</v>
      </c>
      <c r="G160" t="s">
        <v>71</v>
      </c>
      <c r="H160" t="s">
        <v>72</v>
      </c>
      <c r="I160" t="s">
        <v>73</v>
      </c>
      <c r="J160" t="str">
        <f>"46313"</f>
        <v>46313</v>
      </c>
      <c r="K160" t="s">
        <v>235</v>
      </c>
      <c r="L160" t="s">
        <v>127</v>
      </c>
      <c r="M160" t="s">
        <v>76</v>
      </c>
    </row>
    <row r="161" spans="2:13" x14ac:dyDescent="0.25">
      <c r="B161" t="s">
        <v>67</v>
      </c>
      <c r="C161" s="20">
        <v>192.25</v>
      </c>
      <c r="D161" t="s">
        <v>68</v>
      </c>
      <c r="E161" t="s">
        <v>69</v>
      </c>
      <c r="F161" t="s">
        <v>70</v>
      </c>
      <c r="G161" t="s">
        <v>71</v>
      </c>
      <c r="H161" t="s">
        <v>72</v>
      </c>
      <c r="I161" t="s">
        <v>73</v>
      </c>
      <c r="J161" t="str">
        <f>"46314"</f>
        <v>46314</v>
      </c>
      <c r="K161" t="s">
        <v>236</v>
      </c>
      <c r="L161" t="s">
        <v>127</v>
      </c>
      <c r="M161" t="s">
        <v>76</v>
      </c>
    </row>
    <row r="162" spans="2:13" x14ac:dyDescent="0.25">
      <c r="B162" t="s">
        <v>67</v>
      </c>
      <c r="C162" s="20">
        <v>193.45833333333334</v>
      </c>
      <c r="D162" t="s">
        <v>68</v>
      </c>
      <c r="E162" t="s">
        <v>69</v>
      </c>
      <c r="F162" t="s">
        <v>70</v>
      </c>
      <c r="G162" t="s">
        <v>71</v>
      </c>
      <c r="H162" t="s">
        <v>72</v>
      </c>
      <c r="I162" t="s">
        <v>73</v>
      </c>
      <c r="J162" t="str">
        <f>"46315"</f>
        <v>46315</v>
      </c>
      <c r="K162" t="s">
        <v>237</v>
      </c>
      <c r="L162" t="s">
        <v>127</v>
      </c>
      <c r="M162" t="s">
        <v>76</v>
      </c>
    </row>
    <row r="163" spans="2:13" x14ac:dyDescent="0.25">
      <c r="B163" t="s">
        <v>67</v>
      </c>
      <c r="C163" s="20">
        <v>194.66666666666666</v>
      </c>
      <c r="D163" t="s">
        <v>68</v>
      </c>
      <c r="E163" t="s">
        <v>69</v>
      </c>
      <c r="F163" t="s">
        <v>70</v>
      </c>
      <c r="G163" t="s">
        <v>71</v>
      </c>
      <c r="H163" t="s">
        <v>72</v>
      </c>
      <c r="I163" t="s">
        <v>73</v>
      </c>
      <c r="J163" t="str">
        <f>"46316"</f>
        <v>46316</v>
      </c>
      <c r="K163" t="s">
        <v>238</v>
      </c>
      <c r="L163" t="s">
        <v>127</v>
      </c>
      <c r="M163" t="s">
        <v>76</v>
      </c>
    </row>
    <row r="164" spans="2:13" x14ac:dyDescent="0.25">
      <c r="B164" t="s">
        <v>67</v>
      </c>
      <c r="C164" s="20">
        <v>195.875</v>
      </c>
      <c r="D164" t="s">
        <v>68</v>
      </c>
      <c r="E164" t="s">
        <v>69</v>
      </c>
      <c r="F164" t="s">
        <v>70</v>
      </c>
      <c r="G164" t="s">
        <v>71</v>
      </c>
      <c r="H164" t="s">
        <v>72</v>
      </c>
      <c r="I164" t="s">
        <v>73</v>
      </c>
      <c r="J164" t="str">
        <f>"46317"</f>
        <v>46317</v>
      </c>
      <c r="K164" t="s">
        <v>239</v>
      </c>
      <c r="L164" t="s">
        <v>127</v>
      </c>
      <c r="M164" t="s">
        <v>76</v>
      </c>
    </row>
    <row r="165" spans="2:13" x14ac:dyDescent="0.25">
      <c r="B165" t="s">
        <v>67</v>
      </c>
      <c r="C165" s="20">
        <v>197.08333333333334</v>
      </c>
      <c r="D165" t="s">
        <v>68</v>
      </c>
      <c r="E165" t="s">
        <v>69</v>
      </c>
      <c r="F165" t="s">
        <v>70</v>
      </c>
      <c r="G165" t="s">
        <v>71</v>
      </c>
      <c r="H165" t="s">
        <v>72</v>
      </c>
      <c r="I165" t="s">
        <v>73</v>
      </c>
      <c r="J165" t="str">
        <f>"46318"</f>
        <v>46318</v>
      </c>
      <c r="K165" t="s">
        <v>240</v>
      </c>
      <c r="L165" t="s">
        <v>127</v>
      </c>
      <c r="M165" t="s">
        <v>76</v>
      </c>
    </row>
    <row r="166" spans="2:13" x14ac:dyDescent="0.25">
      <c r="B166" t="s">
        <v>67</v>
      </c>
      <c r="C166" s="20">
        <v>198.29166666666666</v>
      </c>
      <c r="D166" t="s">
        <v>68</v>
      </c>
      <c r="E166" t="s">
        <v>69</v>
      </c>
      <c r="F166" t="s">
        <v>70</v>
      </c>
      <c r="G166" t="s">
        <v>71</v>
      </c>
      <c r="H166" t="s">
        <v>72</v>
      </c>
      <c r="I166" t="s">
        <v>73</v>
      </c>
      <c r="J166" t="str">
        <f>"46319"</f>
        <v>46319</v>
      </c>
      <c r="K166" t="s">
        <v>241</v>
      </c>
      <c r="L166" t="s">
        <v>127</v>
      </c>
      <c r="M166" t="s">
        <v>76</v>
      </c>
    </row>
    <row r="167" spans="2:13" x14ac:dyDescent="0.25">
      <c r="B167" t="s">
        <v>67</v>
      </c>
      <c r="C167" s="20">
        <v>199.5</v>
      </c>
      <c r="D167" t="s">
        <v>68</v>
      </c>
      <c r="E167" t="s">
        <v>69</v>
      </c>
      <c r="F167" t="s">
        <v>70</v>
      </c>
      <c r="G167" t="s">
        <v>71</v>
      </c>
      <c r="H167" t="s">
        <v>72</v>
      </c>
      <c r="I167" t="s">
        <v>73</v>
      </c>
      <c r="J167" t="str">
        <f>"46320"</f>
        <v>46320</v>
      </c>
      <c r="K167" t="s">
        <v>242</v>
      </c>
      <c r="L167" t="s">
        <v>127</v>
      </c>
      <c r="M167" t="s">
        <v>76</v>
      </c>
    </row>
    <row r="168" spans="2:13" x14ac:dyDescent="0.25">
      <c r="B168" t="s">
        <v>67</v>
      </c>
      <c r="C168" s="20">
        <v>200.70833333333334</v>
      </c>
      <c r="D168" t="s">
        <v>68</v>
      </c>
      <c r="E168" t="s">
        <v>69</v>
      </c>
      <c r="F168" t="s">
        <v>70</v>
      </c>
      <c r="G168" t="s">
        <v>71</v>
      </c>
      <c r="H168" t="s">
        <v>72</v>
      </c>
      <c r="I168" t="s">
        <v>73</v>
      </c>
      <c r="J168" t="str">
        <f>"46321"</f>
        <v>46321</v>
      </c>
      <c r="K168" t="s">
        <v>243</v>
      </c>
      <c r="L168" t="s">
        <v>127</v>
      </c>
      <c r="M168" t="s">
        <v>76</v>
      </c>
    </row>
    <row r="169" spans="2:13" x14ac:dyDescent="0.25">
      <c r="B169" t="s">
        <v>67</v>
      </c>
      <c r="C169" s="20">
        <v>201.91666666666666</v>
      </c>
      <c r="D169" t="s">
        <v>68</v>
      </c>
      <c r="E169" t="s">
        <v>69</v>
      </c>
      <c r="F169" t="s">
        <v>70</v>
      </c>
      <c r="G169" t="s">
        <v>71</v>
      </c>
      <c r="H169" t="s">
        <v>72</v>
      </c>
      <c r="I169" t="s">
        <v>73</v>
      </c>
      <c r="J169" t="str">
        <f>"46322"</f>
        <v>46322</v>
      </c>
      <c r="K169" t="s">
        <v>244</v>
      </c>
      <c r="L169" t="s">
        <v>127</v>
      </c>
      <c r="M169" t="s">
        <v>76</v>
      </c>
    </row>
    <row r="170" spans="2:13" x14ac:dyDescent="0.25">
      <c r="B170" t="s">
        <v>67</v>
      </c>
      <c r="C170" s="20">
        <v>203.125</v>
      </c>
      <c r="D170" t="s">
        <v>68</v>
      </c>
      <c r="E170" t="s">
        <v>69</v>
      </c>
      <c r="F170" t="s">
        <v>70</v>
      </c>
      <c r="G170" t="s">
        <v>71</v>
      </c>
      <c r="H170" t="s">
        <v>72</v>
      </c>
      <c r="I170" t="s">
        <v>73</v>
      </c>
      <c r="J170" t="str">
        <f>"46323"</f>
        <v>46323</v>
      </c>
      <c r="K170" t="s">
        <v>245</v>
      </c>
      <c r="L170" t="s">
        <v>127</v>
      </c>
      <c r="M170" t="s">
        <v>76</v>
      </c>
    </row>
    <row r="171" spans="2:13" x14ac:dyDescent="0.25">
      <c r="B171" t="s">
        <v>67</v>
      </c>
      <c r="C171" s="20">
        <v>204.33333333333334</v>
      </c>
      <c r="D171" t="s">
        <v>68</v>
      </c>
      <c r="E171" t="s">
        <v>69</v>
      </c>
      <c r="F171" t="s">
        <v>70</v>
      </c>
      <c r="G171" t="s">
        <v>71</v>
      </c>
      <c r="H171" t="s">
        <v>72</v>
      </c>
      <c r="I171" t="s">
        <v>73</v>
      </c>
      <c r="J171" t="str">
        <f>"46324"</f>
        <v>46324</v>
      </c>
      <c r="K171" t="s">
        <v>246</v>
      </c>
      <c r="L171" t="s">
        <v>127</v>
      </c>
      <c r="M171" t="s">
        <v>76</v>
      </c>
    </row>
    <row r="172" spans="2:13" x14ac:dyDescent="0.25">
      <c r="B172" t="s">
        <v>67</v>
      </c>
      <c r="C172" s="20">
        <v>205.54166666666666</v>
      </c>
      <c r="D172" t="s">
        <v>68</v>
      </c>
      <c r="E172" t="s">
        <v>69</v>
      </c>
      <c r="F172" t="s">
        <v>70</v>
      </c>
      <c r="G172" t="s">
        <v>71</v>
      </c>
      <c r="H172" t="s">
        <v>72</v>
      </c>
      <c r="I172" t="s">
        <v>73</v>
      </c>
      <c r="J172" t="str">
        <f>"46325"</f>
        <v>46325</v>
      </c>
      <c r="K172" t="s">
        <v>247</v>
      </c>
      <c r="L172" t="s">
        <v>127</v>
      </c>
      <c r="M172" t="s">
        <v>76</v>
      </c>
    </row>
    <row r="173" spans="2:13" x14ac:dyDescent="0.25">
      <c r="B173" t="s">
        <v>67</v>
      </c>
      <c r="C173" s="20">
        <v>206.75</v>
      </c>
      <c r="D173" t="s">
        <v>68</v>
      </c>
      <c r="E173" t="s">
        <v>69</v>
      </c>
      <c r="F173" t="s">
        <v>70</v>
      </c>
      <c r="G173" t="s">
        <v>71</v>
      </c>
      <c r="H173" t="s">
        <v>72</v>
      </c>
      <c r="I173" t="s">
        <v>73</v>
      </c>
      <c r="J173" t="str">
        <f>"46326"</f>
        <v>46326</v>
      </c>
      <c r="K173" t="s">
        <v>248</v>
      </c>
      <c r="L173" t="s">
        <v>127</v>
      </c>
      <c r="M173" t="s">
        <v>76</v>
      </c>
    </row>
    <row r="174" spans="2:13" x14ac:dyDescent="0.25">
      <c r="B174" t="s">
        <v>67</v>
      </c>
      <c r="C174" s="20">
        <v>207.95833333333334</v>
      </c>
      <c r="D174" t="s">
        <v>68</v>
      </c>
      <c r="E174" t="s">
        <v>69</v>
      </c>
      <c r="F174" t="s">
        <v>70</v>
      </c>
      <c r="G174" t="s">
        <v>71</v>
      </c>
      <c r="H174" t="s">
        <v>72</v>
      </c>
      <c r="I174" t="s">
        <v>73</v>
      </c>
      <c r="J174" t="str">
        <f>"46327"</f>
        <v>46327</v>
      </c>
      <c r="K174" t="s">
        <v>249</v>
      </c>
      <c r="L174" t="s">
        <v>127</v>
      </c>
      <c r="M174" t="s">
        <v>76</v>
      </c>
    </row>
    <row r="175" spans="2:13" x14ac:dyDescent="0.25">
      <c r="B175" t="s">
        <v>67</v>
      </c>
      <c r="C175" s="20">
        <v>209.16666666666666</v>
      </c>
      <c r="D175" t="s">
        <v>68</v>
      </c>
      <c r="E175" t="s">
        <v>69</v>
      </c>
      <c r="F175" t="s">
        <v>70</v>
      </c>
      <c r="G175" t="s">
        <v>71</v>
      </c>
      <c r="H175" t="s">
        <v>72</v>
      </c>
      <c r="I175" t="s">
        <v>73</v>
      </c>
      <c r="J175" t="str">
        <f>"46328"</f>
        <v>46328</v>
      </c>
      <c r="K175" t="s">
        <v>250</v>
      </c>
      <c r="L175" t="s">
        <v>127</v>
      </c>
      <c r="M175" t="s">
        <v>76</v>
      </c>
    </row>
    <row r="176" spans="2:13" x14ac:dyDescent="0.25">
      <c r="B176" t="s">
        <v>67</v>
      </c>
      <c r="C176" s="20">
        <v>210.375</v>
      </c>
      <c r="D176" t="s">
        <v>68</v>
      </c>
      <c r="E176" t="s">
        <v>69</v>
      </c>
      <c r="F176" t="s">
        <v>70</v>
      </c>
      <c r="G176" t="s">
        <v>71</v>
      </c>
      <c r="H176" t="s">
        <v>72</v>
      </c>
      <c r="I176" t="s">
        <v>73</v>
      </c>
      <c r="J176" t="str">
        <f>"46329"</f>
        <v>46329</v>
      </c>
      <c r="K176" t="s">
        <v>251</v>
      </c>
      <c r="L176" t="s">
        <v>127</v>
      </c>
      <c r="M176" t="s">
        <v>76</v>
      </c>
    </row>
    <row r="177" spans="2:13" x14ac:dyDescent="0.25">
      <c r="B177" t="s">
        <v>67</v>
      </c>
      <c r="C177" s="20">
        <v>211.58333333333334</v>
      </c>
      <c r="D177" t="s">
        <v>68</v>
      </c>
      <c r="E177" t="s">
        <v>69</v>
      </c>
      <c r="F177" t="s">
        <v>70</v>
      </c>
      <c r="G177" t="s">
        <v>71</v>
      </c>
      <c r="H177" t="s">
        <v>72</v>
      </c>
      <c r="I177" t="s">
        <v>73</v>
      </c>
      <c r="J177" t="str">
        <f>"46330"</f>
        <v>46330</v>
      </c>
      <c r="K177" t="s">
        <v>252</v>
      </c>
      <c r="L177" t="s">
        <v>127</v>
      </c>
      <c r="M177" t="s">
        <v>76</v>
      </c>
    </row>
    <row r="178" spans="2:13" x14ac:dyDescent="0.25">
      <c r="B178" t="s">
        <v>67</v>
      </c>
      <c r="C178" s="20">
        <v>212.79166666666666</v>
      </c>
      <c r="D178" t="s">
        <v>68</v>
      </c>
      <c r="E178" t="s">
        <v>69</v>
      </c>
      <c r="F178" t="s">
        <v>70</v>
      </c>
      <c r="G178" t="s">
        <v>71</v>
      </c>
      <c r="H178" t="s">
        <v>72</v>
      </c>
      <c r="I178" t="s">
        <v>73</v>
      </c>
      <c r="J178" t="str">
        <f>"46331"</f>
        <v>46331</v>
      </c>
      <c r="K178" t="s">
        <v>253</v>
      </c>
      <c r="L178" t="s">
        <v>127</v>
      </c>
      <c r="M178" t="s">
        <v>76</v>
      </c>
    </row>
    <row r="179" spans="2:13" x14ac:dyDescent="0.25">
      <c r="B179" t="s">
        <v>67</v>
      </c>
      <c r="C179" s="20">
        <v>214</v>
      </c>
      <c r="D179" t="s">
        <v>68</v>
      </c>
      <c r="E179" t="s">
        <v>69</v>
      </c>
      <c r="F179" t="s">
        <v>70</v>
      </c>
      <c r="G179" t="s">
        <v>71</v>
      </c>
      <c r="H179" t="s">
        <v>72</v>
      </c>
      <c r="I179" t="s">
        <v>73</v>
      </c>
      <c r="J179" t="str">
        <f>"46332"</f>
        <v>46332</v>
      </c>
      <c r="K179" t="s">
        <v>254</v>
      </c>
      <c r="L179" t="s">
        <v>127</v>
      </c>
      <c r="M179" t="s">
        <v>76</v>
      </c>
    </row>
    <row r="180" spans="2:13" x14ac:dyDescent="0.25">
      <c r="B180" t="s">
        <v>67</v>
      </c>
      <c r="C180" s="20">
        <v>215.20833333333334</v>
      </c>
      <c r="D180" t="s">
        <v>68</v>
      </c>
      <c r="E180" t="s">
        <v>69</v>
      </c>
      <c r="F180" t="s">
        <v>70</v>
      </c>
      <c r="G180" t="s">
        <v>71</v>
      </c>
      <c r="H180" t="s">
        <v>72</v>
      </c>
      <c r="I180" t="s">
        <v>73</v>
      </c>
      <c r="J180" t="str">
        <f>"46333"</f>
        <v>46333</v>
      </c>
      <c r="K180" t="s">
        <v>255</v>
      </c>
      <c r="L180" t="s">
        <v>127</v>
      </c>
      <c r="M180" t="s">
        <v>76</v>
      </c>
    </row>
    <row r="181" spans="2:13" x14ac:dyDescent="0.25">
      <c r="B181" t="s">
        <v>67</v>
      </c>
      <c r="C181" s="20">
        <v>216.41666666666666</v>
      </c>
      <c r="D181" t="s">
        <v>68</v>
      </c>
      <c r="E181" t="s">
        <v>69</v>
      </c>
      <c r="F181" t="s">
        <v>70</v>
      </c>
      <c r="G181" t="s">
        <v>71</v>
      </c>
      <c r="H181" t="s">
        <v>72</v>
      </c>
      <c r="I181" t="s">
        <v>73</v>
      </c>
      <c r="J181" t="str">
        <f>"46334"</f>
        <v>46334</v>
      </c>
      <c r="K181" t="s">
        <v>256</v>
      </c>
      <c r="L181" t="s">
        <v>127</v>
      </c>
      <c r="M181" t="s">
        <v>76</v>
      </c>
    </row>
    <row r="182" spans="2:13" x14ac:dyDescent="0.25">
      <c r="B182" t="s">
        <v>67</v>
      </c>
      <c r="C182" s="20">
        <v>217.625</v>
      </c>
      <c r="D182" t="s">
        <v>68</v>
      </c>
      <c r="E182" t="s">
        <v>69</v>
      </c>
      <c r="F182" t="s">
        <v>70</v>
      </c>
      <c r="G182" t="s">
        <v>71</v>
      </c>
      <c r="H182" t="s">
        <v>72</v>
      </c>
      <c r="I182" t="s">
        <v>73</v>
      </c>
      <c r="J182" t="str">
        <f>"46335"</f>
        <v>46335</v>
      </c>
      <c r="K182" t="s">
        <v>257</v>
      </c>
      <c r="L182" t="s">
        <v>127</v>
      </c>
      <c r="M182" t="s">
        <v>76</v>
      </c>
    </row>
    <row r="183" spans="2:13" x14ac:dyDescent="0.25">
      <c r="B183" t="s">
        <v>67</v>
      </c>
      <c r="C183" s="20">
        <v>218.83333333333334</v>
      </c>
      <c r="D183" t="s">
        <v>68</v>
      </c>
      <c r="E183" t="s">
        <v>69</v>
      </c>
      <c r="F183" t="s">
        <v>70</v>
      </c>
      <c r="G183" t="s">
        <v>71</v>
      </c>
      <c r="H183" t="s">
        <v>72</v>
      </c>
      <c r="I183" t="s">
        <v>73</v>
      </c>
      <c r="J183" t="str">
        <f>"46336"</f>
        <v>46336</v>
      </c>
      <c r="K183" t="s">
        <v>258</v>
      </c>
      <c r="L183" t="s">
        <v>127</v>
      </c>
      <c r="M183" t="s">
        <v>76</v>
      </c>
    </row>
    <row r="184" spans="2:13" x14ac:dyDescent="0.25">
      <c r="B184" t="s">
        <v>67</v>
      </c>
      <c r="C184" s="20">
        <v>220.04166666666666</v>
      </c>
      <c r="D184" t="s">
        <v>68</v>
      </c>
      <c r="E184" t="s">
        <v>69</v>
      </c>
      <c r="F184" t="s">
        <v>70</v>
      </c>
      <c r="G184" t="s">
        <v>71</v>
      </c>
      <c r="H184" t="s">
        <v>72</v>
      </c>
      <c r="I184" t="s">
        <v>73</v>
      </c>
      <c r="J184" t="str">
        <f>"46337"</f>
        <v>46337</v>
      </c>
      <c r="K184" t="s">
        <v>259</v>
      </c>
      <c r="L184" t="s">
        <v>127</v>
      </c>
      <c r="M184" t="s">
        <v>76</v>
      </c>
    </row>
    <row r="185" spans="2:13" x14ac:dyDescent="0.25">
      <c r="B185" t="s">
        <v>67</v>
      </c>
      <c r="C185" s="20">
        <v>221.25</v>
      </c>
      <c r="D185" t="s">
        <v>68</v>
      </c>
      <c r="E185" t="s">
        <v>69</v>
      </c>
      <c r="F185" t="s">
        <v>70</v>
      </c>
      <c r="G185" t="s">
        <v>71</v>
      </c>
      <c r="H185" t="s">
        <v>72</v>
      </c>
      <c r="I185" t="s">
        <v>73</v>
      </c>
      <c r="J185" t="str">
        <f>"46338"</f>
        <v>46338</v>
      </c>
      <c r="K185" t="s">
        <v>260</v>
      </c>
      <c r="L185" t="s">
        <v>127</v>
      </c>
      <c r="M185" t="s">
        <v>76</v>
      </c>
    </row>
    <row r="186" spans="2:13" x14ac:dyDescent="0.25">
      <c r="B186" t="s">
        <v>67</v>
      </c>
      <c r="C186" s="20">
        <v>222.45833333333334</v>
      </c>
      <c r="D186" t="s">
        <v>68</v>
      </c>
      <c r="E186" t="s">
        <v>69</v>
      </c>
      <c r="F186" t="s">
        <v>70</v>
      </c>
      <c r="G186" t="s">
        <v>71</v>
      </c>
      <c r="H186" t="s">
        <v>72</v>
      </c>
      <c r="I186" t="s">
        <v>73</v>
      </c>
      <c r="J186" t="str">
        <f>"46339"</f>
        <v>46339</v>
      </c>
      <c r="K186" t="s">
        <v>261</v>
      </c>
      <c r="L186" t="s">
        <v>127</v>
      </c>
      <c r="M186" t="s">
        <v>76</v>
      </c>
    </row>
    <row r="187" spans="2:13" x14ac:dyDescent="0.25">
      <c r="B187" t="s">
        <v>67</v>
      </c>
      <c r="C187" s="20">
        <v>223.66666666666666</v>
      </c>
      <c r="D187" t="s">
        <v>68</v>
      </c>
      <c r="E187" t="s">
        <v>69</v>
      </c>
      <c r="F187" t="s">
        <v>70</v>
      </c>
      <c r="G187" t="s">
        <v>71</v>
      </c>
      <c r="H187" t="s">
        <v>72</v>
      </c>
      <c r="I187" t="s">
        <v>73</v>
      </c>
      <c r="J187" t="str">
        <f>"46340"</f>
        <v>46340</v>
      </c>
      <c r="K187" t="s">
        <v>262</v>
      </c>
      <c r="L187" t="s">
        <v>127</v>
      </c>
      <c r="M187" t="s">
        <v>76</v>
      </c>
    </row>
    <row r="188" spans="2:13" x14ac:dyDescent="0.25">
      <c r="B188" t="s">
        <v>67</v>
      </c>
      <c r="C188" s="20">
        <v>224.875</v>
      </c>
      <c r="D188" t="s">
        <v>68</v>
      </c>
      <c r="E188" t="s">
        <v>69</v>
      </c>
      <c r="F188" t="s">
        <v>70</v>
      </c>
      <c r="G188" t="s">
        <v>71</v>
      </c>
      <c r="H188" t="s">
        <v>72</v>
      </c>
      <c r="I188" t="s">
        <v>73</v>
      </c>
      <c r="J188" t="str">
        <f>"46341"</f>
        <v>46341</v>
      </c>
      <c r="K188" t="s">
        <v>263</v>
      </c>
      <c r="L188" t="s">
        <v>127</v>
      </c>
      <c r="M188" t="s">
        <v>76</v>
      </c>
    </row>
    <row r="189" spans="2:13" x14ac:dyDescent="0.25">
      <c r="B189" t="s">
        <v>67</v>
      </c>
      <c r="C189" s="20">
        <v>226.08333333333334</v>
      </c>
      <c r="D189" t="s">
        <v>68</v>
      </c>
      <c r="E189" t="s">
        <v>69</v>
      </c>
      <c r="F189" t="s">
        <v>70</v>
      </c>
      <c r="G189" t="s">
        <v>71</v>
      </c>
      <c r="H189" t="s">
        <v>72</v>
      </c>
      <c r="I189" t="s">
        <v>73</v>
      </c>
      <c r="J189" t="str">
        <f>"46342"</f>
        <v>46342</v>
      </c>
      <c r="K189" t="s">
        <v>264</v>
      </c>
      <c r="L189" t="s">
        <v>127</v>
      </c>
      <c r="M189" t="s">
        <v>76</v>
      </c>
    </row>
    <row r="190" spans="2:13" x14ac:dyDescent="0.25">
      <c r="B190" t="s">
        <v>67</v>
      </c>
      <c r="C190" s="20">
        <v>227.29166666666666</v>
      </c>
      <c r="D190" t="s">
        <v>68</v>
      </c>
      <c r="E190" t="s">
        <v>69</v>
      </c>
      <c r="F190" t="s">
        <v>70</v>
      </c>
      <c r="G190" t="s">
        <v>71</v>
      </c>
      <c r="H190" t="s">
        <v>72</v>
      </c>
      <c r="I190" t="s">
        <v>73</v>
      </c>
      <c r="J190" t="str">
        <f>"46343"</f>
        <v>46343</v>
      </c>
      <c r="K190" t="s">
        <v>265</v>
      </c>
      <c r="L190" t="s">
        <v>127</v>
      </c>
      <c r="M190" t="s">
        <v>76</v>
      </c>
    </row>
    <row r="191" spans="2:13" x14ac:dyDescent="0.25">
      <c r="B191" t="s">
        <v>67</v>
      </c>
      <c r="C191" s="20">
        <v>228.5</v>
      </c>
      <c r="D191" t="s">
        <v>68</v>
      </c>
      <c r="E191" t="s">
        <v>69</v>
      </c>
      <c r="F191" t="s">
        <v>70</v>
      </c>
      <c r="G191" t="s">
        <v>71</v>
      </c>
      <c r="H191" t="s">
        <v>72</v>
      </c>
      <c r="I191" t="s">
        <v>73</v>
      </c>
      <c r="J191" t="str">
        <f>"46344"</f>
        <v>46344</v>
      </c>
      <c r="K191" t="s">
        <v>266</v>
      </c>
      <c r="L191" t="s">
        <v>127</v>
      </c>
      <c r="M191" t="s">
        <v>76</v>
      </c>
    </row>
    <row r="192" spans="2:13" x14ac:dyDescent="0.25">
      <c r="B192" t="s">
        <v>67</v>
      </c>
      <c r="C192" s="20">
        <v>229.70833333333334</v>
      </c>
      <c r="D192" t="s">
        <v>68</v>
      </c>
      <c r="E192" t="s">
        <v>69</v>
      </c>
      <c r="F192" t="s">
        <v>70</v>
      </c>
      <c r="G192" t="s">
        <v>71</v>
      </c>
      <c r="H192" t="s">
        <v>72</v>
      </c>
      <c r="I192" t="s">
        <v>73</v>
      </c>
      <c r="J192" t="str">
        <f>"46345"</f>
        <v>46345</v>
      </c>
      <c r="K192" t="s">
        <v>267</v>
      </c>
      <c r="L192" t="s">
        <v>127</v>
      </c>
      <c r="M192" t="s">
        <v>76</v>
      </c>
    </row>
    <row r="193" spans="2:13" x14ac:dyDescent="0.25">
      <c r="B193" t="s">
        <v>67</v>
      </c>
      <c r="C193" s="20">
        <v>230.91666666666666</v>
      </c>
      <c r="D193" t="s">
        <v>68</v>
      </c>
      <c r="E193" t="s">
        <v>69</v>
      </c>
      <c r="F193" t="s">
        <v>70</v>
      </c>
      <c r="G193" t="s">
        <v>71</v>
      </c>
      <c r="H193" t="s">
        <v>72</v>
      </c>
      <c r="I193" t="s">
        <v>73</v>
      </c>
      <c r="J193" t="str">
        <f>"46346"</f>
        <v>46346</v>
      </c>
      <c r="K193" t="s">
        <v>268</v>
      </c>
      <c r="L193" t="s">
        <v>127</v>
      </c>
      <c r="M193" t="s">
        <v>76</v>
      </c>
    </row>
    <row r="194" spans="2:13" x14ac:dyDescent="0.25">
      <c r="B194" t="s">
        <v>67</v>
      </c>
      <c r="C194" s="20">
        <v>232.125</v>
      </c>
      <c r="D194" t="s">
        <v>68</v>
      </c>
      <c r="E194" t="s">
        <v>69</v>
      </c>
      <c r="F194" t="s">
        <v>70</v>
      </c>
      <c r="G194" t="s">
        <v>71</v>
      </c>
      <c r="H194" t="s">
        <v>72</v>
      </c>
      <c r="I194" t="s">
        <v>73</v>
      </c>
      <c r="J194" t="str">
        <f>"46347"</f>
        <v>46347</v>
      </c>
      <c r="K194" t="s">
        <v>269</v>
      </c>
      <c r="L194" t="s">
        <v>127</v>
      </c>
      <c r="M194" t="s">
        <v>76</v>
      </c>
    </row>
    <row r="195" spans="2:13" x14ac:dyDescent="0.25">
      <c r="B195" t="s">
        <v>67</v>
      </c>
      <c r="C195" s="20">
        <v>233.33333333333334</v>
      </c>
      <c r="D195" t="s">
        <v>68</v>
      </c>
      <c r="E195" t="s">
        <v>69</v>
      </c>
      <c r="F195" t="s">
        <v>70</v>
      </c>
      <c r="G195" t="s">
        <v>71</v>
      </c>
      <c r="H195" t="s">
        <v>72</v>
      </c>
      <c r="I195" t="s">
        <v>73</v>
      </c>
      <c r="J195" t="str">
        <f>"46348"</f>
        <v>46348</v>
      </c>
      <c r="K195" t="s">
        <v>270</v>
      </c>
      <c r="L195" t="s">
        <v>127</v>
      </c>
      <c r="M195" t="s">
        <v>76</v>
      </c>
    </row>
    <row r="196" spans="2:13" x14ac:dyDescent="0.25">
      <c r="B196" t="s">
        <v>67</v>
      </c>
      <c r="C196" s="20">
        <v>234.54166666666666</v>
      </c>
      <c r="D196" t="s">
        <v>68</v>
      </c>
      <c r="E196" t="s">
        <v>69</v>
      </c>
      <c r="F196" t="s">
        <v>70</v>
      </c>
      <c r="G196" t="s">
        <v>71</v>
      </c>
      <c r="H196" t="s">
        <v>72</v>
      </c>
      <c r="I196" t="s">
        <v>73</v>
      </c>
      <c r="J196" t="str">
        <f>"46349"</f>
        <v>46349</v>
      </c>
      <c r="K196" t="s">
        <v>271</v>
      </c>
      <c r="L196" t="s">
        <v>127</v>
      </c>
      <c r="M196" t="s">
        <v>76</v>
      </c>
    </row>
    <row r="197" spans="2:13" x14ac:dyDescent="0.25">
      <c r="B197" t="s">
        <v>67</v>
      </c>
      <c r="C197" s="20">
        <v>235.75</v>
      </c>
      <c r="D197" t="s">
        <v>68</v>
      </c>
      <c r="E197" t="s">
        <v>69</v>
      </c>
      <c r="F197" t="s">
        <v>70</v>
      </c>
      <c r="G197" t="s">
        <v>71</v>
      </c>
      <c r="H197" t="s">
        <v>72</v>
      </c>
      <c r="I197" t="s">
        <v>73</v>
      </c>
      <c r="J197" t="str">
        <f>"46350"</f>
        <v>46350</v>
      </c>
      <c r="K197" t="s">
        <v>272</v>
      </c>
      <c r="L197" t="s">
        <v>127</v>
      </c>
      <c r="M197" t="s">
        <v>76</v>
      </c>
    </row>
    <row r="198" spans="2:13" x14ac:dyDescent="0.25">
      <c r="B198" t="s">
        <v>67</v>
      </c>
      <c r="C198" s="20">
        <v>236.95833333333334</v>
      </c>
      <c r="D198" t="s">
        <v>68</v>
      </c>
      <c r="E198" t="s">
        <v>69</v>
      </c>
      <c r="F198" t="s">
        <v>70</v>
      </c>
      <c r="G198" t="s">
        <v>71</v>
      </c>
      <c r="H198" t="s">
        <v>72</v>
      </c>
      <c r="I198" t="s">
        <v>73</v>
      </c>
      <c r="J198" t="str">
        <f>"46351"</f>
        <v>46351</v>
      </c>
      <c r="K198" t="s">
        <v>273</v>
      </c>
      <c r="L198" t="s">
        <v>127</v>
      </c>
      <c r="M198" t="s">
        <v>76</v>
      </c>
    </row>
    <row r="199" spans="2:13" x14ac:dyDescent="0.25">
      <c r="B199" t="s">
        <v>67</v>
      </c>
      <c r="C199" s="20">
        <v>238.16666666666666</v>
      </c>
      <c r="D199" t="s">
        <v>68</v>
      </c>
      <c r="E199" t="s">
        <v>69</v>
      </c>
      <c r="F199" t="s">
        <v>70</v>
      </c>
      <c r="G199" t="s">
        <v>71</v>
      </c>
      <c r="H199" t="s">
        <v>72</v>
      </c>
      <c r="I199" t="s">
        <v>73</v>
      </c>
      <c r="J199" t="str">
        <f>"46352"</f>
        <v>46352</v>
      </c>
      <c r="K199" t="s">
        <v>274</v>
      </c>
      <c r="L199" t="s">
        <v>127</v>
      </c>
      <c r="M199" t="s">
        <v>76</v>
      </c>
    </row>
    <row r="200" spans="2:13" x14ac:dyDescent="0.25">
      <c r="B200" t="s">
        <v>67</v>
      </c>
      <c r="C200" s="20">
        <v>239.375</v>
      </c>
      <c r="D200" t="s">
        <v>68</v>
      </c>
      <c r="E200" t="s">
        <v>69</v>
      </c>
      <c r="F200" t="s">
        <v>70</v>
      </c>
      <c r="G200" t="s">
        <v>71</v>
      </c>
      <c r="H200" t="s">
        <v>72</v>
      </c>
      <c r="I200" t="s">
        <v>73</v>
      </c>
      <c r="J200" t="str">
        <f>"46353"</f>
        <v>46353</v>
      </c>
      <c r="K200" t="s">
        <v>275</v>
      </c>
      <c r="L200" t="s">
        <v>127</v>
      </c>
      <c r="M200" t="s">
        <v>76</v>
      </c>
    </row>
    <row r="201" spans="2:13" x14ac:dyDescent="0.25">
      <c r="B201" t="s">
        <v>67</v>
      </c>
      <c r="C201" s="20">
        <v>240.58333333333334</v>
      </c>
      <c r="D201" t="s">
        <v>68</v>
      </c>
      <c r="E201" t="s">
        <v>69</v>
      </c>
      <c r="F201" t="s">
        <v>70</v>
      </c>
      <c r="G201" t="s">
        <v>71</v>
      </c>
      <c r="H201" t="s">
        <v>72</v>
      </c>
      <c r="I201" t="s">
        <v>73</v>
      </c>
      <c r="J201" t="str">
        <f>"46354"</f>
        <v>46354</v>
      </c>
      <c r="K201" t="s">
        <v>276</v>
      </c>
      <c r="L201" t="s">
        <v>127</v>
      </c>
      <c r="M201" t="s">
        <v>76</v>
      </c>
    </row>
    <row r="202" spans="2:13" x14ac:dyDescent="0.25">
      <c r="B202" t="s">
        <v>67</v>
      </c>
      <c r="C202" s="20">
        <v>241.79166666666666</v>
      </c>
      <c r="D202" t="s">
        <v>68</v>
      </c>
      <c r="E202" t="s">
        <v>69</v>
      </c>
      <c r="F202" t="s">
        <v>70</v>
      </c>
      <c r="G202" t="s">
        <v>71</v>
      </c>
      <c r="H202" t="s">
        <v>72</v>
      </c>
      <c r="I202" t="s">
        <v>73</v>
      </c>
      <c r="J202" t="str">
        <f>"46355"</f>
        <v>46355</v>
      </c>
      <c r="K202" t="s">
        <v>277</v>
      </c>
      <c r="L202" t="s">
        <v>127</v>
      </c>
      <c r="M202" t="s">
        <v>76</v>
      </c>
    </row>
    <row r="203" spans="2:13" x14ac:dyDescent="0.25">
      <c r="B203" t="s">
        <v>67</v>
      </c>
      <c r="C203" s="20">
        <v>243</v>
      </c>
      <c r="D203" t="s">
        <v>68</v>
      </c>
      <c r="E203" t="s">
        <v>69</v>
      </c>
      <c r="F203" t="s">
        <v>70</v>
      </c>
      <c r="G203" t="s">
        <v>71</v>
      </c>
      <c r="H203" t="s">
        <v>72</v>
      </c>
      <c r="I203" t="s">
        <v>73</v>
      </c>
      <c r="J203" t="str">
        <f>"46356"</f>
        <v>46356</v>
      </c>
      <c r="K203" t="s">
        <v>278</v>
      </c>
      <c r="L203" t="s">
        <v>127</v>
      </c>
      <c r="M203" t="s">
        <v>76</v>
      </c>
    </row>
    <row r="204" spans="2:13" x14ac:dyDescent="0.25">
      <c r="B204" t="s">
        <v>67</v>
      </c>
      <c r="C204" s="20">
        <v>244.20833333333334</v>
      </c>
      <c r="D204" t="s">
        <v>68</v>
      </c>
      <c r="E204" t="s">
        <v>69</v>
      </c>
      <c r="F204" t="s">
        <v>70</v>
      </c>
      <c r="G204" t="s">
        <v>71</v>
      </c>
      <c r="H204" t="s">
        <v>72</v>
      </c>
      <c r="I204" t="s">
        <v>73</v>
      </c>
      <c r="J204" t="str">
        <f>"46357"</f>
        <v>46357</v>
      </c>
      <c r="K204" t="s">
        <v>279</v>
      </c>
      <c r="L204" t="s">
        <v>127</v>
      </c>
      <c r="M204" t="s">
        <v>76</v>
      </c>
    </row>
    <row r="205" spans="2:13" x14ac:dyDescent="0.25">
      <c r="B205" t="s">
        <v>67</v>
      </c>
      <c r="C205" s="20">
        <v>245.41666666666666</v>
      </c>
      <c r="D205" t="s">
        <v>68</v>
      </c>
      <c r="E205" t="s">
        <v>69</v>
      </c>
      <c r="F205" t="s">
        <v>70</v>
      </c>
      <c r="G205" t="s">
        <v>71</v>
      </c>
      <c r="H205" t="s">
        <v>72</v>
      </c>
      <c r="I205" t="s">
        <v>73</v>
      </c>
      <c r="J205" t="str">
        <f>"46358"</f>
        <v>46358</v>
      </c>
      <c r="K205" t="s">
        <v>280</v>
      </c>
      <c r="L205" t="s">
        <v>127</v>
      </c>
      <c r="M205" t="s">
        <v>76</v>
      </c>
    </row>
    <row r="206" spans="2:13" x14ac:dyDescent="0.25">
      <c r="B206" t="s">
        <v>67</v>
      </c>
      <c r="C206" s="20">
        <v>246.625</v>
      </c>
      <c r="D206" t="s">
        <v>68</v>
      </c>
      <c r="E206" t="s">
        <v>69</v>
      </c>
      <c r="F206" t="s">
        <v>70</v>
      </c>
      <c r="G206" t="s">
        <v>71</v>
      </c>
      <c r="H206" t="s">
        <v>72</v>
      </c>
      <c r="I206" t="s">
        <v>73</v>
      </c>
      <c r="J206" t="str">
        <f>"46359"</f>
        <v>46359</v>
      </c>
      <c r="K206" t="s">
        <v>281</v>
      </c>
      <c r="L206" t="s">
        <v>127</v>
      </c>
      <c r="M206" t="s">
        <v>76</v>
      </c>
    </row>
    <row r="207" spans="2:13" x14ac:dyDescent="0.25">
      <c r="B207" t="s">
        <v>67</v>
      </c>
      <c r="C207" s="20">
        <v>247.83333333333334</v>
      </c>
      <c r="D207" t="s">
        <v>68</v>
      </c>
      <c r="E207" t="s">
        <v>69</v>
      </c>
      <c r="F207" t="s">
        <v>70</v>
      </c>
      <c r="G207" t="s">
        <v>71</v>
      </c>
      <c r="H207" t="s">
        <v>72</v>
      </c>
      <c r="I207" t="s">
        <v>73</v>
      </c>
      <c r="J207" t="str">
        <f>"46360"</f>
        <v>46360</v>
      </c>
      <c r="K207" t="s">
        <v>282</v>
      </c>
      <c r="L207" t="s">
        <v>127</v>
      </c>
      <c r="M207" t="s">
        <v>76</v>
      </c>
    </row>
    <row r="208" spans="2:13" x14ac:dyDescent="0.25">
      <c r="B208" t="s">
        <v>67</v>
      </c>
      <c r="C208" s="20">
        <v>249.04166666666666</v>
      </c>
      <c r="D208" t="s">
        <v>68</v>
      </c>
      <c r="E208" t="s">
        <v>69</v>
      </c>
      <c r="F208" t="s">
        <v>70</v>
      </c>
      <c r="G208" t="s">
        <v>71</v>
      </c>
      <c r="H208" t="s">
        <v>72</v>
      </c>
      <c r="I208" t="s">
        <v>73</v>
      </c>
      <c r="J208" t="str">
        <f>"46361"</f>
        <v>46361</v>
      </c>
      <c r="K208" t="s">
        <v>283</v>
      </c>
      <c r="L208" t="s">
        <v>127</v>
      </c>
      <c r="M208" t="s">
        <v>76</v>
      </c>
    </row>
    <row r="209" spans="2:13" x14ac:dyDescent="0.25">
      <c r="B209" t="s">
        <v>67</v>
      </c>
      <c r="C209" s="20">
        <v>250.25</v>
      </c>
      <c r="D209" t="s">
        <v>68</v>
      </c>
      <c r="E209" t="s">
        <v>69</v>
      </c>
      <c r="F209" t="s">
        <v>70</v>
      </c>
      <c r="G209" t="s">
        <v>71</v>
      </c>
      <c r="H209" t="s">
        <v>72</v>
      </c>
      <c r="I209" t="s">
        <v>73</v>
      </c>
      <c r="J209" t="str">
        <f>"46362"</f>
        <v>46362</v>
      </c>
      <c r="K209" t="s">
        <v>284</v>
      </c>
      <c r="L209" t="s">
        <v>127</v>
      </c>
      <c r="M209" t="s">
        <v>76</v>
      </c>
    </row>
    <row r="210" spans="2:13" x14ac:dyDescent="0.25">
      <c r="B210" t="s">
        <v>67</v>
      </c>
      <c r="C210" s="20">
        <v>251.45833333333334</v>
      </c>
      <c r="D210" t="s">
        <v>68</v>
      </c>
      <c r="E210" t="s">
        <v>69</v>
      </c>
      <c r="F210" t="s">
        <v>70</v>
      </c>
      <c r="G210" t="s">
        <v>71</v>
      </c>
      <c r="H210" t="s">
        <v>72</v>
      </c>
      <c r="I210" t="s">
        <v>73</v>
      </c>
      <c r="J210" t="str">
        <f>"46363"</f>
        <v>46363</v>
      </c>
      <c r="K210" t="s">
        <v>285</v>
      </c>
      <c r="L210" t="s">
        <v>127</v>
      </c>
      <c r="M210" t="s">
        <v>76</v>
      </c>
    </row>
    <row r="211" spans="2:13" x14ac:dyDescent="0.25">
      <c r="B211" t="s">
        <v>67</v>
      </c>
      <c r="C211" s="20">
        <v>252.66666666666666</v>
      </c>
      <c r="D211" t="s">
        <v>68</v>
      </c>
      <c r="E211" t="s">
        <v>69</v>
      </c>
      <c r="F211" t="s">
        <v>70</v>
      </c>
      <c r="G211" t="s">
        <v>71</v>
      </c>
      <c r="H211" t="s">
        <v>72</v>
      </c>
      <c r="I211" t="s">
        <v>73</v>
      </c>
      <c r="J211" t="str">
        <f>"46364"</f>
        <v>46364</v>
      </c>
      <c r="K211" t="s">
        <v>286</v>
      </c>
      <c r="L211" t="s">
        <v>127</v>
      </c>
      <c r="M211" t="s">
        <v>76</v>
      </c>
    </row>
    <row r="212" spans="2:13" x14ac:dyDescent="0.25">
      <c r="B212" t="s">
        <v>67</v>
      </c>
      <c r="C212" s="20">
        <v>253.875</v>
      </c>
      <c r="D212" t="s">
        <v>68</v>
      </c>
      <c r="E212" t="s">
        <v>69</v>
      </c>
      <c r="F212" t="s">
        <v>70</v>
      </c>
      <c r="G212" t="s">
        <v>71</v>
      </c>
      <c r="H212" t="s">
        <v>72</v>
      </c>
      <c r="I212" t="s">
        <v>73</v>
      </c>
      <c r="J212" t="str">
        <f>"46365"</f>
        <v>46365</v>
      </c>
      <c r="K212" t="s">
        <v>287</v>
      </c>
      <c r="L212" t="s">
        <v>127</v>
      </c>
      <c r="M212" t="s">
        <v>76</v>
      </c>
    </row>
    <row r="213" spans="2:13" x14ac:dyDescent="0.25">
      <c r="B213" t="s">
        <v>67</v>
      </c>
      <c r="C213" s="20">
        <v>255.08333333333334</v>
      </c>
      <c r="D213" t="s">
        <v>68</v>
      </c>
      <c r="E213" t="s">
        <v>69</v>
      </c>
      <c r="F213" t="s">
        <v>70</v>
      </c>
      <c r="G213" t="s">
        <v>71</v>
      </c>
      <c r="H213" t="s">
        <v>72</v>
      </c>
      <c r="I213" t="s">
        <v>73</v>
      </c>
      <c r="J213" t="str">
        <f>"46366"</f>
        <v>46366</v>
      </c>
      <c r="K213" t="s">
        <v>288</v>
      </c>
      <c r="L213" t="s">
        <v>127</v>
      </c>
      <c r="M213" t="s">
        <v>76</v>
      </c>
    </row>
    <row r="214" spans="2:13" x14ac:dyDescent="0.25">
      <c r="B214" t="s">
        <v>67</v>
      </c>
      <c r="C214" s="20">
        <v>256.29166666666669</v>
      </c>
      <c r="D214" t="s">
        <v>68</v>
      </c>
      <c r="E214" t="s">
        <v>69</v>
      </c>
      <c r="F214" t="s">
        <v>70</v>
      </c>
      <c r="G214" t="s">
        <v>71</v>
      </c>
      <c r="H214" t="s">
        <v>72</v>
      </c>
      <c r="I214" t="s">
        <v>73</v>
      </c>
      <c r="J214" t="str">
        <f>"46367"</f>
        <v>46367</v>
      </c>
      <c r="K214" t="s">
        <v>289</v>
      </c>
      <c r="L214" t="s">
        <v>127</v>
      </c>
      <c r="M214" t="s">
        <v>76</v>
      </c>
    </row>
    <row r="215" spans="2:13" x14ac:dyDescent="0.25">
      <c r="B215" t="s">
        <v>67</v>
      </c>
      <c r="C215" s="20">
        <v>257.5</v>
      </c>
      <c r="D215" t="s">
        <v>68</v>
      </c>
      <c r="E215" t="s">
        <v>69</v>
      </c>
      <c r="F215" t="s">
        <v>70</v>
      </c>
      <c r="G215" t="s">
        <v>71</v>
      </c>
      <c r="H215" t="s">
        <v>72</v>
      </c>
      <c r="I215" t="s">
        <v>73</v>
      </c>
      <c r="J215" t="str">
        <f>"46368"</f>
        <v>46368</v>
      </c>
      <c r="K215" t="s">
        <v>290</v>
      </c>
      <c r="L215" t="s">
        <v>127</v>
      </c>
      <c r="M215" t="s">
        <v>76</v>
      </c>
    </row>
    <row r="216" spans="2:13" x14ac:dyDescent="0.25">
      <c r="B216" t="s">
        <v>67</v>
      </c>
      <c r="C216" s="20">
        <v>258.70833333333331</v>
      </c>
      <c r="D216" t="s">
        <v>68</v>
      </c>
      <c r="E216" t="s">
        <v>69</v>
      </c>
      <c r="F216" t="s">
        <v>70</v>
      </c>
      <c r="G216" t="s">
        <v>71</v>
      </c>
      <c r="H216" t="s">
        <v>72</v>
      </c>
      <c r="I216" t="s">
        <v>73</v>
      </c>
      <c r="J216" t="str">
        <f>"46369"</f>
        <v>46369</v>
      </c>
      <c r="K216" t="s">
        <v>291</v>
      </c>
      <c r="L216" t="s">
        <v>127</v>
      </c>
      <c r="M216" t="s">
        <v>76</v>
      </c>
    </row>
    <row r="217" spans="2:13" x14ac:dyDescent="0.25">
      <c r="B217" t="s">
        <v>67</v>
      </c>
      <c r="C217" s="20">
        <v>259.91666666666669</v>
      </c>
      <c r="D217" t="s">
        <v>68</v>
      </c>
      <c r="E217" t="s">
        <v>69</v>
      </c>
      <c r="F217" t="s">
        <v>70</v>
      </c>
      <c r="G217" t="s">
        <v>71</v>
      </c>
      <c r="H217" t="s">
        <v>72</v>
      </c>
      <c r="I217" t="s">
        <v>73</v>
      </c>
      <c r="J217" t="str">
        <f>"46370"</f>
        <v>46370</v>
      </c>
      <c r="K217" t="s">
        <v>292</v>
      </c>
      <c r="L217" t="s">
        <v>127</v>
      </c>
      <c r="M217" t="s">
        <v>76</v>
      </c>
    </row>
    <row r="218" spans="2:13" x14ac:dyDescent="0.25">
      <c r="B218" t="s">
        <v>67</v>
      </c>
      <c r="C218" s="20">
        <v>261.125</v>
      </c>
      <c r="D218" t="s">
        <v>68</v>
      </c>
      <c r="E218" t="s">
        <v>69</v>
      </c>
      <c r="F218" t="s">
        <v>70</v>
      </c>
      <c r="G218" t="s">
        <v>71</v>
      </c>
      <c r="H218" t="s">
        <v>72</v>
      </c>
      <c r="I218" t="s">
        <v>73</v>
      </c>
      <c r="J218" t="str">
        <f>"46371"</f>
        <v>46371</v>
      </c>
      <c r="K218" t="s">
        <v>293</v>
      </c>
      <c r="L218" t="s">
        <v>127</v>
      </c>
      <c r="M218" t="s">
        <v>76</v>
      </c>
    </row>
    <row r="219" spans="2:13" x14ac:dyDescent="0.25">
      <c r="B219" t="s">
        <v>67</v>
      </c>
      <c r="C219" s="20">
        <v>262.33333333333331</v>
      </c>
      <c r="D219" t="s">
        <v>68</v>
      </c>
      <c r="E219" t="s">
        <v>69</v>
      </c>
      <c r="F219" t="s">
        <v>70</v>
      </c>
      <c r="G219" t="s">
        <v>71</v>
      </c>
      <c r="H219" t="s">
        <v>72</v>
      </c>
      <c r="I219" t="s">
        <v>73</v>
      </c>
      <c r="J219" t="str">
        <f>"46372"</f>
        <v>46372</v>
      </c>
      <c r="K219" t="s">
        <v>294</v>
      </c>
      <c r="L219" t="s">
        <v>127</v>
      </c>
      <c r="M219" t="s">
        <v>76</v>
      </c>
    </row>
    <row r="220" spans="2:13" x14ac:dyDescent="0.25">
      <c r="B220" t="s">
        <v>67</v>
      </c>
      <c r="C220" s="20">
        <v>263.54166666666669</v>
      </c>
      <c r="D220" t="s">
        <v>68</v>
      </c>
      <c r="E220" t="s">
        <v>69</v>
      </c>
      <c r="F220" t="s">
        <v>70</v>
      </c>
      <c r="G220" t="s">
        <v>71</v>
      </c>
      <c r="H220" t="s">
        <v>72</v>
      </c>
      <c r="I220" t="s">
        <v>73</v>
      </c>
      <c r="J220" t="str">
        <f>"46373"</f>
        <v>46373</v>
      </c>
      <c r="K220" t="s">
        <v>295</v>
      </c>
      <c r="L220" t="s">
        <v>127</v>
      </c>
      <c r="M220" t="s">
        <v>76</v>
      </c>
    </row>
    <row r="221" spans="2:13" x14ac:dyDescent="0.25">
      <c r="B221" t="s">
        <v>67</v>
      </c>
      <c r="C221" s="20">
        <v>264.75</v>
      </c>
      <c r="D221" t="s">
        <v>68</v>
      </c>
      <c r="E221" t="s">
        <v>69</v>
      </c>
      <c r="F221" t="s">
        <v>70</v>
      </c>
      <c r="G221" t="s">
        <v>71</v>
      </c>
      <c r="H221" t="s">
        <v>72</v>
      </c>
      <c r="I221" t="s">
        <v>73</v>
      </c>
      <c r="J221" t="str">
        <f>"46374"</f>
        <v>46374</v>
      </c>
      <c r="K221" t="s">
        <v>296</v>
      </c>
      <c r="L221" t="s">
        <v>127</v>
      </c>
      <c r="M221" t="s">
        <v>76</v>
      </c>
    </row>
    <row r="222" spans="2:13" x14ac:dyDescent="0.25">
      <c r="B222" t="s">
        <v>67</v>
      </c>
      <c r="C222" s="20">
        <v>265.95833333333331</v>
      </c>
      <c r="D222" t="s">
        <v>68</v>
      </c>
      <c r="E222" t="s">
        <v>69</v>
      </c>
      <c r="F222" t="s">
        <v>70</v>
      </c>
      <c r="G222" t="s">
        <v>71</v>
      </c>
      <c r="H222" t="s">
        <v>72</v>
      </c>
      <c r="I222" t="s">
        <v>73</v>
      </c>
      <c r="J222" t="str">
        <f>"46375"</f>
        <v>46375</v>
      </c>
      <c r="K222" t="s">
        <v>297</v>
      </c>
      <c r="L222" t="s">
        <v>127</v>
      </c>
      <c r="M222" t="s">
        <v>76</v>
      </c>
    </row>
    <row r="223" spans="2:13" x14ac:dyDescent="0.25">
      <c r="B223" t="s">
        <v>67</v>
      </c>
      <c r="C223" s="20">
        <v>267.16666666666669</v>
      </c>
      <c r="D223" t="s">
        <v>68</v>
      </c>
      <c r="E223" t="s">
        <v>69</v>
      </c>
      <c r="F223" t="s">
        <v>70</v>
      </c>
      <c r="G223" t="s">
        <v>71</v>
      </c>
      <c r="H223" t="s">
        <v>72</v>
      </c>
      <c r="I223" t="s">
        <v>73</v>
      </c>
      <c r="J223" t="str">
        <f>"46376"</f>
        <v>46376</v>
      </c>
      <c r="K223" t="s">
        <v>298</v>
      </c>
      <c r="L223" t="s">
        <v>127</v>
      </c>
      <c r="M223" t="s">
        <v>76</v>
      </c>
    </row>
    <row r="224" spans="2:13" x14ac:dyDescent="0.25">
      <c r="B224" t="s">
        <v>67</v>
      </c>
      <c r="C224" s="20">
        <v>268.375</v>
      </c>
      <c r="D224" t="s">
        <v>68</v>
      </c>
      <c r="E224" t="s">
        <v>69</v>
      </c>
      <c r="F224" t="s">
        <v>70</v>
      </c>
      <c r="G224" t="s">
        <v>71</v>
      </c>
      <c r="H224" t="s">
        <v>72</v>
      </c>
      <c r="I224" t="s">
        <v>73</v>
      </c>
      <c r="J224" t="str">
        <f>"46377"</f>
        <v>46377</v>
      </c>
      <c r="K224" t="s">
        <v>299</v>
      </c>
      <c r="L224" t="s">
        <v>127</v>
      </c>
      <c r="M224" t="s">
        <v>76</v>
      </c>
    </row>
    <row r="225" spans="2:13" x14ac:dyDescent="0.25">
      <c r="B225" t="s">
        <v>67</v>
      </c>
      <c r="C225" s="20">
        <v>269.58333333333331</v>
      </c>
      <c r="D225" t="s">
        <v>68</v>
      </c>
      <c r="E225" t="s">
        <v>69</v>
      </c>
      <c r="F225" t="s">
        <v>70</v>
      </c>
      <c r="G225" t="s">
        <v>71</v>
      </c>
      <c r="H225" t="s">
        <v>72</v>
      </c>
      <c r="I225" t="s">
        <v>73</v>
      </c>
      <c r="J225" t="str">
        <f>"46378"</f>
        <v>46378</v>
      </c>
      <c r="K225" t="s">
        <v>300</v>
      </c>
      <c r="L225" t="s">
        <v>127</v>
      </c>
      <c r="M225" t="s">
        <v>76</v>
      </c>
    </row>
    <row r="226" spans="2:13" x14ac:dyDescent="0.25">
      <c r="B226" t="s">
        <v>67</v>
      </c>
      <c r="C226" s="20">
        <v>270.79166666666669</v>
      </c>
      <c r="D226" t="s">
        <v>68</v>
      </c>
      <c r="E226" t="s">
        <v>69</v>
      </c>
      <c r="F226" t="s">
        <v>70</v>
      </c>
      <c r="G226" t="s">
        <v>71</v>
      </c>
      <c r="H226" t="s">
        <v>72</v>
      </c>
      <c r="I226" t="s">
        <v>73</v>
      </c>
      <c r="J226" t="str">
        <f>"46379"</f>
        <v>46379</v>
      </c>
      <c r="K226" t="s">
        <v>301</v>
      </c>
      <c r="L226" t="s">
        <v>127</v>
      </c>
      <c r="M226" t="s">
        <v>76</v>
      </c>
    </row>
    <row r="227" spans="2:13" x14ac:dyDescent="0.25">
      <c r="B227" t="s">
        <v>67</v>
      </c>
      <c r="C227" s="20">
        <v>272</v>
      </c>
      <c r="D227" t="s">
        <v>68</v>
      </c>
      <c r="E227" t="s">
        <v>69</v>
      </c>
      <c r="F227" t="s">
        <v>70</v>
      </c>
      <c r="G227" t="s">
        <v>71</v>
      </c>
      <c r="H227" t="s">
        <v>72</v>
      </c>
      <c r="I227" t="s">
        <v>73</v>
      </c>
      <c r="J227" t="str">
        <f>"46380"</f>
        <v>46380</v>
      </c>
      <c r="K227" t="s">
        <v>302</v>
      </c>
      <c r="L227" t="s">
        <v>127</v>
      </c>
      <c r="M227" t="s">
        <v>76</v>
      </c>
    </row>
    <row r="228" spans="2:13" x14ac:dyDescent="0.25">
      <c r="B228" t="s">
        <v>67</v>
      </c>
      <c r="C228" s="20">
        <v>273.20833333333331</v>
      </c>
      <c r="D228" t="s">
        <v>68</v>
      </c>
      <c r="E228" t="s">
        <v>69</v>
      </c>
      <c r="F228" t="s">
        <v>70</v>
      </c>
      <c r="G228" t="s">
        <v>71</v>
      </c>
      <c r="H228" t="s">
        <v>72</v>
      </c>
      <c r="I228" t="s">
        <v>73</v>
      </c>
      <c r="J228" t="str">
        <f>"46381"</f>
        <v>46381</v>
      </c>
      <c r="K228" t="s">
        <v>303</v>
      </c>
      <c r="L228" t="s">
        <v>127</v>
      </c>
      <c r="M228" t="s">
        <v>76</v>
      </c>
    </row>
    <row r="229" spans="2:13" x14ac:dyDescent="0.25">
      <c r="B229" t="s">
        <v>67</v>
      </c>
      <c r="C229" s="20">
        <v>274.41666666666669</v>
      </c>
      <c r="D229" t="s">
        <v>68</v>
      </c>
      <c r="E229" t="s">
        <v>69</v>
      </c>
      <c r="F229" t="s">
        <v>70</v>
      </c>
      <c r="G229" t="s">
        <v>71</v>
      </c>
      <c r="H229" t="s">
        <v>72</v>
      </c>
      <c r="I229" t="s">
        <v>73</v>
      </c>
      <c r="J229" t="str">
        <f>"46382"</f>
        <v>46382</v>
      </c>
      <c r="K229" t="s">
        <v>304</v>
      </c>
      <c r="L229" t="s">
        <v>127</v>
      </c>
      <c r="M229" t="s">
        <v>76</v>
      </c>
    </row>
    <row r="230" spans="2:13" x14ac:dyDescent="0.25">
      <c r="B230" t="s">
        <v>67</v>
      </c>
      <c r="C230" s="20">
        <v>275.625</v>
      </c>
      <c r="D230" t="s">
        <v>68</v>
      </c>
      <c r="E230" t="s">
        <v>69</v>
      </c>
      <c r="F230" t="s">
        <v>70</v>
      </c>
      <c r="G230" t="s">
        <v>71</v>
      </c>
      <c r="H230" t="s">
        <v>72</v>
      </c>
      <c r="I230" t="s">
        <v>73</v>
      </c>
      <c r="J230" t="str">
        <f>"46383"</f>
        <v>46383</v>
      </c>
      <c r="K230" t="s">
        <v>305</v>
      </c>
      <c r="L230" t="s">
        <v>127</v>
      </c>
      <c r="M230" t="s">
        <v>76</v>
      </c>
    </row>
    <row r="231" spans="2:13" x14ac:dyDescent="0.25">
      <c r="B231" t="s">
        <v>67</v>
      </c>
      <c r="C231" s="20">
        <v>276.83333333333331</v>
      </c>
      <c r="D231" t="s">
        <v>68</v>
      </c>
      <c r="E231" t="s">
        <v>69</v>
      </c>
      <c r="F231" t="s">
        <v>70</v>
      </c>
      <c r="G231" t="s">
        <v>71</v>
      </c>
      <c r="H231" t="s">
        <v>72</v>
      </c>
      <c r="I231" t="s">
        <v>73</v>
      </c>
      <c r="J231" t="str">
        <f>"46384"</f>
        <v>46384</v>
      </c>
      <c r="K231" t="s">
        <v>306</v>
      </c>
      <c r="L231" t="s">
        <v>127</v>
      </c>
      <c r="M231" t="s">
        <v>76</v>
      </c>
    </row>
    <row r="232" spans="2:13" x14ac:dyDescent="0.25">
      <c r="B232" t="s">
        <v>67</v>
      </c>
      <c r="C232" s="20">
        <v>278.04166666666669</v>
      </c>
      <c r="D232" t="s">
        <v>68</v>
      </c>
      <c r="E232" t="s">
        <v>69</v>
      </c>
      <c r="F232" t="s">
        <v>70</v>
      </c>
      <c r="G232" t="s">
        <v>71</v>
      </c>
      <c r="H232" t="s">
        <v>72</v>
      </c>
      <c r="I232" t="s">
        <v>73</v>
      </c>
      <c r="J232" t="str">
        <f>"46385"</f>
        <v>46385</v>
      </c>
      <c r="K232" t="s">
        <v>307</v>
      </c>
      <c r="L232" t="s">
        <v>127</v>
      </c>
      <c r="M232" t="s">
        <v>76</v>
      </c>
    </row>
    <row r="233" spans="2:13" x14ac:dyDescent="0.25">
      <c r="B233" t="s">
        <v>67</v>
      </c>
      <c r="C233" s="20">
        <v>279.25</v>
      </c>
      <c r="D233" t="s">
        <v>68</v>
      </c>
      <c r="E233" t="s">
        <v>69</v>
      </c>
      <c r="F233" t="s">
        <v>70</v>
      </c>
      <c r="G233" t="s">
        <v>71</v>
      </c>
      <c r="H233" t="s">
        <v>72</v>
      </c>
      <c r="I233" t="s">
        <v>73</v>
      </c>
      <c r="J233" t="str">
        <f>"46386"</f>
        <v>46386</v>
      </c>
      <c r="K233" t="s">
        <v>308</v>
      </c>
      <c r="L233" t="s">
        <v>127</v>
      </c>
      <c r="M233" t="s">
        <v>76</v>
      </c>
    </row>
    <row r="234" spans="2:13" x14ac:dyDescent="0.25">
      <c r="B234" t="s">
        <v>67</v>
      </c>
      <c r="C234" s="20">
        <v>280.45833333333331</v>
      </c>
      <c r="D234" t="s">
        <v>68</v>
      </c>
      <c r="E234" t="s">
        <v>69</v>
      </c>
      <c r="F234" t="s">
        <v>70</v>
      </c>
      <c r="G234" t="s">
        <v>71</v>
      </c>
      <c r="H234" t="s">
        <v>72</v>
      </c>
      <c r="I234" t="s">
        <v>73</v>
      </c>
      <c r="J234" t="str">
        <f>"46387"</f>
        <v>46387</v>
      </c>
      <c r="K234" t="s">
        <v>309</v>
      </c>
      <c r="L234" t="s">
        <v>127</v>
      </c>
      <c r="M234" t="s">
        <v>76</v>
      </c>
    </row>
    <row r="235" spans="2:13" x14ac:dyDescent="0.25">
      <c r="B235" t="s">
        <v>67</v>
      </c>
      <c r="C235" s="20">
        <v>281.66666666666669</v>
      </c>
      <c r="D235" t="s">
        <v>68</v>
      </c>
      <c r="E235" t="s">
        <v>69</v>
      </c>
      <c r="F235" t="s">
        <v>70</v>
      </c>
      <c r="G235" t="s">
        <v>71</v>
      </c>
      <c r="H235" t="s">
        <v>72</v>
      </c>
      <c r="I235" t="s">
        <v>73</v>
      </c>
      <c r="J235" t="str">
        <f>"46388"</f>
        <v>46388</v>
      </c>
      <c r="K235" t="s">
        <v>310</v>
      </c>
      <c r="L235" t="s">
        <v>127</v>
      </c>
      <c r="M235" t="s">
        <v>76</v>
      </c>
    </row>
    <row r="236" spans="2:13" x14ac:dyDescent="0.25">
      <c r="B236" t="s">
        <v>67</v>
      </c>
      <c r="C236" s="20">
        <v>282.875</v>
      </c>
      <c r="D236" t="s">
        <v>68</v>
      </c>
      <c r="E236" t="s">
        <v>69</v>
      </c>
      <c r="F236" t="s">
        <v>70</v>
      </c>
      <c r="G236" t="s">
        <v>71</v>
      </c>
      <c r="H236" t="s">
        <v>72</v>
      </c>
      <c r="I236" t="s">
        <v>73</v>
      </c>
      <c r="J236" t="str">
        <f>"46389"</f>
        <v>46389</v>
      </c>
      <c r="K236" t="s">
        <v>311</v>
      </c>
      <c r="L236" t="s">
        <v>127</v>
      </c>
      <c r="M236" t="s">
        <v>76</v>
      </c>
    </row>
    <row r="237" spans="2:13" x14ac:dyDescent="0.25">
      <c r="B237" t="s">
        <v>67</v>
      </c>
      <c r="C237" s="20">
        <v>284.08333333333331</v>
      </c>
      <c r="D237" t="s">
        <v>68</v>
      </c>
      <c r="E237" t="s">
        <v>69</v>
      </c>
      <c r="F237" t="s">
        <v>70</v>
      </c>
      <c r="G237" t="s">
        <v>71</v>
      </c>
      <c r="H237" t="s">
        <v>72</v>
      </c>
      <c r="I237" t="s">
        <v>73</v>
      </c>
      <c r="J237" t="str">
        <f>"46390"</f>
        <v>46390</v>
      </c>
      <c r="K237" t="s">
        <v>312</v>
      </c>
      <c r="L237" t="s">
        <v>127</v>
      </c>
      <c r="M237" t="s">
        <v>76</v>
      </c>
    </row>
    <row r="238" spans="2:13" x14ac:dyDescent="0.25">
      <c r="B238" t="s">
        <v>67</v>
      </c>
      <c r="C238" s="20">
        <v>285.29166666666669</v>
      </c>
      <c r="D238" t="s">
        <v>68</v>
      </c>
      <c r="E238" t="s">
        <v>69</v>
      </c>
      <c r="F238" t="s">
        <v>70</v>
      </c>
      <c r="G238" t="s">
        <v>71</v>
      </c>
      <c r="H238" t="s">
        <v>72</v>
      </c>
      <c r="I238" t="s">
        <v>73</v>
      </c>
      <c r="J238" t="str">
        <f>"46391"</f>
        <v>46391</v>
      </c>
      <c r="K238" t="s">
        <v>313</v>
      </c>
      <c r="L238" t="s">
        <v>127</v>
      </c>
      <c r="M238" t="s">
        <v>76</v>
      </c>
    </row>
    <row r="239" spans="2:13" x14ac:dyDescent="0.25">
      <c r="B239" t="s">
        <v>67</v>
      </c>
      <c r="C239" s="20">
        <v>286.5</v>
      </c>
      <c r="D239" t="s">
        <v>68</v>
      </c>
      <c r="E239" t="s">
        <v>69</v>
      </c>
      <c r="F239" t="s">
        <v>70</v>
      </c>
      <c r="G239" t="s">
        <v>71</v>
      </c>
      <c r="H239" t="s">
        <v>72</v>
      </c>
      <c r="I239" t="s">
        <v>73</v>
      </c>
      <c r="J239" t="str">
        <f>"46392"</f>
        <v>46392</v>
      </c>
      <c r="K239" t="s">
        <v>314</v>
      </c>
      <c r="L239" t="s">
        <v>127</v>
      </c>
      <c r="M239" t="s">
        <v>76</v>
      </c>
    </row>
    <row r="240" spans="2:13" x14ac:dyDescent="0.25">
      <c r="B240" t="s">
        <v>67</v>
      </c>
      <c r="C240" s="20">
        <v>287.70833333333331</v>
      </c>
      <c r="D240" t="s">
        <v>68</v>
      </c>
      <c r="E240" t="s">
        <v>69</v>
      </c>
      <c r="F240" t="s">
        <v>70</v>
      </c>
      <c r="G240" t="s">
        <v>71</v>
      </c>
      <c r="H240" t="s">
        <v>72</v>
      </c>
      <c r="I240" t="s">
        <v>73</v>
      </c>
      <c r="J240" t="str">
        <f>"46393"</f>
        <v>46393</v>
      </c>
      <c r="K240" t="s">
        <v>315</v>
      </c>
      <c r="L240" t="s">
        <v>127</v>
      </c>
      <c r="M240" t="s">
        <v>76</v>
      </c>
    </row>
    <row r="241" spans="2:13" x14ac:dyDescent="0.25">
      <c r="B241" t="s">
        <v>67</v>
      </c>
      <c r="C241" s="20">
        <v>288.91666666666669</v>
      </c>
      <c r="D241" t="s">
        <v>68</v>
      </c>
      <c r="E241" t="s">
        <v>69</v>
      </c>
      <c r="F241" t="s">
        <v>70</v>
      </c>
      <c r="G241" t="s">
        <v>71</v>
      </c>
      <c r="H241" t="s">
        <v>72</v>
      </c>
      <c r="I241" t="s">
        <v>73</v>
      </c>
      <c r="J241" t="str">
        <f>"46394"</f>
        <v>46394</v>
      </c>
      <c r="K241" t="s">
        <v>316</v>
      </c>
      <c r="L241" t="s">
        <v>127</v>
      </c>
      <c r="M241" t="s">
        <v>76</v>
      </c>
    </row>
    <row r="242" spans="2:13" x14ac:dyDescent="0.25">
      <c r="B242" t="s">
        <v>67</v>
      </c>
      <c r="C242" s="20">
        <v>290.125</v>
      </c>
      <c r="D242" t="s">
        <v>68</v>
      </c>
      <c r="E242" t="s">
        <v>69</v>
      </c>
      <c r="F242" t="s">
        <v>70</v>
      </c>
      <c r="G242" t="s">
        <v>71</v>
      </c>
      <c r="H242" t="s">
        <v>72</v>
      </c>
      <c r="I242" t="s">
        <v>73</v>
      </c>
      <c r="J242" t="str">
        <f>"46395"</f>
        <v>46395</v>
      </c>
      <c r="K242" t="s">
        <v>317</v>
      </c>
      <c r="L242" t="s">
        <v>127</v>
      </c>
      <c r="M242" t="s">
        <v>76</v>
      </c>
    </row>
    <row r="243" spans="2:13" x14ac:dyDescent="0.25">
      <c r="B243" t="s">
        <v>67</v>
      </c>
      <c r="C243" s="20">
        <v>291.33333333333331</v>
      </c>
      <c r="D243" t="s">
        <v>68</v>
      </c>
      <c r="E243" t="s">
        <v>69</v>
      </c>
      <c r="F243" t="s">
        <v>70</v>
      </c>
      <c r="G243" t="s">
        <v>71</v>
      </c>
      <c r="H243" t="s">
        <v>72</v>
      </c>
      <c r="I243" t="s">
        <v>73</v>
      </c>
      <c r="J243" t="str">
        <f>"46396"</f>
        <v>46396</v>
      </c>
      <c r="K243" t="s">
        <v>318</v>
      </c>
      <c r="L243" t="s">
        <v>127</v>
      </c>
      <c r="M243" t="s">
        <v>76</v>
      </c>
    </row>
    <row r="244" spans="2:13" x14ac:dyDescent="0.25">
      <c r="B244" t="s">
        <v>67</v>
      </c>
      <c r="C244" s="20">
        <v>292.54166666666669</v>
      </c>
      <c r="D244" t="s">
        <v>68</v>
      </c>
      <c r="E244" t="s">
        <v>69</v>
      </c>
      <c r="F244" t="s">
        <v>70</v>
      </c>
      <c r="G244" t="s">
        <v>71</v>
      </c>
      <c r="H244" t="s">
        <v>72</v>
      </c>
      <c r="I244" t="s">
        <v>73</v>
      </c>
      <c r="J244" t="str">
        <f>"46397"</f>
        <v>46397</v>
      </c>
      <c r="K244" t="s">
        <v>319</v>
      </c>
      <c r="L244" t="s">
        <v>127</v>
      </c>
      <c r="M244" t="s">
        <v>76</v>
      </c>
    </row>
    <row r="245" spans="2:13" x14ac:dyDescent="0.25">
      <c r="B245" t="s">
        <v>67</v>
      </c>
      <c r="C245" s="20">
        <v>293.75</v>
      </c>
      <c r="D245" t="s">
        <v>68</v>
      </c>
      <c r="E245" t="s">
        <v>69</v>
      </c>
      <c r="F245" t="s">
        <v>70</v>
      </c>
      <c r="G245" t="s">
        <v>71</v>
      </c>
      <c r="H245" t="s">
        <v>72</v>
      </c>
      <c r="I245" t="s">
        <v>73</v>
      </c>
      <c r="J245" t="str">
        <f>"46398"</f>
        <v>46398</v>
      </c>
      <c r="K245" t="s">
        <v>320</v>
      </c>
      <c r="L245" t="s">
        <v>127</v>
      </c>
      <c r="M245" t="s">
        <v>76</v>
      </c>
    </row>
    <row r="246" spans="2:13" x14ac:dyDescent="0.25">
      <c r="B246" t="s">
        <v>67</v>
      </c>
      <c r="C246" s="20">
        <v>294.95833333333331</v>
      </c>
      <c r="D246" t="s">
        <v>68</v>
      </c>
      <c r="E246" t="s">
        <v>69</v>
      </c>
      <c r="F246" t="s">
        <v>70</v>
      </c>
      <c r="G246" t="s">
        <v>71</v>
      </c>
      <c r="H246" t="s">
        <v>72</v>
      </c>
      <c r="I246" t="s">
        <v>73</v>
      </c>
      <c r="J246" t="str">
        <f>"46399"</f>
        <v>46399</v>
      </c>
      <c r="K246" t="s">
        <v>321</v>
      </c>
      <c r="L246" t="s">
        <v>127</v>
      </c>
      <c r="M246" t="s">
        <v>76</v>
      </c>
    </row>
    <row r="247" spans="2:13" x14ac:dyDescent="0.25">
      <c r="B247" t="s">
        <v>67</v>
      </c>
      <c r="C247" s="20">
        <v>296.16666666666669</v>
      </c>
      <c r="D247" t="s">
        <v>68</v>
      </c>
      <c r="E247" t="s">
        <v>69</v>
      </c>
      <c r="F247" t="s">
        <v>70</v>
      </c>
      <c r="G247" t="s">
        <v>71</v>
      </c>
      <c r="H247" t="s">
        <v>72</v>
      </c>
      <c r="I247" t="s">
        <v>73</v>
      </c>
      <c r="J247" t="str">
        <f>"46400"</f>
        <v>46400</v>
      </c>
      <c r="K247" t="s">
        <v>322</v>
      </c>
      <c r="L247" t="s">
        <v>127</v>
      </c>
      <c r="M247" t="s">
        <v>76</v>
      </c>
    </row>
    <row r="248" spans="2:13" x14ac:dyDescent="0.25">
      <c r="B248" t="s">
        <v>67</v>
      </c>
      <c r="C248" s="20">
        <v>297.375</v>
      </c>
      <c r="D248" t="s">
        <v>68</v>
      </c>
      <c r="E248" t="s">
        <v>69</v>
      </c>
      <c r="F248" t="s">
        <v>70</v>
      </c>
      <c r="G248" t="s">
        <v>71</v>
      </c>
      <c r="H248" t="s">
        <v>72</v>
      </c>
      <c r="I248" t="s">
        <v>73</v>
      </c>
      <c r="J248" t="str">
        <f>"46401"</f>
        <v>46401</v>
      </c>
      <c r="K248" t="s">
        <v>323</v>
      </c>
      <c r="L248" t="s">
        <v>127</v>
      </c>
      <c r="M248" t="s">
        <v>76</v>
      </c>
    </row>
    <row r="249" spans="2:13" x14ac:dyDescent="0.25">
      <c r="B249" t="s">
        <v>67</v>
      </c>
      <c r="C249" s="20">
        <v>298.58333333333331</v>
      </c>
      <c r="D249" t="s">
        <v>68</v>
      </c>
      <c r="E249" t="s">
        <v>69</v>
      </c>
      <c r="F249" t="s">
        <v>70</v>
      </c>
      <c r="G249" t="s">
        <v>71</v>
      </c>
      <c r="H249" t="s">
        <v>72</v>
      </c>
      <c r="I249" t="s">
        <v>73</v>
      </c>
      <c r="J249" t="str">
        <f>"46402"</f>
        <v>46402</v>
      </c>
      <c r="K249" t="s">
        <v>324</v>
      </c>
      <c r="L249" t="s">
        <v>127</v>
      </c>
      <c r="M249" t="s">
        <v>76</v>
      </c>
    </row>
    <row r="250" spans="2:13" x14ac:dyDescent="0.25">
      <c r="B250" t="s">
        <v>67</v>
      </c>
      <c r="C250" s="20">
        <v>299.79166666666669</v>
      </c>
      <c r="D250" t="s">
        <v>68</v>
      </c>
      <c r="E250" t="s">
        <v>69</v>
      </c>
      <c r="F250" t="s">
        <v>70</v>
      </c>
      <c r="G250" t="s">
        <v>71</v>
      </c>
      <c r="H250" t="s">
        <v>72</v>
      </c>
      <c r="I250" t="s">
        <v>73</v>
      </c>
      <c r="J250" t="str">
        <f>"46403"</f>
        <v>46403</v>
      </c>
      <c r="K250" t="s">
        <v>325</v>
      </c>
      <c r="L250" t="s">
        <v>127</v>
      </c>
      <c r="M250" t="s">
        <v>76</v>
      </c>
    </row>
    <row r="251" spans="2:13" x14ac:dyDescent="0.25">
      <c r="B251" t="s">
        <v>67</v>
      </c>
      <c r="C251" s="20">
        <v>301</v>
      </c>
      <c r="D251" t="s">
        <v>68</v>
      </c>
      <c r="E251" t="s">
        <v>69</v>
      </c>
      <c r="F251" t="s">
        <v>70</v>
      </c>
      <c r="G251" t="s">
        <v>71</v>
      </c>
      <c r="H251" t="s">
        <v>72</v>
      </c>
      <c r="I251" t="s">
        <v>73</v>
      </c>
      <c r="J251" t="str">
        <f>"46404"</f>
        <v>46404</v>
      </c>
      <c r="K251" t="s">
        <v>326</v>
      </c>
      <c r="L251" t="s">
        <v>127</v>
      </c>
      <c r="M251" t="s">
        <v>76</v>
      </c>
    </row>
    <row r="252" spans="2:13" x14ac:dyDescent="0.25">
      <c r="B252" t="s">
        <v>67</v>
      </c>
      <c r="C252" s="20">
        <v>302.20833333333331</v>
      </c>
      <c r="D252" t="s">
        <v>68</v>
      </c>
      <c r="E252" t="s">
        <v>69</v>
      </c>
      <c r="F252" t="s">
        <v>70</v>
      </c>
      <c r="G252" t="s">
        <v>71</v>
      </c>
      <c r="H252" t="s">
        <v>72</v>
      </c>
      <c r="I252" t="s">
        <v>73</v>
      </c>
      <c r="J252" t="str">
        <f>"46405"</f>
        <v>46405</v>
      </c>
      <c r="K252" t="s">
        <v>327</v>
      </c>
      <c r="L252" t="s">
        <v>328</v>
      </c>
      <c r="M252" t="s">
        <v>76</v>
      </c>
    </row>
    <row r="253" spans="2:13" x14ac:dyDescent="0.25">
      <c r="B253" t="s">
        <v>67</v>
      </c>
      <c r="C253" s="20">
        <v>303.41666666666669</v>
      </c>
      <c r="D253" t="s">
        <v>68</v>
      </c>
      <c r="E253" t="s">
        <v>69</v>
      </c>
      <c r="F253" t="s">
        <v>70</v>
      </c>
      <c r="G253" t="s">
        <v>71</v>
      </c>
      <c r="H253" t="s">
        <v>72</v>
      </c>
      <c r="I253" t="s">
        <v>73</v>
      </c>
      <c r="J253" t="str">
        <f>"46406"</f>
        <v>46406</v>
      </c>
      <c r="K253" t="s">
        <v>329</v>
      </c>
      <c r="L253" t="s">
        <v>127</v>
      </c>
      <c r="M253" t="s">
        <v>76</v>
      </c>
    </row>
    <row r="254" spans="2:13" x14ac:dyDescent="0.25">
      <c r="B254" t="s">
        <v>67</v>
      </c>
      <c r="C254" s="20">
        <v>304.625</v>
      </c>
      <c r="D254" t="s">
        <v>68</v>
      </c>
      <c r="E254" t="s">
        <v>69</v>
      </c>
      <c r="F254" t="s">
        <v>70</v>
      </c>
      <c r="G254" t="s">
        <v>71</v>
      </c>
      <c r="H254" t="s">
        <v>72</v>
      </c>
      <c r="I254" t="s">
        <v>73</v>
      </c>
      <c r="J254" t="str">
        <f>"46407"</f>
        <v>46407</v>
      </c>
      <c r="K254" t="s">
        <v>330</v>
      </c>
      <c r="L254" t="s">
        <v>328</v>
      </c>
      <c r="M254" t="s">
        <v>76</v>
      </c>
    </row>
    <row r="255" spans="2:13" x14ac:dyDescent="0.25">
      <c r="B255" t="s">
        <v>67</v>
      </c>
      <c r="C255" s="20">
        <v>305.83333333333331</v>
      </c>
      <c r="D255" t="s">
        <v>68</v>
      </c>
      <c r="E255" t="s">
        <v>69</v>
      </c>
      <c r="F255" t="s">
        <v>70</v>
      </c>
      <c r="G255" t="s">
        <v>71</v>
      </c>
      <c r="H255" t="s">
        <v>72</v>
      </c>
      <c r="I255" t="s">
        <v>73</v>
      </c>
      <c r="J255" t="str">
        <f>"46408"</f>
        <v>46408</v>
      </c>
      <c r="K255" t="s">
        <v>331</v>
      </c>
      <c r="L255" t="s">
        <v>328</v>
      </c>
      <c r="M255" t="s">
        <v>76</v>
      </c>
    </row>
    <row r="256" spans="2:13" x14ac:dyDescent="0.25">
      <c r="B256" t="s">
        <v>67</v>
      </c>
      <c r="C256" s="20">
        <v>307.04166666666669</v>
      </c>
      <c r="D256" t="s">
        <v>68</v>
      </c>
      <c r="E256" t="s">
        <v>69</v>
      </c>
      <c r="F256" t="s">
        <v>70</v>
      </c>
      <c r="G256" t="s">
        <v>71</v>
      </c>
      <c r="H256" t="s">
        <v>72</v>
      </c>
      <c r="I256" t="s">
        <v>73</v>
      </c>
      <c r="J256" t="str">
        <f>"46409"</f>
        <v>46409</v>
      </c>
      <c r="K256" t="s">
        <v>332</v>
      </c>
      <c r="L256" t="s">
        <v>328</v>
      </c>
      <c r="M256" t="s">
        <v>76</v>
      </c>
    </row>
    <row r="257" spans="2:13" x14ac:dyDescent="0.25">
      <c r="B257" t="s">
        <v>67</v>
      </c>
      <c r="C257" s="20">
        <v>308.25</v>
      </c>
      <c r="D257" t="s">
        <v>68</v>
      </c>
      <c r="E257" t="s">
        <v>69</v>
      </c>
      <c r="F257" t="s">
        <v>70</v>
      </c>
      <c r="G257" t="s">
        <v>71</v>
      </c>
      <c r="H257" t="s">
        <v>72</v>
      </c>
      <c r="I257" t="s">
        <v>73</v>
      </c>
      <c r="J257" t="str">
        <f>"46410"</f>
        <v>46410</v>
      </c>
      <c r="K257" t="s">
        <v>333</v>
      </c>
      <c r="L257" t="s">
        <v>328</v>
      </c>
      <c r="M257" t="s">
        <v>76</v>
      </c>
    </row>
    <row r="258" spans="2:13" x14ac:dyDescent="0.25">
      <c r="B258" t="s">
        <v>67</v>
      </c>
      <c r="C258" s="20">
        <v>309.45833333333331</v>
      </c>
      <c r="D258" t="s">
        <v>68</v>
      </c>
      <c r="E258" t="s">
        <v>69</v>
      </c>
      <c r="F258" t="s">
        <v>70</v>
      </c>
      <c r="G258" t="s">
        <v>71</v>
      </c>
      <c r="H258" t="s">
        <v>72</v>
      </c>
      <c r="I258" t="s">
        <v>73</v>
      </c>
      <c r="J258" t="str">
        <f>"46411"</f>
        <v>46411</v>
      </c>
      <c r="K258" t="s">
        <v>334</v>
      </c>
      <c r="L258" t="s">
        <v>328</v>
      </c>
      <c r="M258" t="s">
        <v>76</v>
      </c>
    </row>
    <row r="259" spans="2:13" x14ac:dyDescent="0.25">
      <c r="B259" t="s">
        <v>67</v>
      </c>
      <c r="C259" s="20">
        <v>310.66666666666669</v>
      </c>
      <c r="D259" t="s">
        <v>68</v>
      </c>
      <c r="E259" t="s">
        <v>69</v>
      </c>
      <c r="F259" t="s">
        <v>70</v>
      </c>
      <c r="G259" t="s">
        <v>71</v>
      </c>
      <c r="H259" t="s">
        <v>72</v>
      </c>
      <c r="I259" t="s">
        <v>73</v>
      </c>
      <c r="J259" t="str">
        <f>"46412"</f>
        <v>46412</v>
      </c>
      <c r="K259" t="s">
        <v>335</v>
      </c>
      <c r="L259" t="s">
        <v>328</v>
      </c>
      <c r="M259" t="s">
        <v>76</v>
      </c>
    </row>
    <row r="260" spans="2:13" x14ac:dyDescent="0.25">
      <c r="B260" t="s">
        <v>67</v>
      </c>
      <c r="C260" s="20">
        <v>311.875</v>
      </c>
      <c r="D260" t="s">
        <v>68</v>
      </c>
      <c r="E260" t="s">
        <v>69</v>
      </c>
      <c r="F260" t="s">
        <v>70</v>
      </c>
      <c r="G260" t="s">
        <v>71</v>
      </c>
      <c r="H260" t="s">
        <v>72</v>
      </c>
      <c r="I260" t="s">
        <v>73</v>
      </c>
      <c r="J260" t="str">
        <f>"46413"</f>
        <v>46413</v>
      </c>
      <c r="K260" t="s">
        <v>336</v>
      </c>
      <c r="L260" t="s">
        <v>328</v>
      </c>
      <c r="M260" t="s">
        <v>76</v>
      </c>
    </row>
    <row r="261" spans="2:13" x14ac:dyDescent="0.25">
      <c r="B261" t="s">
        <v>67</v>
      </c>
      <c r="C261" s="20">
        <v>313.08333333333331</v>
      </c>
      <c r="D261" t="s">
        <v>68</v>
      </c>
      <c r="E261" t="s">
        <v>69</v>
      </c>
      <c r="F261" t="s">
        <v>70</v>
      </c>
      <c r="G261" t="s">
        <v>71</v>
      </c>
      <c r="H261" t="s">
        <v>72</v>
      </c>
      <c r="I261" t="s">
        <v>73</v>
      </c>
      <c r="J261" t="str">
        <f>"46414"</f>
        <v>46414</v>
      </c>
      <c r="K261" t="s">
        <v>337</v>
      </c>
      <c r="L261" t="s">
        <v>328</v>
      </c>
      <c r="M261" t="s">
        <v>76</v>
      </c>
    </row>
    <row r="262" spans="2:13" x14ac:dyDescent="0.25">
      <c r="B262" t="s">
        <v>67</v>
      </c>
      <c r="C262" s="20">
        <v>314.29166666666669</v>
      </c>
      <c r="D262" t="s">
        <v>68</v>
      </c>
      <c r="E262" t="s">
        <v>69</v>
      </c>
      <c r="F262" t="s">
        <v>70</v>
      </c>
      <c r="G262" t="s">
        <v>71</v>
      </c>
      <c r="H262" t="s">
        <v>72</v>
      </c>
      <c r="I262" t="s">
        <v>73</v>
      </c>
      <c r="J262" t="str">
        <f>"46415"</f>
        <v>46415</v>
      </c>
      <c r="K262" t="s">
        <v>338</v>
      </c>
      <c r="L262" t="s">
        <v>328</v>
      </c>
      <c r="M262" t="s">
        <v>76</v>
      </c>
    </row>
    <row r="263" spans="2:13" x14ac:dyDescent="0.25">
      <c r="B263" t="s">
        <v>67</v>
      </c>
      <c r="C263" s="20">
        <v>315.5</v>
      </c>
      <c r="D263" t="s">
        <v>68</v>
      </c>
      <c r="E263" t="s">
        <v>69</v>
      </c>
      <c r="F263" t="s">
        <v>70</v>
      </c>
      <c r="G263" t="s">
        <v>71</v>
      </c>
      <c r="H263" t="s">
        <v>72</v>
      </c>
      <c r="I263" t="s">
        <v>73</v>
      </c>
      <c r="J263" t="str">
        <f>"46416"</f>
        <v>46416</v>
      </c>
      <c r="K263" t="s">
        <v>339</v>
      </c>
      <c r="L263" t="s">
        <v>328</v>
      </c>
      <c r="M263" t="s">
        <v>76</v>
      </c>
    </row>
    <row r="264" spans="2:13" x14ac:dyDescent="0.25">
      <c r="B264" t="s">
        <v>67</v>
      </c>
      <c r="C264" s="20">
        <v>316.70833333333331</v>
      </c>
      <c r="D264" t="s">
        <v>68</v>
      </c>
      <c r="E264" t="s">
        <v>69</v>
      </c>
      <c r="F264" t="s">
        <v>70</v>
      </c>
      <c r="G264" t="s">
        <v>71</v>
      </c>
      <c r="H264" t="s">
        <v>72</v>
      </c>
      <c r="I264" t="s">
        <v>73</v>
      </c>
      <c r="J264" t="str">
        <f>"46417"</f>
        <v>46417</v>
      </c>
      <c r="K264" t="s">
        <v>340</v>
      </c>
      <c r="L264" t="s">
        <v>328</v>
      </c>
      <c r="M264" t="s">
        <v>76</v>
      </c>
    </row>
    <row r="265" spans="2:13" x14ac:dyDescent="0.25">
      <c r="B265" t="s">
        <v>67</v>
      </c>
      <c r="C265" s="20">
        <v>317.91666666666669</v>
      </c>
      <c r="D265" t="s">
        <v>68</v>
      </c>
      <c r="E265" t="s">
        <v>69</v>
      </c>
      <c r="F265" t="s">
        <v>70</v>
      </c>
      <c r="G265" t="s">
        <v>71</v>
      </c>
      <c r="H265" t="s">
        <v>72</v>
      </c>
      <c r="I265" t="s">
        <v>73</v>
      </c>
      <c r="J265" t="str">
        <f>"46418"</f>
        <v>46418</v>
      </c>
      <c r="K265" t="s">
        <v>341</v>
      </c>
      <c r="L265" t="s">
        <v>328</v>
      </c>
      <c r="M265" t="s">
        <v>76</v>
      </c>
    </row>
    <row r="266" spans="2:13" x14ac:dyDescent="0.25">
      <c r="B266" t="s">
        <v>67</v>
      </c>
      <c r="C266" s="20">
        <v>319.125</v>
      </c>
      <c r="D266" t="s">
        <v>68</v>
      </c>
      <c r="E266" t="s">
        <v>69</v>
      </c>
      <c r="F266" t="s">
        <v>70</v>
      </c>
      <c r="G266" t="s">
        <v>71</v>
      </c>
      <c r="H266" t="s">
        <v>72</v>
      </c>
      <c r="I266" t="s">
        <v>73</v>
      </c>
      <c r="J266" t="str">
        <f>"46419"</f>
        <v>46419</v>
      </c>
      <c r="K266" t="s">
        <v>342</v>
      </c>
      <c r="L266" t="s">
        <v>328</v>
      </c>
      <c r="M266" t="s">
        <v>76</v>
      </c>
    </row>
    <row r="267" spans="2:13" x14ac:dyDescent="0.25">
      <c r="B267" t="s">
        <v>67</v>
      </c>
      <c r="C267" s="20">
        <v>320.33333333333331</v>
      </c>
      <c r="D267" t="s">
        <v>68</v>
      </c>
      <c r="E267" t="s">
        <v>69</v>
      </c>
      <c r="F267" t="s">
        <v>70</v>
      </c>
      <c r="G267" t="s">
        <v>71</v>
      </c>
      <c r="H267" t="s">
        <v>72</v>
      </c>
      <c r="I267" t="s">
        <v>73</v>
      </c>
      <c r="J267" t="str">
        <f>"46420"</f>
        <v>46420</v>
      </c>
      <c r="K267" t="s">
        <v>343</v>
      </c>
      <c r="L267" t="s">
        <v>328</v>
      </c>
      <c r="M267" t="s">
        <v>76</v>
      </c>
    </row>
    <row r="268" spans="2:13" x14ac:dyDescent="0.25">
      <c r="B268" t="s">
        <v>67</v>
      </c>
      <c r="C268" s="20">
        <v>321.54166666666669</v>
      </c>
      <c r="D268" t="s">
        <v>68</v>
      </c>
      <c r="E268" t="s">
        <v>69</v>
      </c>
      <c r="F268" t="s">
        <v>70</v>
      </c>
      <c r="G268" t="s">
        <v>71</v>
      </c>
      <c r="H268" t="s">
        <v>72</v>
      </c>
      <c r="I268" t="s">
        <v>73</v>
      </c>
      <c r="J268" t="str">
        <f>"46421"</f>
        <v>46421</v>
      </c>
      <c r="K268" t="s">
        <v>344</v>
      </c>
      <c r="L268" t="s">
        <v>328</v>
      </c>
      <c r="M268" t="s">
        <v>76</v>
      </c>
    </row>
    <row r="269" spans="2:13" x14ac:dyDescent="0.25">
      <c r="B269" t="s">
        <v>67</v>
      </c>
      <c r="C269" s="20">
        <v>322.75</v>
      </c>
      <c r="D269" t="s">
        <v>68</v>
      </c>
      <c r="E269" t="s">
        <v>69</v>
      </c>
      <c r="F269" t="s">
        <v>70</v>
      </c>
      <c r="G269" t="s">
        <v>71</v>
      </c>
      <c r="H269" t="s">
        <v>72</v>
      </c>
      <c r="I269" t="s">
        <v>73</v>
      </c>
      <c r="J269" t="str">
        <f>"46422"</f>
        <v>46422</v>
      </c>
      <c r="K269" t="s">
        <v>345</v>
      </c>
      <c r="L269" t="s">
        <v>328</v>
      </c>
      <c r="M269" t="s">
        <v>76</v>
      </c>
    </row>
    <row r="270" spans="2:13" x14ac:dyDescent="0.25">
      <c r="B270" t="s">
        <v>67</v>
      </c>
      <c r="C270" s="20">
        <v>323.95833333333331</v>
      </c>
      <c r="D270" t="s">
        <v>68</v>
      </c>
      <c r="E270" t="s">
        <v>69</v>
      </c>
      <c r="F270" t="s">
        <v>70</v>
      </c>
      <c r="G270" t="s">
        <v>71</v>
      </c>
      <c r="H270" t="s">
        <v>72</v>
      </c>
      <c r="I270" t="s">
        <v>73</v>
      </c>
      <c r="J270" t="str">
        <f>"46423"</f>
        <v>46423</v>
      </c>
      <c r="K270" t="s">
        <v>346</v>
      </c>
      <c r="L270" t="s">
        <v>328</v>
      </c>
      <c r="M270" t="s">
        <v>76</v>
      </c>
    </row>
    <row r="271" spans="2:13" x14ac:dyDescent="0.25">
      <c r="B271" t="s">
        <v>67</v>
      </c>
      <c r="C271" s="20">
        <v>325.16666666666669</v>
      </c>
      <c r="D271" t="s">
        <v>68</v>
      </c>
      <c r="E271" t="s">
        <v>69</v>
      </c>
      <c r="F271" t="s">
        <v>70</v>
      </c>
      <c r="G271" t="s">
        <v>71</v>
      </c>
      <c r="H271" t="s">
        <v>72</v>
      </c>
      <c r="I271" t="s">
        <v>73</v>
      </c>
      <c r="J271" t="str">
        <f>"46424"</f>
        <v>46424</v>
      </c>
      <c r="K271" t="s">
        <v>347</v>
      </c>
      <c r="L271" t="s">
        <v>328</v>
      </c>
      <c r="M271" t="s">
        <v>76</v>
      </c>
    </row>
    <row r="272" spans="2:13" x14ac:dyDescent="0.25">
      <c r="B272" t="s">
        <v>67</v>
      </c>
      <c r="C272" s="20">
        <v>326.375</v>
      </c>
      <c r="D272" t="s">
        <v>68</v>
      </c>
      <c r="E272" t="s">
        <v>69</v>
      </c>
      <c r="F272" t="s">
        <v>70</v>
      </c>
      <c r="G272" t="s">
        <v>71</v>
      </c>
      <c r="H272" t="s">
        <v>72</v>
      </c>
      <c r="I272" t="s">
        <v>73</v>
      </c>
      <c r="J272" t="str">
        <f>"46425"</f>
        <v>46425</v>
      </c>
      <c r="K272" t="s">
        <v>348</v>
      </c>
      <c r="L272" t="s">
        <v>328</v>
      </c>
      <c r="M272" t="s">
        <v>76</v>
      </c>
    </row>
    <row r="273" spans="2:13" x14ac:dyDescent="0.25">
      <c r="B273" t="s">
        <v>67</v>
      </c>
      <c r="C273" s="20">
        <v>327.58333333333331</v>
      </c>
      <c r="D273" t="s">
        <v>68</v>
      </c>
      <c r="E273" t="s">
        <v>69</v>
      </c>
      <c r="F273" t="s">
        <v>70</v>
      </c>
      <c r="G273" t="s">
        <v>71</v>
      </c>
      <c r="H273" t="s">
        <v>72</v>
      </c>
      <c r="I273" t="s">
        <v>73</v>
      </c>
      <c r="J273" t="str">
        <f>"46426"</f>
        <v>46426</v>
      </c>
      <c r="K273" t="s">
        <v>349</v>
      </c>
      <c r="L273" t="s">
        <v>328</v>
      </c>
      <c r="M273" t="s">
        <v>76</v>
      </c>
    </row>
    <row r="274" spans="2:13" x14ac:dyDescent="0.25">
      <c r="B274" t="s">
        <v>67</v>
      </c>
      <c r="C274" s="20">
        <v>328.79166666666669</v>
      </c>
      <c r="D274" t="s">
        <v>68</v>
      </c>
      <c r="E274" t="s">
        <v>69</v>
      </c>
      <c r="F274" t="s">
        <v>70</v>
      </c>
      <c r="G274" t="s">
        <v>71</v>
      </c>
      <c r="H274" t="s">
        <v>72</v>
      </c>
      <c r="I274" t="s">
        <v>73</v>
      </c>
      <c r="J274" t="str">
        <f>"46427"</f>
        <v>46427</v>
      </c>
      <c r="K274" t="s">
        <v>350</v>
      </c>
      <c r="L274" t="s">
        <v>328</v>
      </c>
      <c r="M274" t="s">
        <v>76</v>
      </c>
    </row>
    <row r="275" spans="2:13" x14ac:dyDescent="0.25">
      <c r="B275" t="s">
        <v>67</v>
      </c>
      <c r="C275" s="20">
        <v>330</v>
      </c>
      <c r="D275" t="s">
        <v>68</v>
      </c>
      <c r="E275" t="s">
        <v>69</v>
      </c>
      <c r="F275" t="s">
        <v>70</v>
      </c>
      <c r="G275" t="s">
        <v>71</v>
      </c>
      <c r="H275" t="s">
        <v>72</v>
      </c>
      <c r="I275" t="s">
        <v>73</v>
      </c>
      <c r="J275" t="str">
        <f>"46428"</f>
        <v>46428</v>
      </c>
      <c r="K275" t="s">
        <v>351</v>
      </c>
      <c r="L275" t="s">
        <v>328</v>
      </c>
      <c r="M275" t="s">
        <v>76</v>
      </c>
    </row>
    <row r="276" spans="2:13" x14ac:dyDescent="0.25">
      <c r="B276" t="s">
        <v>67</v>
      </c>
      <c r="C276" s="20">
        <v>331.20833333333331</v>
      </c>
      <c r="D276" t="s">
        <v>68</v>
      </c>
      <c r="E276" t="s">
        <v>69</v>
      </c>
      <c r="F276" t="s">
        <v>70</v>
      </c>
      <c r="G276" t="s">
        <v>71</v>
      </c>
      <c r="H276" t="s">
        <v>72</v>
      </c>
      <c r="I276" t="s">
        <v>73</v>
      </c>
      <c r="J276" t="str">
        <f>"46429"</f>
        <v>46429</v>
      </c>
      <c r="K276" t="s">
        <v>352</v>
      </c>
      <c r="L276" t="s">
        <v>328</v>
      </c>
      <c r="M276" t="s">
        <v>76</v>
      </c>
    </row>
    <row r="277" spans="2:13" x14ac:dyDescent="0.25">
      <c r="B277" t="s">
        <v>67</v>
      </c>
      <c r="C277" s="20">
        <v>332.41666666666669</v>
      </c>
      <c r="D277" t="s">
        <v>68</v>
      </c>
      <c r="E277" t="s">
        <v>69</v>
      </c>
      <c r="F277" t="s">
        <v>70</v>
      </c>
      <c r="G277" t="s">
        <v>71</v>
      </c>
      <c r="H277" t="s">
        <v>72</v>
      </c>
      <c r="I277" t="s">
        <v>73</v>
      </c>
      <c r="J277" t="str">
        <f>"46430"</f>
        <v>46430</v>
      </c>
      <c r="K277" t="s">
        <v>353</v>
      </c>
      <c r="L277" t="s">
        <v>328</v>
      </c>
      <c r="M277" t="s">
        <v>76</v>
      </c>
    </row>
    <row r="278" spans="2:13" x14ac:dyDescent="0.25">
      <c r="B278" t="s">
        <v>67</v>
      </c>
      <c r="C278" s="20">
        <v>333.625</v>
      </c>
      <c r="D278" t="s">
        <v>68</v>
      </c>
      <c r="E278" t="s">
        <v>69</v>
      </c>
      <c r="F278" t="s">
        <v>70</v>
      </c>
      <c r="G278" t="s">
        <v>71</v>
      </c>
      <c r="H278" t="s">
        <v>72</v>
      </c>
      <c r="I278" t="s">
        <v>73</v>
      </c>
      <c r="J278" t="str">
        <f>"46431"</f>
        <v>46431</v>
      </c>
      <c r="K278" t="s">
        <v>354</v>
      </c>
      <c r="L278" t="s">
        <v>328</v>
      </c>
      <c r="M278" t="s">
        <v>76</v>
      </c>
    </row>
    <row r="279" spans="2:13" x14ac:dyDescent="0.25">
      <c r="B279" t="s">
        <v>67</v>
      </c>
      <c r="C279" s="20">
        <v>334.83333333333331</v>
      </c>
      <c r="D279" t="s">
        <v>68</v>
      </c>
      <c r="E279" t="s">
        <v>69</v>
      </c>
      <c r="F279" t="s">
        <v>70</v>
      </c>
      <c r="G279" t="s">
        <v>71</v>
      </c>
      <c r="H279" t="s">
        <v>72</v>
      </c>
      <c r="I279" t="s">
        <v>73</v>
      </c>
      <c r="J279" t="str">
        <f>"46432"</f>
        <v>46432</v>
      </c>
      <c r="K279" t="s">
        <v>355</v>
      </c>
      <c r="L279" t="s">
        <v>328</v>
      </c>
      <c r="M279" t="s">
        <v>76</v>
      </c>
    </row>
    <row r="280" spans="2:13" x14ac:dyDescent="0.25">
      <c r="B280" t="s">
        <v>67</v>
      </c>
      <c r="C280" s="20">
        <v>336.04166666666669</v>
      </c>
      <c r="D280" t="s">
        <v>68</v>
      </c>
      <c r="E280" t="s">
        <v>69</v>
      </c>
      <c r="F280" t="s">
        <v>70</v>
      </c>
      <c r="G280" t="s">
        <v>71</v>
      </c>
      <c r="H280" t="s">
        <v>72</v>
      </c>
      <c r="I280" t="s">
        <v>73</v>
      </c>
      <c r="J280" t="str">
        <f>"46433"</f>
        <v>46433</v>
      </c>
      <c r="K280" t="s">
        <v>356</v>
      </c>
      <c r="L280" t="s">
        <v>328</v>
      </c>
      <c r="M280" t="s">
        <v>76</v>
      </c>
    </row>
    <row r="281" spans="2:13" x14ac:dyDescent="0.25">
      <c r="B281" t="s">
        <v>67</v>
      </c>
      <c r="C281" s="20">
        <v>337.25</v>
      </c>
      <c r="D281" t="s">
        <v>68</v>
      </c>
      <c r="E281" t="s">
        <v>69</v>
      </c>
      <c r="F281" t="s">
        <v>70</v>
      </c>
      <c r="G281" t="s">
        <v>71</v>
      </c>
      <c r="H281" t="s">
        <v>72</v>
      </c>
      <c r="I281" t="s">
        <v>73</v>
      </c>
      <c r="J281" t="str">
        <f>"46434"</f>
        <v>46434</v>
      </c>
      <c r="K281" t="s">
        <v>357</v>
      </c>
      <c r="L281" t="s">
        <v>328</v>
      </c>
      <c r="M281" t="s">
        <v>76</v>
      </c>
    </row>
    <row r="282" spans="2:13" x14ac:dyDescent="0.25">
      <c r="B282" t="s">
        <v>67</v>
      </c>
      <c r="C282" s="20">
        <v>338.45833333333331</v>
      </c>
      <c r="D282" t="s">
        <v>68</v>
      </c>
      <c r="E282" t="s">
        <v>69</v>
      </c>
      <c r="F282" t="s">
        <v>70</v>
      </c>
      <c r="G282" t="s">
        <v>71</v>
      </c>
      <c r="H282" t="s">
        <v>72</v>
      </c>
      <c r="I282" t="s">
        <v>73</v>
      </c>
      <c r="J282" t="str">
        <f>"46435"</f>
        <v>46435</v>
      </c>
      <c r="K282" t="s">
        <v>358</v>
      </c>
      <c r="L282" t="s">
        <v>328</v>
      </c>
      <c r="M282" t="s">
        <v>76</v>
      </c>
    </row>
    <row r="283" spans="2:13" x14ac:dyDescent="0.25">
      <c r="B283" t="s">
        <v>67</v>
      </c>
      <c r="C283" s="20">
        <v>339.66666666666669</v>
      </c>
      <c r="D283" t="s">
        <v>68</v>
      </c>
      <c r="E283" t="s">
        <v>69</v>
      </c>
      <c r="F283" t="s">
        <v>70</v>
      </c>
      <c r="G283" t="s">
        <v>71</v>
      </c>
      <c r="H283" t="s">
        <v>72</v>
      </c>
      <c r="I283" t="s">
        <v>73</v>
      </c>
      <c r="J283" t="str">
        <f>"46436"</f>
        <v>46436</v>
      </c>
      <c r="K283" t="s">
        <v>359</v>
      </c>
      <c r="L283" t="s">
        <v>328</v>
      </c>
      <c r="M283" t="s">
        <v>76</v>
      </c>
    </row>
    <row r="284" spans="2:13" x14ac:dyDescent="0.25">
      <c r="B284" t="s">
        <v>67</v>
      </c>
      <c r="C284" s="20">
        <v>340.875</v>
      </c>
      <c r="D284" t="s">
        <v>68</v>
      </c>
      <c r="E284" t="s">
        <v>69</v>
      </c>
      <c r="F284" t="s">
        <v>70</v>
      </c>
      <c r="G284" t="s">
        <v>71</v>
      </c>
      <c r="H284" t="s">
        <v>72</v>
      </c>
      <c r="I284" t="s">
        <v>73</v>
      </c>
      <c r="J284" t="str">
        <f>"46437"</f>
        <v>46437</v>
      </c>
      <c r="K284" t="s">
        <v>360</v>
      </c>
      <c r="L284" t="s">
        <v>328</v>
      </c>
      <c r="M284" t="s">
        <v>76</v>
      </c>
    </row>
    <row r="285" spans="2:13" x14ac:dyDescent="0.25">
      <c r="B285" t="s">
        <v>67</v>
      </c>
      <c r="C285" s="20">
        <v>342.08333333333331</v>
      </c>
      <c r="D285" t="s">
        <v>68</v>
      </c>
      <c r="E285" t="s">
        <v>69</v>
      </c>
      <c r="F285" t="s">
        <v>70</v>
      </c>
      <c r="G285" t="s">
        <v>71</v>
      </c>
      <c r="H285" t="s">
        <v>72</v>
      </c>
      <c r="I285" t="s">
        <v>73</v>
      </c>
      <c r="J285" t="str">
        <f>"46438"</f>
        <v>46438</v>
      </c>
      <c r="K285" t="s">
        <v>361</v>
      </c>
      <c r="L285" t="s">
        <v>328</v>
      </c>
      <c r="M285" t="s">
        <v>76</v>
      </c>
    </row>
    <row r="286" spans="2:13" x14ac:dyDescent="0.25">
      <c r="B286" t="s">
        <v>67</v>
      </c>
      <c r="C286" s="20">
        <v>343.29166666666669</v>
      </c>
      <c r="D286" t="s">
        <v>68</v>
      </c>
      <c r="E286" t="s">
        <v>69</v>
      </c>
      <c r="F286" t="s">
        <v>70</v>
      </c>
      <c r="G286" t="s">
        <v>71</v>
      </c>
      <c r="H286" t="s">
        <v>72</v>
      </c>
      <c r="I286" t="s">
        <v>73</v>
      </c>
      <c r="J286" t="str">
        <f>"46439"</f>
        <v>46439</v>
      </c>
      <c r="K286" t="s">
        <v>362</v>
      </c>
      <c r="L286" t="s">
        <v>328</v>
      </c>
      <c r="M286" t="s">
        <v>76</v>
      </c>
    </row>
    <row r="287" spans="2:13" x14ac:dyDescent="0.25">
      <c r="B287" t="s">
        <v>67</v>
      </c>
      <c r="C287" s="20">
        <v>344.5</v>
      </c>
      <c r="D287" t="s">
        <v>68</v>
      </c>
      <c r="E287" t="s">
        <v>69</v>
      </c>
      <c r="F287" t="s">
        <v>70</v>
      </c>
      <c r="G287" t="s">
        <v>71</v>
      </c>
      <c r="H287" t="s">
        <v>72</v>
      </c>
      <c r="I287" t="s">
        <v>73</v>
      </c>
      <c r="J287" t="str">
        <f>"46440"</f>
        <v>46440</v>
      </c>
      <c r="K287" t="s">
        <v>363</v>
      </c>
      <c r="L287" t="s">
        <v>328</v>
      </c>
      <c r="M287" t="s">
        <v>76</v>
      </c>
    </row>
    <row r="288" spans="2:13" x14ac:dyDescent="0.25">
      <c r="B288" t="s">
        <v>67</v>
      </c>
      <c r="C288" s="20">
        <v>345.70833333333331</v>
      </c>
      <c r="D288" t="s">
        <v>68</v>
      </c>
      <c r="E288" t="s">
        <v>69</v>
      </c>
      <c r="F288" t="s">
        <v>70</v>
      </c>
      <c r="G288" t="s">
        <v>71</v>
      </c>
      <c r="H288" t="s">
        <v>72</v>
      </c>
      <c r="I288" t="s">
        <v>73</v>
      </c>
      <c r="J288" t="str">
        <f>"46441"</f>
        <v>46441</v>
      </c>
      <c r="K288" t="s">
        <v>364</v>
      </c>
      <c r="L288" t="s">
        <v>328</v>
      </c>
      <c r="M288" t="s">
        <v>76</v>
      </c>
    </row>
    <row r="289" spans="2:13" x14ac:dyDescent="0.25">
      <c r="B289" t="s">
        <v>67</v>
      </c>
      <c r="C289" s="20">
        <v>346.91666666666669</v>
      </c>
      <c r="D289" t="s">
        <v>68</v>
      </c>
      <c r="E289" t="s">
        <v>69</v>
      </c>
      <c r="F289" t="s">
        <v>70</v>
      </c>
      <c r="G289" t="s">
        <v>71</v>
      </c>
      <c r="H289" t="s">
        <v>72</v>
      </c>
      <c r="I289" t="s">
        <v>73</v>
      </c>
      <c r="J289" t="str">
        <f>"46442"</f>
        <v>46442</v>
      </c>
      <c r="K289" t="s">
        <v>365</v>
      </c>
      <c r="L289" t="s">
        <v>328</v>
      </c>
      <c r="M289" t="s">
        <v>76</v>
      </c>
    </row>
    <row r="290" spans="2:13" x14ac:dyDescent="0.25">
      <c r="B290" t="s">
        <v>67</v>
      </c>
      <c r="C290" s="20">
        <v>348.125</v>
      </c>
      <c r="D290" t="s">
        <v>68</v>
      </c>
      <c r="E290" t="s">
        <v>69</v>
      </c>
      <c r="F290" t="s">
        <v>70</v>
      </c>
      <c r="G290" t="s">
        <v>71</v>
      </c>
      <c r="H290" t="s">
        <v>72</v>
      </c>
      <c r="I290" t="s">
        <v>73</v>
      </c>
      <c r="J290" t="str">
        <f>"46443"</f>
        <v>46443</v>
      </c>
      <c r="K290" t="s">
        <v>366</v>
      </c>
      <c r="L290" t="s">
        <v>328</v>
      </c>
      <c r="M290" t="s">
        <v>76</v>
      </c>
    </row>
    <row r="291" spans="2:13" x14ac:dyDescent="0.25">
      <c r="B291" t="s">
        <v>67</v>
      </c>
      <c r="C291" s="20">
        <v>349.33333333333331</v>
      </c>
      <c r="D291" t="s">
        <v>68</v>
      </c>
      <c r="E291" t="s">
        <v>69</v>
      </c>
      <c r="F291" t="s">
        <v>70</v>
      </c>
      <c r="G291" t="s">
        <v>71</v>
      </c>
      <c r="H291" t="s">
        <v>72</v>
      </c>
      <c r="I291" t="s">
        <v>73</v>
      </c>
      <c r="J291" t="str">
        <f>"46444"</f>
        <v>46444</v>
      </c>
      <c r="K291" t="s">
        <v>367</v>
      </c>
      <c r="L291" t="s">
        <v>328</v>
      </c>
      <c r="M291" t="s">
        <v>76</v>
      </c>
    </row>
    <row r="292" spans="2:13" x14ac:dyDescent="0.25">
      <c r="B292" t="s">
        <v>67</v>
      </c>
      <c r="C292" s="20">
        <v>350.54166666666669</v>
      </c>
      <c r="D292" t="s">
        <v>68</v>
      </c>
      <c r="E292" t="s">
        <v>69</v>
      </c>
      <c r="F292" t="s">
        <v>70</v>
      </c>
      <c r="G292" t="s">
        <v>71</v>
      </c>
      <c r="H292" t="s">
        <v>72</v>
      </c>
      <c r="I292" t="s">
        <v>73</v>
      </c>
      <c r="J292" t="str">
        <f>"46445"</f>
        <v>46445</v>
      </c>
      <c r="K292" t="s">
        <v>368</v>
      </c>
      <c r="L292" t="s">
        <v>328</v>
      </c>
      <c r="M292" t="s">
        <v>76</v>
      </c>
    </row>
    <row r="293" spans="2:13" x14ac:dyDescent="0.25">
      <c r="B293" t="s">
        <v>67</v>
      </c>
      <c r="C293" s="20">
        <v>351.75</v>
      </c>
      <c r="D293" t="s">
        <v>68</v>
      </c>
      <c r="E293" t="s">
        <v>69</v>
      </c>
      <c r="F293" t="s">
        <v>70</v>
      </c>
      <c r="G293" t="s">
        <v>71</v>
      </c>
      <c r="H293" t="s">
        <v>72</v>
      </c>
      <c r="I293" t="s">
        <v>73</v>
      </c>
      <c r="J293" t="str">
        <f>"46446"</f>
        <v>46446</v>
      </c>
      <c r="K293" t="s">
        <v>369</v>
      </c>
      <c r="L293" t="s">
        <v>328</v>
      </c>
      <c r="M293" t="s">
        <v>76</v>
      </c>
    </row>
    <row r="294" spans="2:13" x14ac:dyDescent="0.25">
      <c r="B294" t="s">
        <v>67</v>
      </c>
      <c r="C294" s="20">
        <v>352.95833333333331</v>
      </c>
      <c r="D294" t="s">
        <v>68</v>
      </c>
      <c r="E294" t="s">
        <v>69</v>
      </c>
      <c r="F294" t="s">
        <v>70</v>
      </c>
      <c r="G294" t="s">
        <v>71</v>
      </c>
      <c r="H294" t="s">
        <v>72</v>
      </c>
      <c r="I294" t="s">
        <v>73</v>
      </c>
      <c r="J294" t="str">
        <f>"46447"</f>
        <v>46447</v>
      </c>
      <c r="K294" t="s">
        <v>370</v>
      </c>
      <c r="L294" t="s">
        <v>328</v>
      </c>
      <c r="M294" t="s">
        <v>76</v>
      </c>
    </row>
    <row r="295" spans="2:13" x14ac:dyDescent="0.25">
      <c r="B295" t="s">
        <v>67</v>
      </c>
      <c r="C295" s="20">
        <v>354.16666666666669</v>
      </c>
      <c r="D295" t="s">
        <v>68</v>
      </c>
      <c r="E295" t="s">
        <v>69</v>
      </c>
      <c r="F295" t="s">
        <v>70</v>
      </c>
      <c r="G295" t="s">
        <v>71</v>
      </c>
      <c r="H295" t="s">
        <v>72</v>
      </c>
      <c r="I295" t="s">
        <v>73</v>
      </c>
      <c r="J295" t="str">
        <f>"46448"</f>
        <v>46448</v>
      </c>
      <c r="K295" t="s">
        <v>371</v>
      </c>
      <c r="L295" t="s">
        <v>328</v>
      </c>
      <c r="M295" t="s">
        <v>76</v>
      </c>
    </row>
    <row r="296" spans="2:13" x14ac:dyDescent="0.25">
      <c r="B296" t="s">
        <v>67</v>
      </c>
      <c r="C296" s="20">
        <v>355.375</v>
      </c>
      <c r="D296" t="s">
        <v>68</v>
      </c>
      <c r="E296" t="s">
        <v>69</v>
      </c>
      <c r="F296" t="s">
        <v>70</v>
      </c>
      <c r="G296" t="s">
        <v>71</v>
      </c>
      <c r="H296" t="s">
        <v>72</v>
      </c>
      <c r="I296" t="s">
        <v>73</v>
      </c>
      <c r="J296" t="str">
        <f>"46449"</f>
        <v>46449</v>
      </c>
      <c r="K296" t="s">
        <v>372</v>
      </c>
      <c r="L296" t="s">
        <v>328</v>
      </c>
      <c r="M296" t="s">
        <v>76</v>
      </c>
    </row>
    <row r="297" spans="2:13" x14ac:dyDescent="0.25">
      <c r="B297" t="s">
        <v>67</v>
      </c>
      <c r="C297" s="20">
        <v>356.58333333333331</v>
      </c>
      <c r="D297" t="s">
        <v>68</v>
      </c>
      <c r="E297" t="s">
        <v>69</v>
      </c>
      <c r="F297" t="s">
        <v>70</v>
      </c>
      <c r="G297" t="s">
        <v>71</v>
      </c>
      <c r="H297" t="s">
        <v>72</v>
      </c>
      <c r="I297" t="s">
        <v>73</v>
      </c>
      <c r="J297" t="str">
        <f>"46450"</f>
        <v>46450</v>
      </c>
      <c r="K297" t="s">
        <v>373</v>
      </c>
      <c r="L297" t="s">
        <v>328</v>
      </c>
      <c r="M297" t="s">
        <v>76</v>
      </c>
    </row>
    <row r="298" spans="2:13" x14ac:dyDescent="0.25">
      <c r="B298" t="s">
        <v>67</v>
      </c>
      <c r="C298" s="20">
        <v>357.79166666666669</v>
      </c>
      <c r="D298" t="s">
        <v>68</v>
      </c>
      <c r="E298" t="s">
        <v>69</v>
      </c>
      <c r="F298" t="s">
        <v>70</v>
      </c>
      <c r="G298" t="s">
        <v>71</v>
      </c>
      <c r="H298" t="s">
        <v>72</v>
      </c>
      <c r="I298" t="s">
        <v>73</v>
      </c>
      <c r="J298" t="str">
        <f>"46451"</f>
        <v>46451</v>
      </c>
      <c r="K298" t="s">
        <v>374</v>
      </c>
      <c r="L298" t="s">
        <v>328</v>
      </c>
      <c r="M298" t="s">
        <v>76</v>
      </c>
    </row>
    <row r="299" spans="2:13" x14ac:dyDescent="0.25">
      <c r="B299" t="s">
        <v>67</v>
      </c>
      <c r="C299" s="20">
        <v>359</v>
      </c>
      <c r="D299" t="s">
        <v>68</v>
      </c>
      <c r="E299" t="s">
        <v>69</v>
      </c>
      <c r="F299" t="s">
        <v>70</v>
      </c>
      <c r="G299" t="s">
        <v>71</v>
      </c>
      <c r="H299" t="s">
        <v>72</v>
      </c>
      <c r="I299" t="s">
        <v>73</v>
      </c>
      <c r="J299" t="str">
        <f>"46452"</f>
        <v>46452</v>
      </c>
      <c r="K299" t="s">
        <v>375</v>
      </c>
      <c r="L299" t="s">
        <v>328</v>
      </c>
      <c r="M299" t="s">
        <v>76</v>
      </c>
    </row>
    <row r="300" spans="2:13" x14ac:dyDescent="0.25">
      <c r="B300" t="s">
        <v>67</v>
      </c>
      <c r="C300" s="20">
        <v>360.20833333333331</v>
      </c>
      <c r="D300" t="s">
        <v>68</v>
      </c>
      <c r="E300" t="s">
        <v>69</v>
      </c>
      <c r="F300" t="s">
        <v>70</v>
      </c>
      <c r="G300" t="s">
        <v>71</v>
      </c>
      <c r="H300" t="s">
        <v>72</v>
      </c>
      <c r="I300" t="s">
        <v>73</v>
      </c>
      <c r="J300" t="str">
        <f>"46453"</f>
        <v>46453</v>
      </c>
      <c r="K300" t="s">
        <v>376</v>
      </c>
      <c r="L300" t="s">
        <v>328</v>
      </c>
      <c r="M300" t="s">
        <v>76</v>
      </c>
    </row>
    <row r="301" spans="2:13" x14ac:dyDescent="0.25">
      <c r="B301" t="s">
        <v>67</v>
      </c>
      <c r="C301" s="20">
        <v>361.41666666666669</v>
      </c>
      <c r="D301" t="s">
        <v>68</v>
      </c>
      <c r="E301" t="s">
        <v>69</v>
      </c>
      <c r="F301" t="s">
        <v>70</v>
      </c>
      <c r="G301" t="s">
        <v>71</v>
      </c>
      <c r="H301" t="s">
        <v>72</v>
      </c>
      <c r="I301" t="s">
        <v>73</v>
      </c>
      <c r="J301" t="str">
        <f>"46454"</f>
        <v>46454</v>
      </c>
      <c r="K301" t="s">
        <v>377</v>
      </c>
      <c r="L301" t="s">
        <v>328</v>
      </c>
      <c r="M301" t="s">
        <v>76</v>
      </c>
    </row>
    <row r="302" spans="2:13" x14ac:dyDescent="0.25">
      <c r="B302" t="s">
        <v>67</v>
      </c>
      <c r="C302" s="20">
        <v>362.625</v>
      </c>
      <c r="D302" t="s">
        <v>68</v>
      </c>
      <c r="E302" t="s">
        <v>69</v>
      </c>
      <c r="F302" t="s">
        <v>70</v>
      </c>
      <c r="G302" t="s">
        <v>71</v>
      </c>
      <c r="H302" t="s">
        <v>72</v>
      </c>
      <c r="I302" t="s">
        <v>73</v>
      </c>
      <c r="J302" t="str">
        <f>"46455"</f>
        <v>46455</v>
      </c>
      <c r="K302" t="s">
        <v>378</v>
      </c>
      <c r="L302" t="s">
        <v>328</v>
      </c>
      <c r="M302" t="s">
        <v>76</v>
      </c>
    </row>
    <row r="303" spans="2:13" x14ac:dyDescent="0.25">
      <c r="B303" t="s">
        <v>67</v>
      </c>
      <c r="C303" s="20">
        <v>363.83333333333331</v>
      </c>
      <c r="D303" t="s">
        <v>68</v>
      </c>
      <c r="E303" t="s">
        <v>69</v>
      </c>
      <c r="F303" t="s">
        <v>70</v>
      </c>
      <c r="G303" t="s">
        <v>71</v>
      </c>
      <c r="H303" t="s">
        <v>72</v>
      </c>
      <c r="I303" t="s">
        <v>73</v>
      </c>
      <c r="J303" t="str">
        <f>"46456"</f>
        <v>46456</v>
      </c>
      <c r="K303" t="s">
        <v>379</v>
      </c>
      <c r="L303" t="s">
        <v>328</v>
      </c>
      <c r="M303" t="s">
        <v>76</v>
      </c>
    </row>
    <row r="304" spans="2:13" x14ac:dyDescent="0.25">
      <c r="B304" t="s">
        <v>67</v>
      </c>
      <c r="C304" s="20">
        <v>365.04166666666669</v>
      </c>
      <c r="D304" t="s">
        <v>68</v>
      </c>
      <c r="E304" t="s">
        <v>69</v>
      </c>
      <c r="F304" t="s">
        <v>70</v>
      </c>
      <c r="G304" t="s">
        <v>71</v>
      </c>
      <c r="H304" t="s">
        <v>72</v>
      </c>
      <c r="I304" t="s">
        <v>73</v>
      </c>
      <c r="J304" t="str">
        <f>"46457"</f>
        <v>46457</v>
      </c>
      <c r="K304" t="s">
        <v>380</v>
      </c>
      <c r="L304" t="s">
        <v>328</v>
      </c>
      <c r="M304" t="s">
        <v>76</v>
      </c>
    </row>
    <row r="305" spans="2:13" x14ac:dyDescent="0.25">
      <c r="B305" t="s">
        <v>67</v>
      </c>
      <c r="C305" s="20">
        <v>366.25</v>
      </c>
      <c r="D305" t="s">
        <v>68</v>
      </c>
      <c r="E305" t="s">
        <v>69</v>
      </c>
      <c r="F305" t="s">
        <v>70</v>
      </c>
      <c r="G305" t="s">
        <v>71</v>
      </c>
      <c r="H305" t="s">
        <v>72</v>
      </c>
      <c r="I305" t="s">
        <v>73</v>
      </c>
      <c r="J305" t="str">
        <f>"46458"</f>
        <v>46458</v>
      </c>
      <c r="K305" t="s">
        <v>381</v>
      </c>
      <c r="L305" t="s">
        <v>328</v>
      </c>
      <c r="M305" t="s">
        <v>76</v>
      </c>
    </row>
    <row r="306" spans="2:13" x14ac:dyDescent="0.25">
      <c r="B306" t="s">
        <v>67</v>
      </c>
      <c r="C306" s="20">
        <v>367.45833333333331</v>
      </c>
      <c r="D306" t="s">
        <v>68</v>
      </c>
      <c r="E306" t="s">
        <v>69</v>
      </c>
      <c r="F306" t="s">
        <v>70</v>
      </c>
      <c r="G306" t="s">
        <v>71</v>
      </c>
      <c r="H306" t="s">
        <v>72</v>
      </c>
      <c r="I306" t="s">
        <v>73</v>
      </c>
      <c r="J306" t="str">
        <f>"46459"</f>
        <v>46459</v>
      </c>
      <c r="K306" t="s">
        <v>382</v>
      </c>
      <c r="L306" t="s">
        <v>328</v>
      </c>
      <c r="M306" t="s">
        <v>76</v>
      </c>
    </row>
    <row r="307" spans="2:13" x14ac:dyDescent="0.25">
      <c r="B307" t="s">
        <v>67</v>
      </c>
      <c r="C307" s="20">
        <v>368.66666666666669</v>
      </c>
      <c r="D307" t="s">
        <v>68</v>
      </c>
      <c r="E307" t="s">
        <v>69</v>
      </c>
      <c r="F307" t="s">
        <v>70</v>
      </c>
      <c r="G307" t="s">
        <v>71</v>
      </c>
      <c r="H307" t="s">
        <v>72</v>
      </c>
      <c r="I307" t="s">
        <v>73</v>
      </c>
      <c r="J307" t="str">
        <f>"46460"</f>
        <v>46460</v>
      </c>
      <c r="K307" t="s">
        <v>383</v>
      </c>
      <c r="L307" t="s">
        <v>328</v>
      </c>
      <c r="M307" t="s">
        <v>76</v>
      </c>
    </row>
    <row r="308" spans="2:13" x14ac:dyDescent="0.25">
      <c r="B308" t="s">
        <v>67</v>
      </c>
      <c r="C308" s="20">
        <v>369.875</v>
      </c>
      <c r="D308" t="s">
        <v>68</v>
      </c>
      <c r="E308" t="s">
        <v>69</v>
      </c>
      <c r="F308" t="s">
        <v>70</v>
      </c>
      <c r="G308" t="s">
        <v>71</v>
      </c>
      <c r="H308" t="s">
        <v>72</v>
      </c>
      <c r="I308" t="s">
        <v>73</v>
      </c>
      <c r="J308" t="str">
        <f>"46461"</f>
        <v>46461</v>
      </c>
      <c r="K308" t="s">
        <v>384</v>
      </c>
      <c r="L308" t="s">
        <v>328</v>
      </c>
      <c r="M308" t="s">
        <v>76</v>
      </c>
    </row>
    <row r="309" spans="2:13" x14ac:dyDescent="0.25">
      <c r="B309" t="s">
        <v>67</v>
      </c>
      <c r="C309" s="20">
        <v>371.08333333333331</v>
      </c>
      <c r="D309" t="s">
        <v>68</v>
      </c>
      <c r="E309" t="s">
        <v>69</v>
      </c>
      <c r="F309" t="s">
        <v>70</v>
      </c>
      <c r="G309" t="s">
        <v>71</v>
      </c>
      <c r="H309" t="s">
        <v>72</v>
      </c>
      <c r="I309" t="s">
        <v>73</v>
      </c>
      <c r="J309" t="str">
        <f>"46462"</f>
        <v>46462</v>
      </c>
      <c r="K309" t="s">
        <v>385</v>
      </c>
      <c r="L309" t="s">
        <v>328</v>
      </c>
      <c r="M309" t="s">
        <v>76</v>
      </c>
    </row>
    <row r="310" spans="2:13" x14ac:dyDescent="0.25">
      <c r="B310" t="s">
        <v>67</v>
      </c>
      <c r="C310" s="20">
        <v>372.29166666666669</v>
      </c>
      <c r="D310" t="s">
        <v>68</v>
      </c>
      <c r="E310" t="s">
        <v>69</v>
      </c>
      <c r="F310" t="s">
        <v>70</v>
      </c>
      <c r="G310" t="s">
        <v>71</v>
      </c>
      <c r="H310" t="s">
        <v>72</v>
      </c>
      <c r="I310" t="s">
        <v>73</v>
      </c>
      <c r="J310" t="str">
        <f>"46463"</f>
        <v>46463</v>
      </c>
      <c r="K310" t="s">
        <v>386</v>
      </c>
      <c r="L310" t="s">
        <v>328</v>
      </c>
      <c r="M310" t="s">
        <v>76</v>
      </c>
    </row>
    <row r="311" spans="2:13" x14ac:dyDescent="0.25">
      <c r="B311" t="s">
        <v>67</v>
      </c>
      <c r="C311" s="20">
        <v>373.5</v>
      </c>
      <c r="D311" t="s">
        <v>68</v>
      </c>
      <c r="E311" t="s">
        <v>69</v>
      </c>
      <c r="F311" t="s">
        <v>70</v>
      </c>
      <c r="G311" t="s">
        <v>71</v>
      </c>
      <c r="H311" t="s">
        <v>72</v>
      </c>
      <c r="I311" t="s">
        <v>73</v>
      </c>
      <c r="J311" t="str">
        <f>"46464"</f>
        <v>46464</v>
      </c>
      <c r="K311" t="s">
        <v>387</v>
      </c>
      <c r="L311" t="s">
        <v>328</v>
      </c>
      <c r="M311" t="s">
        <v>76</v>
      </c>
    </row>
    <row r="312" spans="2:13" x14ac:dyDescent="0.25">
      <c r="B312" t="s">
        <v>67</v>
      </c>
      <c r="C312" s="20">
        <v>374.70833333333331</v>
      </c>
      <c r="D312" t="s">
        <v>68</v>
      </c>
      <c r="E312" t="s">
        <v>69</v>
      </c>
      <c r="F312" t="s">
        <v>70</v>
      </c>
      <c r="G312" t="s">
        <v>71</v>
      </c>
      <c r="H312" t="s">
        <v>72</v>
      </c>
      <c r="I312" t="s">
        <v>73</v>
      </c>
      <c r="J312" t="str">
        <f>"46465"</f>
        <v>46465</v>
      </c>
      <c r="K312" t="s">
        <v>388</v>
      </c>
      <c r="L312" t="s">
        <v>328</v>
      </c>
      <c r="M312" t="s">
        <v>76</v>
      </c>
    </row>
    <row r="313" spans="2:13" x14ac:dyDescent="0.25">
      <c r="B313" t="s">
        <v>67</v>
      </c>
      <c r="C313" s="20">
        <v>375.91666666666669</v>
      </c>
      <c r="D313" t="s">
        <v>68</v>
      </c>
      <c r="E313" t="s">
        <v>69</v>
      </c>
      <c r="F313" t="s">
        <v>70</v>
      </c>
      <c r="G313" t="s">
        <v>71</v>
      </c>
      <c r="H313" t="s">
        <v>72</v>
      </c>
      <c r="I313" t="s">
        <v>73</v>
      </c>
      <c r="J313" t="str">
        <f>"46466"</f>
        <v>46466</v>
      </c>
      <c r="K313" t="s">
        <v>389</v>
      </c>
      <c r="L313" t="s">
        <v>328</v>
      </c>
      <c r="M313" t="s">
        <v>76</v>
      </c>
    </row>
    <row r="314" spans="2:13" x14ac:dyDescent="0.25">
      <c r="B314" t="s">
        <v>67</v>
      </c>
      <c r="C314" s="20">
        <v>377.125</v>
      </c>
      <c r="D314" t="s">
        <v>68</v>
      </c>
      <c r="E314" t="s">
        <v>69</v>
      </c>
      <c r="F314" t="s">
        <v>70</v>
      </c>
      <c r="G314" t="s">
        <v>71</v>
      </c>
      <c r="H314" t="s">
        <v>72</v>
      </c>
      <c r="I314" t="s">
        <v>73</v>
      </c>
      <c r="J314" t="str">
        <f>"46467"</f>
        <v>46467</v>
      </c>
      <c r="K314" t="s">
        <v>390</v>
      </c>
      <c r="L314" t="s">
        <v>328</v>
      </c>
      <c r="M314" t="s">
        <v>76</v>
      </c>
    </row>
    <row r="315" spans="2:13" x14ac:dyDescent="0.25">
      <c r="B315" t="s">
        <v>67</v>
      </c>
      <c r="C315" s="20">
        <v>378.33333333333331</v>
      </c>
      <c r="D315" t="s">
        <v>68</v>
      </c>
      <c r="E315" t="s">
        <v>69</v>
      </c>
      <c r="F315" t="s">
        <v>70</v>
      </c>
      <c r="G315" t="s">
        <v>71</v>
      </c>
      <c r="H315" t="s">
        <v>72</v>
      </c>
      <c r="I315" t="s">
        <v>73</v>
      </c>
      <c r="J315" t="str">
        <f>"46468"</f>
        <v>46468</v>
      </c>
      <c r="K315" t="s">
        <v>391</v>
      </c>
      <c r="L315" t="s">
        <v>328</v>
      </c>
      <c r="M315" t="s">
        <v>76</v>
      </c>
    </row>
    <row r="316" spans="2:13" x14ac:dyDescent="0.25">
      <c r="B316" t="s">
        <v>67</v>
      </c>
      <c r="C316" s="20">
        <v>379.54166666666669</v>
      </c>
      <c r="D316" t="s">
        <v>68</v>
      </c>
      <c r="E316" t="s">
        <v>69</v>
      </c>
      <c r="F316" t="s">
        <v>70</v>
      </c>
      <c r="G316" t="s">
        <v>71</v>
      </c>
      <c r="H316" t="s">
        <v>72</v>
      </c>
      <c r="I316" t="s">
        <v>73</v>
      </c>
      <c r="J316" t="str">
        <f>"46469"</f>
        <v>46469</v>
      </c>
      <c r="K316" t="s">
        <v>392</v>
      </c>
      <c r="L316" t="s">
        <v>328</v>
      </c>
      <c r="M316" t="s">
        <v>76</v>
      </c>
    </row>
    <row r="317" spans="2:13" x14ac:dyDescent="0.25">
      <c r="B317" t="s">
        <v>67</v>
      </c>
      <c r="C317" s="20">
        <v>380.75</v>
      </c>
      <c r="D317" t="s">
        <v>68</v>
      </c>
      <c r="E317" t="s">
        <v>69</v>
      </c>
      <c r="F317" t="s">
        <v>70</v>
      </c>
      <c r="G317" t="s">
        <v>71</v>
      </c>
      <c r="H317" t="s">
        <v>72</v>
      </c>
      <c r="I317" t="s">
        <v>73</v>
      </c>
      <c r="J317" t="str">
        <f>"46470"</f>
        <v>46470</v>
      </c>
      <c r="K317" t="s">
        <v>393</v>
      </c>
      <c r="L317" t="s">
        <v>328</v>
      </c>
      <c r="M317" t="s">
        <v>76</v>
      </c>
    </row>
    <row r="318" spans="2:13" x14ac:dyDescent="0.25">
      <c r="B318" t="s">
        <v>67</v>
      </c>
      <c r="C318" s="20">
        <v>381.95833333333331</v>
      </c>
      <c r="D318" t="s">
        <v>68</v>
      </c>
      <c r="E318" t="s">
        <v>69</v>
      </c>
      <c r="F318" t="s">
        <v>70</v>
      </c>
      <c r="G318" t="s">
        <v>71</v>
      </c>
      <c r="H318" t="s">
        <v>72</v>
      </c>
      <c r="I318" t="s">
        <v>73</v>
      </c>
      <c r="J318" t="str">
        <f>"46471"</f>
        <v>46471</v>
      </c>
      <c r="K318" t="s">
        <v>394</v>
      </c>
      <c r="L318" t="s">
        <v>328</v>
      </c>
      <c r="M318" t="s">
        <v>76</v>
      </c>
    </row>
    <row r="319" spans="2:13" x14ac:dyDescent="0.25">
      <c r="B319" t="s">
        <v>67</v>
      </c>
      <c r="C319" s="20">
        <v>383.16666666666669</v>
      </c>
      <c r="D319" t="s">
        <v>68</v>
      </c>
      <c r="E319" t="s">
        <v>69</v>
      </c>
      <c r="F319" t="s">
        <v>70</v>
      </c>
      <c r="G319" t="s">
        <v>71</v>
      </c>
      <c r="H319" t="s">
        <v>72</v>
      </c>
      <c r="I319" t="s">
        <v>73</v>
      </c>
      <c r="J319" t="str">
        <f>"46472"</f>
        <v>46472</v>
      </c>
      <c r="K319" t="s">
        <v>395</v>
      </c>
      <c r="L319" t="s">
        <v>328</v>
      </c>
      <c r="M319" t="s">
        <v>76</v>
      </c>
    </row>
    <row r="320" spans="2:13" x14ac:dyDescent="0.25">
      <c r="B320" t="s">
        <v>67</v>
      </c>
      <c r="C320" s="20">
        <v>384.375</v>
      </c>
      <c r="D320" t="s">
        <v>68</v>
      </c>
      <c r="E320" t="s">
        <v>69</v>
      </c>
      <c r="F320" t="s">
        <v>70</v>
      </c>
      <c r="G320" t="s">
        <v>71</v>
      </c>
      <c r="H320" t="s">
        <v>72</v>
      </c>
      <c r="I320" t="s">
        <v>73</v>
      </c>
      <c r="J320" t="str">
        <f>"46473"</f>
        <v>46473</v>
      </c>
      <c r="K320" t="s">
        <v>396</v>
      </c>
      <c r="L320" t="s">
        <v>328</v>
      </c>
      <c r="M320" t="s">
        <v>76</v>
      </c>
    </row>
    <row r="321" spans="2:13" x14ac:dyDescent="0.25">
      <c r="B321" t="s">
        <v>67</v>
      </c>
      <c r="C321" s="20">
        <v>385.58333333333331</v>
      </c>
      <c r="D321" t="s">
        <v>68</v>
      </c>
      <c r="E321" t="s">
        <v>69</v>
      </c>
      <c r="F321" t="s">
        <v>70</v>
      </c>
      <c r="G321" t="s">
        <v>71</v>
      </c>
      <c r="H321" t="s">
        <v>72</v>
      </c>
      <c r="I321" t="s">
        <v>73</v>
      </c>
      <c r="J321" t="str">
        <f>"46474"</f>
        <v>46474</v>
      </c>
      <c r="K321" t="s">
        <v>397</v>
      </c>
      <c r="L321" t="s">
        <v>328</v>
      </c>
      <c r="M321" t="s">
        <v>76</v>
      </c>
    </row>
    <row r="322" spans="2:13" x14ac:dyDescent="0.25">
      <c r="B322" t="s">
        <v>67</v>
      </c>
      <c r="C322" s="20">
        <v>386.79166666666669</v>
      </c>
      <c r="D322" t="s">
        <v>68</v>
      </c>
      <c r="E322" t="s">
        <v>69</v>
      </c>
      <c r="F322" t="s">
        <v>70</v>
      </c>
      <c r="G322" t="s">
        <v>71</v>
      </c>
      <c r="H322" t="s">
        <v>72</v>
      </c>
      <c r="I322" t="s">
        <v>73</v>
      </c>
      <c r="J322" t="str">
        <f>"46475"</f>
        <v>46475</v>
      </c>
      <c r="K322" t="s">
        <v>398</v>
      </c>
      <c r="L322" t="s">
        <v>328</v>
      </c>
      <c r="M322" t="s">
        <v>76</v>
      </c>
    </row>
    <row r="323" spans="2:13" x14ac:dyDescent="0.25">
      <c r="B323" t="s">
        <v>67</v>
      </c>
      <c r="C323" s="20">
        <v>388</v>
      </c>
      <c r="D323" t="s">
        <v>68</v>
      </c>
      <c r="E323" t="s">
        <v>69</v>
      </c>
      <c r="F323" t="s">
        <v>70</v>
      </c>
      <c r="G323" t="s">
        <v>71</v>
      </c>
      <c r="H323" t="s">
        <v>72</v>
      </c>
      <c r="I323" t="s">
        <v>73</v>
      </c>
      <c r="J323" t="str">
        <f>"46476"</f>
        <v>46476</v>
      </c>
      <c r="K323" t="s">
        <v>399</v>
      </c>
      <c r="L323" t="s">
        <v>328</v>
      </c>
      <c r="M323" t="s">
        <v>76</v>
      </c>
    </row>
    <row r="324" spans="2:13" x14ac:dyDescent="0.25">
      <c r="B324" t="s">
        <v>67</v>
      </c>
      <c r="C324" s="20">
        <v>389.20833333333331</v>
      </c>
      <c r="D324" t="s">
        <v>68</v>
      </c>
      <c r="E324" t="s">
        <v>69</v>
      </c>
      <c r="F324" t="s">
        <v>70</v>
      </c>
      <c r="G324" t="s">
        <v>71</v>
      </c>
      <c r="H324" t="s">
        <v>72</v>
      </c>
      <c r="I324" t="s">
        <v>73</v>
      </c>
      <c r="J324" t="str">
        <f>"46477"</f>
        <v>46477</v>
      </c>
      <c r="K324" t="s">
        <v>400</v>
      </c>
      <c r="L324" t="s">
        <v>328</v>
      </c>
      <c r="M324" t="s">
        <v>76</v>
      </c>
    </row>
    <row r="325" spans="2:13" x14ac:dyDescent="0.25">
      <c r="B325" t="s">
        <v>67</v>
      </c>
      <c r="C325" s="20">
        <v>390.41666666666669</v>
      </c>
      <c r="D325" t="s">
        <v>68</v>
      </c>
      <c r="E325" t="s">
        <v>69</v>
      </c>
      <c r="F325" t="s">
        <v>70</v>
      </c>
      <c r="G325" t="s">
        <v>71</v>
      </c>
      <c r="H325" t="s">
        <v>72</v>
      </c>
      <c r="I325" t="s">
        <v>73</v>
      </c>
      <c r="J325" t="str">
        <f>"46478"</f>
        <v>46478</v>
      </c>
      <c r="K325" t="s">
        <v>401</v>
      </c>
      <c r="L325" t="s">
        <v>328</v>
      </c>
      <c r="M325" t="s">
        <v>76</v>
      </c>
    </row>
    <row r="326" spans="2:13" x14ac:dyDescent="0.25">
      <c r="B326" t="s">
        <v>67</v>
      </c>
      <c r="C326" s="20">
        <v>391.625</v>
      </c>
      <c r="D326" t="s">
        <v>68</v>
      </c>
      <c r="E326" t="s">
        <v>69</v>
      </c>
      <c r="F326" t="s">
        <v>70</v>
      </c>
      <c r="G326" t="s">
        <v>71</v>
      </c>
      <c r="H326" t="s">
        <v>72</v>
      </c>
      <c r="I326" t="s">
        <v>73</v>
      </c>
      <c r="J326" t="str">
        <f>"46479"</f>
        <v>46479</v>
      </c>
      <c r="K326" t="s">
        <v>402</v>
      </c>
      <c r="L326" t="s">
        <v>328</v>
      </c>
      <c r="M326" t="s">
        <v>76</v>
      </c>
    </row>
    <row r="327" spans="2:13" x14ac:dyDescent="0.25">
      <c r="B327" t="s">
        <v>67</v>
      </c>
      <c r="C327" s="20">
        <v>392.83333333333331</v>
      </c>
      <c r="D327" t="s">
        <v>68</v>
      </c>
      <c r="E327" t="s">
        <v>69</v>
      </c>
      <c r="F327" t="s">
        <v>70</v>
      </c>
      <c r="G327" t="s">
        <v>71</v>
      </c>
      <c r="H327" t="s">
        <v>72</v>
      </c>
      <c r="I327" t="s">
        <v>73</v>
      </c>
      <c r="J327" t="str">
        <f>"46480"</f>
        <v>46480</v>
      </c>
      <c r="K327" t="s">
        <v>403</v>
      </c>
      <c r="L327" t="s">
        <v>328</v>
      </c>
      <c r="M327" t="s">
        <v>76</v>
      </c>
    </row>
    <row r="328" spans="2:13" x14ac:dyDescent="0.25">
      <c r="B328" t="s">
        <v>67</v>
      </c>
      <c r="C328" s="20">
        <v>394.04166666666669</v>
      </c>
      <c r="D328" t="s">
        <v>68</v>
      </c>
      <c r="E328" t="s">
        <v>69</v>
      </c>
      <c r="F328" t="s">
        <v>70</v>
      </c>
      <c r="G328" t="s">
        <v>71</v>
      </c>
      <c r="H328" t="s">
        <v>72</v>
      </c>
      <c r="I328" t="s">
        <v>73</v>
      </c>
      <c r="J328" t="str">
        <f>"46481"</f>
        <v>46481</v>
      </c>
      <c r="K328" t="s">
        <v>404</v>
      </c>
      <c r="L328" t="s">
        <v>328</v>
      </c>
      <c r="M328" t="s">
        <v>76</v>
      </c>
    </row>
    <row r="329" spans="2:13" x14ac:dyDescent="0.25">
      <c r="B329" t="s">
        <v>67</v>
      </c>
      <c r="C329" s="20">
        <v>395.25</v>
      </c>
      <c r="D329" t="s">
        <v>68</v>
      </c>
      <c r="E329" t="s">
        <v>69</v>
      </c>
      <c r="F329" t="s">
        <v>70</v>
      </c>
      <c r="G329" t="s">
        <v>71</v>
      </c>
      <c r="H329" t="s">
        <v>72</v>
      </c>
      <c r="I329" t="s">
        <v>73</v>
      </c>
      <c r="J329" t="str">
        <f>"46482"</f>
        <v>46482</v>
      </c>
      <c r="K329" t="s">
        <v>405</v>
      </c>
      <c r="L329" t="s">
        <v>328</v>
      </c>
      <c r="M329" t="s">
        <v>76</v>
      </c>
    </row>
    <row r="330" spans="2:13" x14ac:dyDescent="0.25">
      <c r="B330" t="s">
        <v>67</v>
      </c>
      <c r="C330" s="20">
        <v>396.45833333333331</v>
      </c>
      <c r="D330" t="s">
        <v>68</v>
      </c>
      <c r="E330" t="s">
        <v>69</v>
      </c>
      <c r="F330" t="s">
        <v>70</v>
      </c>
      <c r="G330" t="s">
        <v>71</v>
      </c>
      <c r="H330" t="s">
        <v>72</v>
      </c>
      <c r="I330" t="s">
        <v>73</v>
      </c>
      <c r="J330" t="str">
        <f>"46483"</f>
        <v>46483</v>
      </c>
      <c r="K330" t="s">
        <v>406</v>
      </c>
      <c r="L330" t="s">
        <v>328</v>
      </c>
      <c r="M330" t="s">
        <v>76</v>
      </c>
    </row>
    <row r="331" spans="2:13" x14ac:dyDescent="0.25">
      <c r="B331" t="s">
        <v>67</v>
      </c>
      <c r="C331" s="20">
        <v>397.66666666666669</v>
      </c>
      <c r="D331" t="s">
        <v>68</v>
      </c>
      <c r="E331" t="s">
        <v>69</v>
      </c>
      <c r="F331" t="s">
        <v>70</v>
      </c>
      <c r="G331" t="s">
        <v>71</v>
      </c>
      <c r="H331" t="s">
        <v>72</v>
      </c>
      <c r="I331" t="s">
        <v>73</v>
      </c>
      <c r="J331" t="str">
        <f>"46484"</f>
        <v>46484</v>
      </c>
      <c r="K331" t="s">
        <v>407</v>
      </c>
      <c r="L331" t="s">
        <v>328</v>
      </c>
      <c r="M331" t="s">
        <v>76</v>
      </c>
    </row>
    <row r="332" spans="2:13" x14ac:dyDescent="0.25">
      <c r="B332" t="s">
        <v>67</v>
      </c>
      <c r="C332" s="20">
        <v>398.875</v>
      </c>
      <c r="D332" t="s">
        <v>68</v>
      </c>
      <c r="E332" t="s">
        <v>69</v>
      </c>
      <c r="F332" t="s">
        <v>70</v>
      </c>
      <c r="G332" t="s">
        <v>71</v>
      </c>
      <c r="H332" t="s">
        <v>72</v>
      </c>
      <c r="I332" t="s">
        <v>73</v>
      </c>
      <c r="J332" t="str">
        <f>"46485"</f>
        <v>46485</v>
      </c>
      <c r="K332" t="s">
        <v>408</v>
      </c>
      <c r="L332" t="s">
        <v>328</v>
      </c>
      <c r="M332" t="s">
        <v>76</v>
      </c>
    </row>
    <row r="333" spans="2:13" x14ac:dyDescent="0.25">
      <c r="B333" t="s">
        <v>67</v>
      </c>
      <c r="C333" s="20">
        <v>400.08333333333331</v>
      </c>
      <c r="D333" t="s">
        <v>68</v>
      </c>
      <c r="E333" t="s">
        <v>69</v>
      </c>
      <c r="F333" t="s">
        <v>70</v>
      </c>
      <c r="G333" t="s">
        <v>71</v>
      </c>
      <c r="H333" t="s">
        <v>72</v>
      </c>
      <c r="I333" t="s">
        <v>73</v>
      </c>
      <c r="J333" t="str">
        <f>"46486"</f>
        <v>46486</v>
      </c>
      <c r="K333" t="s">
        <v>409</v>
      </c>
      <c r="L333" t="s">
        <v>328</v>
      </c>
      <c r="M333" t="s">
        <v>76</v>
      </c>
    </row>
    <row r="334" spans="2:13" x14ac:dyDescent="0.25">
      <c r="B334" t="s">
        <v>67</v>
      </c>
      <c r="C334" s="20">
        <v>401.29166666666669</v>
      </c>
      <c r="D334" t="s">
        <v>68</v>
      </c>
      <c r="E334" t="s">
        <v>69</v>
      </c>
      <c r="F334" t="s">
        <v>70</v>
      </c>
      <c r="G334" t="s">
        <v>71</v>
      </c>
      <c r="H334" t="s">
        <v>72</v>
      </c>
      <c r="I334" t="s">
        <v>73</v>
      </c>
      <c r="J334" t="str">
        <f>"46487"</f>
        <v>46487</v>
      </c>
      <c r="K334" t="s">
        <v>410</v>
      </c>
      <c r="L334" t="s">
        <v>328</v>
      </c>
      <c r="M334" t="s">
        <v>76</v>
      </c>
    </row>
    <row r="335" spans="2:13" x14ac:dyDescent="0.25">
      <c r="B335" t="s">
        <v>67</v>
      </c>
      <c r="C335" s="20">
        <v>402.5</v>
      </c>
      <c r="D335" t="s">
        <v>68</v>
      </c>
      <c r="E335" t="s">
        <v>69</v>
      </c>
      <c r="F335" t="s">
        <v>70</v>
      </c>
      <c r="G335" t="s">
        <v>71</v>
      </c>
      <c r="H335" t="s">
        <v>72</v>
      </c>
      <c r="I335" t="s">
        <v>73</v>
      </c>
      <c r="J335" t="str">
        <f>"46488"</f>
        <v>46488</v>
      </c>
      <c r="K335" t="s">
        <v>411</v>
      </c>
      <c r="L335" t="s">
        <v>328</v>
      </c>
      <c r="M335" t="s">
        <v>76</v>
      </c>
    </row>
    <row r="336" spans="2:13" x14ac:dyDescent="0.25">
      <c r="B336" t="s">
        <v>67</v>
      </c>
      <c r="C336" s="20">
        <v>403.70833333333331</v>
      </c>
      <c r="D336" t="s">
        <v>68</v>
      </c>
      <c r="E336" t="s">
        <v>69</v>
      </c>
      <c r="F336" t="s">
        <v>70</v>
      </c>
      <c r="G336" t="s">
        <v>71</v>
      </c>
      <c r="H336" t="s">
        <v>72</v>
      </c>
      <c r="I336" t="s">
        <v>73</v>
      </c>
      <c r="J336" t="str">
        <f>"46489"</f>
        <v>46489</v>
      </c>
      <c r="K336" t="s">
        <v>412</v>
      </c>
      <c r="L336" t="s">
        <v>328</v>
      </c>
      <c r="M336" t="s">
        <v>76</v>
      </c>
    </row>
    <row r="337" spans="2:13" x14ac:dyDescent="0.25">
      <c r="B337" t="s">
        <v>67</v>
      </c>
      <c r="C337" s="20">
        <v>404.91666666666669</v>
      </c>
      <c r="D337" t="s">
        <v>68</v>
      </c>
      <c r="E337" t="s">
        <v>69</v>
      </c>
      <c r="F337" t="s">
        <v>70</v>
      </c>
      <c r="G337" t="s">
        <v>71</v>
      </c>
      <c r="H337" t="s">
        <v>72</v>
      </c>
      <c r="I337" t="s">
        <v>73</v>
      </c>
      <c r="J337" t="str">
        <f>"46490"</f>
        <v>46490</v>
      </c>
      <c r="K337" t="s">
        <v>413</v>
      </c>
      <c r="L337" t="s">
        <v>328</v>
      </c>
      <c r="M337" t="s">
        <v>76</v>
      </c>
    </row>
    <row r="338" spans="2:13" x14ac:dyDescent="0.25">
      <c r="B338" t="s">
        <v>67</v>
      </c>
      <c r="C338" s="20">
        <v>406.125</v>
      </c>
      <c r="D338" t="s">
        <v>68</v>
      </c>
      <c r="E338" t="s">
        <v>69</v>
      </c>
      <c r="F338" t="s">
        <v>70</v>
      </c>
      <c r="G338" t="s">
        <v>71</v>
      </c>
      <c r="H338" t="s">
        <v>72</v>
      </c>
      <c r="I338" t="s">
        <v>73</v>
      </c>
      <c r="J338" t="str">
        <f>"46491"</f>
        <v>46491</v>
      </c>
      <c r="K338" t="s">
        <v>414</v>
      </c>
      <c r="L338" t="s">
        <v>328</v>
      </c>
      <c r="M338" t="s">
        <v>76</v>
      </c>
    </row>
    <row r="339" spans="2:13" x14ac:dyDescent="0.25">
      <c r="B339" t="s">
        <v>67</v>
      </c>
      <c r="C339" s="20">
        <v>407.33333333333331</v>
      </c>
      <c r="D339" t="s">
        <v>68</v>
      </c>
      <c r="E339" t="s">
        <v>69</v>
      </c>
      <c r="F339" t="s">
        <v>70</v>
      </c>
      <c r="G339" t="s">
        <v>71</v>
      </c>
      <c r="H339" t="s">
        <v>72</v>
      </c>
      <c r="I339" t="s">
        <v>73</v>
      </c>
      <c r="J339" t="str">
        <f>"46492"</f>
        <v>46492</v>
      </c>
      <c r="K339" t="s">
        <v>415</v>
      </c>
      <c r="L339" t="s">
        <v>328</v>
      </c>
      <c r="M339" t="s">
        <v>76</v>
      </c>
    </row>
    <row r="340" spans="2:13" x14ac:dyDescent="0.25">
      <c r="B340" t="s">
        <v>67</v>
      </c>
      <c r="C340" s="20">
        <v>408.54166666666669</v>
      </c>
      <c r="D340" t="s">
        <v>68</v>
      </c>
      <c r="E340" t="s">
        <v>69</v>
      </c>
      <c r="F340" t="s">
        <v>70</v>
      </c>
      <c r="G340" t="s">
        <v>71</v>
      </c>
      <c r="H340" t="s">
        <v>72</v>
      </c>
      <c r="I340" t="s">
        <v>73</v>
      </c>
      <c r="J340" t="str">
        <f>"46493"</f>
        <v>46493</v>
      </c>
      <c r="K340" t="s">
        <v>416</v>
      </c>
      <c r="L340" t="s">
        <v>328</v>
      </c>
      <c r="M340" t="s">
        <v>76</v>
      </c>
    </row>
    <row r="341" spans="2:13" x14ac:dyDescent="0.25">
      <c r="B341" t="s">
        <v>67</v>
      </c>
      <c r="C341" s="20">
        <v>409.75</v>
      </c>
      <c r="D341" t="s">
        <v>68</v>
      </c>
      <c r="E341" t="s">
        <v>69</v>
      </c>
      <c r="F341" t="s">
        <v>70</v>
      </c>
      <c r="G341" t="s">
        <v>71</v>
      </c>
      <c r="H341" t="s">
        <v>72</v>
      </c>
      <c r="I341" t="s">
        <v>73</v>
      </c>
      <c r="J341" t="str">
        <f>"46494"</f>
        <v>46494</v>
      </c>
      <c r="K341" t="s">
        <v>417</v>
      </c>
      <c r="L341" t="s">
        <v>328</v>
      </c>
      <c r="M341" t="s">
        <v>76</v>
      </c>
    </row>
    <row r="342" spans="2:13" x14ac:dyDescent="0.25">
      <c r="B342" t="s">
        <v>67</v>
      </c>
      <c r="C342" s="20">
        <v>410.95833333333331</v>
      </c>
      <c r="D342" t="s">
        <v>68</v>
      </c>
      <c r="E342" t="s">
        <v>69</v>
      </c>
      <c r="F342" t="s">
        <v>70</v>
      </c>
      <c r="G342" t="s">
        <v>71</v>
      </c>
      <c r="H342" t="s">
        <v>72</v>
      </c>
      <c r="I342" t="s">
        <v>73</v>
      </c>
      <c r="J342" t="str">
        <f>"46495"</f>
        <v>46495</v>
      </c>
      <c r="K342" t="s">
        <v>418</v>
      </c>
      <c r="L342" t="s">
        <v>328</v>
      </c>
      <c r="M342" t="s">
        <v>76</v>
      </c>
    </row>
    <row r="343" spans="2:13" x14ac:dyDescent="0.25">
      <c r="B343" t="s">
        <v>67</v>
      </c>
      <c r="C343" s="20">
        <v>412.16666666666669</v>
      </c>
      <c r="D343" t="s">
        <v>68</v>
      </c>
      <c r="E343" t="s">
        <v>69</v>
      </c>
      <c r="F343" t="s">
        <v>70</v>
      </c>
      <c r="G343" t="s">
        <v>71</v>
      </c>
      <c r="H343" t="s">
        <v>72</v>
      </c>
      <c r="I343" t="s">
        <v>73</v>
      </c>
      <c r="J343" t="str">
        <f>"46496"</f>
        <v>46496</v>
      </c>
      <c r="K343" t="s">
        <v>419</v>
      </c>
      <c r="L343" t="s">
        <v>328</v>
      </c>
      <c r="M343" t="s">
        <v>76</v>
      </c>
    </row>
    <row r="344" spans="2:13" x14ac:dyDescent="0.25">
      <c r="B344" t="s">
        <v>67</v>
      </c>
      <c r="C344" s="20">
        <v>413.375</v>
      </c>
      <c r="D344" t="s">
        <v>68</v>
      </c>
      <c r="E344" t="s">
        <v>69</v>
      </c>
      <c r="F344" t="s">
        <v>70</v>
      </c>
      <c r="G344" t="s">
        <v>71</v>
      </c>
      <c r="H344" t="s">
        <v>72</v>
      </c>
      <c r="I344" t="s">
        <v>73</v>
      </c>
      <c r="J344" t="str">
        <f>"46497"</f>
        <v>46497</v>
      </c>
      <c r="K344" t="s">
        <v>420</v>
      </c>
      <c r="L344" t="s">
        <v>328</v>
      </c>
      <c r="M344" t="s">
        <v>76</v>
      </c>
    </row>
    <row r="345" spans="2:13" x14ac:dyDescent="0.25">
      <c r="B345" t="s">
        <v>67</v>
      </c>
      <c r="C345" s="20">
        <v>414.58333333333331</v>
      </c>
      <c r="D345" t="s">
        <v>68</v>
      </c>
      <c r="E345" t="s">
        <v>69</v>
      </c>
      <c r="F345" t="s">
        <v>70</v>
      </c>
      <c r="G345" t="s">
        <v>71</v>
      </c>
      <c r="H345" t="s">
        <v>72</v>
      </c>
      <c r="I345" t="s">
        <v>73</v>
      </c>
      <c r="J345" t="str">
        <f>"46498"</f>
        <v>46498</v>
      </c>
      <c r="K345" t="s">
        <v>421</v>
      </c>
      <c r="L345" t="s">
        <v>328</v>
      </c>
      <c r="M345" t="s">
        <v>76</v>
      </c>
    </row>
    <row r="346" spans="2:13" x14ac:dyDescent="0.25">
      <c r="B346" t="s">
        <v>67</v>
      </c>
      <c r="C346" s="20">
        <v>415.79166666666669</v>
      </c>
      <c r="D346" t="s">
        <v>68</v>
      </c>
      <c r="E346" t="s">
        <v>69</v>
      </c>
      <c r="F346" t="s">
        <v>70</v>
      </c>
      <c r="G346" t="s">
        <v>71</v>
      </c>
      <c r="H346" t="s">
        <v>72</v>
      </c>
      <c r="I346" t="s">
        <v>73</v>
      </c>
      <c r="J346" t="str">
        <f>"46499"</f>
        <v>46499</v>
      </c>
      <c r="K346" t="s">
        <v>422</v>
      </c>
      <c r="L346" t="s">
        <v>328</v>
      </c>
      <c r="M346" t="s">
        <v>76</v>
      </c>
    </row>
    <row r="347" spans="2:13" x14ac:dyDescent="0.25">
      <c r="B347" t="s">
        <v>67</v>
      </c>
      <c r="C347" t="s">
        <v>423</v>
      </c>
      <c r="D347" t="s">
        <v>68</v>
      </c>
      <c r="E347" t="s">
        <v>69</v>
      </c>
      <c r="F347" t="s">
        <v>70</v>
      </c>
      <c r="G347" t="s">
        <v>71</v>
      </c>
      <c r="H347" t="s">
        <v>72</v>
      </c>
      <c r="I347" t="s">
        <v>73</v>
      </c>
      <c r="J347" t="str">
        <f>"46500"</f>
        <v>46500</v>
      </c>
      <c r="K347" t="s">
        <v>424</v>
      </c>
      <c r="L347" t="s">
        <v>328</v>
      </c>
      <c r="M347" t="s">
        <v>76</v>
      </c>
    </row>
    <row r="348" spans="2:13" x14ac:dyDescent="0.25">
      <c r="B348" t="s">
        <v>67</v>
      </c>
      <c r="C348" t="s">
        <v>425</v>
      </c>
      <c r="D348" t="s">
        <v>68</v>
      </c>
      <c r="E348" t="s">
        <v>69</v>
      </c>
      <c r="F348" t="s">
        <v>70</v>
      </c>
      <c r="G348" t="s">
        <v>71</v>
      </c>
      <c r="H348" t="s">
        <v>72</v>
      </c>
      <c r="I348" t="s">
        <v>73</v>
      </c>
      <c r="J348" t="str">
        <f>"46501"</f>
        <v>46501</v>
      </c>
      <c r="K348" t="s">
        <v>426</v>
      </c>
      <c r="L348" t="s">
        <v>328</v>
      </c>
      <c r="M348" t="s">
        <v>76</v>
      </c>
    </row>
    <row r="349" spans="2:13" x14ac:dyDescent="0.25">
      <c r="B349" t="s">
        <v>67</v>
      </c>
      <c r="C349" t="s">
        <v>427</v>
      </c>
      <c r="D349" t="s">
        <v>68</v>
      </c>
      <c r="E349" t="s">
        <v>69</v>
      </c>
      <c r="F349" t="s">
        <v>70</v>
      </c>
      <c r="G349" t="s">
        <v>71</v>
      </c>
      <c r="H349" t="s">
        <v>72</v>
      </c>
      <c r="I349" t="s">
        <v>73</v>
      </c>
      <c r="J349" t="str">
        <f>"46502"</f>
        <v>46502</v>
      </c>
      <c r="K349" t="s">
        <v>428</v>
      </c>
      <c r="L349" t="s">
        <v>328</v>
      </c>
      <c r="M349" t="s">
        <v>76</v>
      </c>
    </row>
    <row r="350" spans="2:13" x14ac:dyDescent="0.25">
      <c r="B350" t="s">
        <v>67</v>
      </c>
      <c r="C350" t="s">
        <v>429</v>
      </c>
      <c r="D350" t="s">
        <v>68</v>
      </c>
      <c r="E350" t="s">
        <v>69</v>
      </c>
      <c r="F350" t="s">
        <v>70</v>
      </c>
      <c r="G350" t="s">
        <v>71</v>
      </c>
      <c r="H350" t="s">
        <v>72</v>
      </c>
      <c r="I350" t="s">
        <v>73</v>
      </c>
      <c r="J350" t="str">
        <f>"46503"</f>
        <v>46503</v>
      </c>
      <c r="K350" t="s">
        <v>430</v>
      </c>
      <c r="L350" t="s">
        <v>328</v>
      </c>
      <c r="M350" t="s">
        <v>76</v>
      </c>
    </row>
    <row r="351" spans="2:13" x14ac:dyDescent="0.25">
      <c r="B351" t="s">
        <v>67</v>
      </c>
      <c r="C351" t="s">
        <v>431</v>
      </c>
      <c r="D351" t="s">
        <v>68</v>
      </c>
      <c r="E351" t="s">
        <v>69</v>
      </c>
      <c r="F351" t="s">
        <v>70</v>
      </c>
      <c r="G351" t="s">
        <v>71</v>
      </c>
      <c r="H351" t="s">
        <v>72</v>
      </c>
      <c r="I351" t="s">
        <v>73</v>
      </c>
      <c r="J351" t="str">
        <f>"46504"</f>
        <v>46504</v>
      </c>
      <c r="K351" t="s">
        <v>432</v>
      </c>
      <c r="L351" t="s">
        <v>328</v>
      </c>
      <c r="M351" t="s">
        <v>76</v>
      </c>
    </row>
    <row r="352" spans="2:13" x14ac:dyDescent="0.25">
      <c r="B352" t="s">
        <v>67</v>
      </c>
      <c r="C352" t="s">
        <v>433</v>
      </c>
      <c r="D352" t="s">
        <v>68</v>
      </c>
      <c r="E352" t="s">
        <v>69</v>
      </c>
      <c r="F352" t="s">
        <v>70</v>
      </c>
      <c r="G352" t="s">
        <v>71</v>
      </c>
      <c r="H352" t="s">
        <v>72</v>
      </c>
      <c r="I352" t="s">
        <v>73</v>
      </c>
      <c r="J352" t="str">
        <f>"46505"</f>
        <v>46505</v>
      </c>
      <c r="K352" t="s">
        <v>434</v>
      </c>
      <c r="L352" t="s">
        <v>328</v>
      </c>
      <c r="M352" t="s">
        <v>76</v>
      </c>
    </row>
    <row r="353" spans="2:13" x14ac:dyDescent="0.25">
      <c r="B353" t="s">
        <v>67</v>
      </c>
      <c r="C353" t="s">
        <v>435</v>
      </c>
      <c r="D353" t="s">
        <v>68</v>
      </c>
      <c r="E353" t="s">
        <v>69</v>
      </c>
      <c r="F353" t="s">
        <v>70</v>
      </c>
      <c r="G353" t="s">
        <v>71</v>
      </c>
      <c r="H353" t="s">
        <v>72</v>
      </c>
      <c r="I353" t="s">
        <v>73</v>
      </c>
      <c r="J353" t="str">
        <f>"46506"</f>
        <v>46506</v>
      </c>
      <c r="K353" t="s">
        <v>436</v>
      </c>
      <c r="L353" t="s">
        <v>328</v>
      </c>
      <c r="M353" t="s">
        <v>76</v>
      </c>
    </row>
    <row r="354" spans="2:13" x14ac:dyDescent="0.25">
      <c r="B354" t="s">
        <v>67</v>
      </c>
      <c r="C354" t="s">
        <v>437</v>
      </c>
      <c r="D354" t="s">
        <v>68</v>
      </c>
      <c r="E354" t="s">
        <v>69</v>
      </c>
      <c r="F354" t="s">
        <v>70</v>
      </c>
      <c r="G354" t="s">
        <v>71</v>
      </c>
      <c r="H354" t="s">
        <v>72</v>
      </c>
      <c r="I354" t="s">
        <v>73</v>
      </c>
      <c r="J354" t="str">
        <f>"46507"</f>
        <v>46507</v>
      </c>
      <c r="K354" t="s">
        <v>438</v>
      </c>
      <c r="L354" t="s">
        <v>328</v>
      </c>
      <c r="M354" t="s">
        <v>76</v>
      </c>
    </row>
    <row r="355" spans="2:13" x14ac:dyDescent="0.25">
      <c r="B355" t="s">
        <v>67</v>
      </c>
      <c r="C355" t="s">
        <v>439</v>
      </c>
      <c r="D355" t="s">
        <v>68</v>
      </c>
      <c r="E355" t="s">
        <v>69</v>
      </c>
      <c r="F355" t="s">
        <v>70</v>
      </c>
      <c r="G355" t="s">
        <v>71</v>
      </c>
      <c r="H355" t="s">
        <v>72</v>
      </c>
      <c r="I355" t="s">
        <v>73</v>
      </c>
      <c r="J355" t="str">
        <f>"46508"</f>
        <v>46508</v>
      </c>
      <c r="K355" t="s">
        <v>440</v>
      </c>
      <c r="L355" t="s">
        <v>328</v>
      </c>
      <c r="M355" t="s">
        <v>76</v>
      </c>
    </row>
    <row r="356" spans="2:13" x14ac:dyDescent="0.25">
      <c r="B356" t="s">
        <v>67</v>
      </c>
      <c r="C356" t="s">
        <v>441</v>
      </c>
      <c r="D356" t="s">
        <v>68</v>
      </c>
      <c r="E356" t="s">
        <v>69</v>
      </c>
      <c r="F356" t="s">
        <v>70</v>
      </c>
      <c r="G356" t="s">
        <v>71</v>
      </c>
      <c r="H356" t="s">
        <v>72</v>
      </c>
      <c r="I356" t="s">
        <v>73</v>
      </c>
      <c r="J356" t="str">
        <f>"46509"</f>
        <v>46509</v>
      </c>
      <c r="K356" t="s">
        <v>442</v>
      </c>
      <c r="L356" t="s">
        <v>328</v>
      </c>
      <c r="M356" t="s">
        <v>76</v>
      </c>
    </row>
    <row r="357" spans="2:13" x14ac:dyDescent="0.25">
      <c r="B357" t="s">
        <v>67</v>
      </c>
      <c r="C357" t="s">
        <v>443</v>
      </c>
      <c r="D357" t="s">
        <v>68</v>
      </c>
      <c r="E357" t="s">
        <v>69</v>
      </c>
      <c r="F357" t="s">
        <v>70</v>
      </c>
      <c r="G357" t="s">
        <v>71</v>
      </c>
      <c r="H357" t="s">
        <v>72</v>
      </c>
      <c r="I357" t="s">
        <v>73</v>
      </c>
      <c r="J357" t="str">
        <f>"46510"</f>
        <v>46510</v>
      </c>
      <c r="K357" t="s">
        <v>444</v>
      </c>
      <c r="L357" t="s">
        <v>328</v>
      </c>
      <c r="M357" t="s">
        <v>76</v>
      </c>
    </row>
    <row r="358" spans="2:13" x14ac:dyDescent="0.25">
      <c r="B358" t="s">
        <v>67</v>
      </c>
      <c r="C358" t="s">
        <v>445</v>
      </c>
      <c r="D358" t="s">
        <v>68</v>
      </c>
      <c r="E358" t="s">
        <v>69</v>
      </c>
      <c r="F358" t="s">
        <v>70</v>
      </c>
      <c r="G358" t="s">
        <v>71</v>
      </c>
      <c r="H358" t="s">
        <v>72</v>
      </c>
      <c r="I358" t="s">
        <v>73</v>
      </c>
      <c r="J358" t="str">
        <f>"46511"</f>
        <v>46511</v>
      </c>
      <c r="K358" t="s">
        <v>446</v>
      </c>
      <c r="L358" t="s">
        <v>328</v>
      </c>
      <c r="M358" t="s">
        <v>76</v>
      </c>
    </row>
    <row r="359" spans="2:13" x14ac:dyDescent="0.25">
      <c r="B359" t="s">
        <v>67</v>
      </c>
      <c r="C359" t="s">
        <v>447</v>
      </c>
      <c r="D359" t="s">
        <v>68</v>
      </c>
      <c r="E359" t="s">
        <v>69</v>
      </c>
      <c r="F359" t="s">
        <v>70</v>
      </c>
      <c r="G359" t="s">
        <v>71</v>
      </c>
      <c r="H359" t="s">
        <v>72</v>
      </c>
      <c r="I359" t="s">
        <v>73</v>
      </c>
      <c r="J359" t="str">
        <f>"46512"</f>
        <v>46512</v>
      </c>
      <c r="K359" t="s">
        <v>448</v>
      </c>
      <c r="L359" t="s">
        <v>328</v>
      </c>
      <c r="M359" t="s">
        <v>76</v>
      </c>
    </row>
    <row r="360" spans="2:13" x14ac:dyDescent="0.25">
      <c r="B360" t="s">
        <v>67</v>
      </c>
      <c r="C360" t="s">
        <v>449</v>
      </c>
      <c r="D360" t="s">
        <v>68</v>
      </c>
      <c r="E360" t="s">
        <v>69</v>
      </c>
      <c r="F360" t="s">
        <v>70</v>
      </c>
      <c r="G360" t="s">
        <v>71</v>
      </c>
      <c r="H360" t="s">
        <v>72</v>
      </c>
      <c r="I360" t="s">
        <v>73</v>
      </c>
      <c r="J360" t="str">
        <f>"46513"</f>
        <v>46513</v>
      </c>
      <c r="K360" t="s">
        <v>450</v>
      </c>
      <c r="L360" t="s">
        <v>328</v>
      </c>
      <c r="M360" t="s">
        <v>76</v>
      </c>
    </row>
    <row r="361" spans="2:13" x14ac:dyDescent="0.25">
      <c r="B361" t="s">
        <v>67</v>
      </c>
      <c r="C361" t="s">
        <v>451</v>
      </c>
      <c r="D361" t="s">
        <v>68</v>
      </c>
      <c r="E361" t="s">
        <v>69</v>
      </c>
      <c r="F361" t="s">
        <v>70</v>
      </c>
      <c r="G361" t="s">
        <v>71</v>
      </c>
      <c r="H361" t="s">
        <v>72</v>
      </c>
      <c r="I361" t="s">
        <v>73</v>
      </c>
      <c r="J361" t="str">
        <f>"46514"</f>
        <v>46514</v>
      </c>
      <c r="K361" t="s">
        <v>452</v>
      </c>
      <c r="L361" t="s">
        <v>328</v>
      </c>
      <c r="M361" t="s">
        <v>76</v>
      </c>
    </row>
    <row r="362" spans="2:13" x14ac:dyDescent="0.25">
      <c r="B362" t="s">
        <v>67</v>
      </c>
      <c r="C362" t="s">
        <v>453</v>
      </c>
      <c r="D362" t="s">
        <v>68</v>
      </c>
      <c r="E362" t="s">
        <v>69</v>
      </c>
      <c r="F362" t="s">
        <v>70</v>
      </c>
      <c r="G362" t="s">
        <v>71</v>
      </c>
      <c r="H362" t="s">
        <v>72</v>
      </c>
      <c r="I362" t="s">
        <v>73</v>
      </c>
      <c r="J362" t="str">
        <f>"46515"</f>
        <v>46515</v>
      </c>
      <c r="K362" t="s">
        <v>454</v>
      </c>
      <c r="L362" t="s">
        <v>328</v>
      </c>
      <c r="M362" t="s">
        <v>76</v>
      </c>
    </row>
    <row r="363" spans="2:13" x14ac:dyDescent="0.25">
      <c r="B363" t="s">
        <v>67</v>
      </c>
      <c r="C363" t="s">
        <v>455</v>
      </c>
      <c r="D363" t="s">
        <v>68</v>
      </c>
      <c r="E363" t="s">
        <v>69</v>
      </c>
      <c r="F363" t="s">
        <v>70</v>
      </c>
      <c r="G363" t="s">
        <v>71</v>
      </c>
      <c r="H363" t="s">
        <v>72</v>
      </c>
      <c r="I363" t="s">
        <v>73</v>
      </c>
      <c r="J363" t="str">
        <f>"46516"</f>
        <v>46516</v>
      </c>
      <c r="K363" t="s">
        <v>456</v>
      </c>
      <c r="L363" t="s">
        <v>328</v>
      </c>
      <c r="M363" t="s">
        <v>76</v>
      </c>
    </row>
    <row r="364" spans="2:13" x14ac:dyDescent="0.25">
      <c r="B364" t="s">
        <v>67</v>
      </c>
      <c r="C364" t="s">
        <v>457</v>
      </c>
      <c r="D364" t="s">
        <v>68</v>
      </c>
      <c r="E364" t="s">
        <v>69</v>
      </c>
      <c r="F364" t="s">
        <v>70</v>
      </c>
      <c r="G364" t="s">
        <v>71</v>
      </c>
      <c r="H364" t="s">
        <v>72</v>
      </c>
      <c r="I364" t="s">
        <v>73</v>
      </c>
      <c r="J364" t="str">
        <f>"46517"</f>
        <v>46517</v>
      </c>
      <c r="K364" t="s">
        <v>458</v>
      </c>
      <c r="L364" t="s">
        <v>328</v>
      </c>
      <c r="M364" t="s">
        <v>76</v>
      </c>
    </row>
    <row r="365" spans="2:13" x14ac:dyDescent="0.25">
      <c r="B365" t="s">
        <v>67</v>
      </c>
      <c r="C365" t="s">
        <v>459</v>
      </c>
      <c r="D365" t="s">
        <v>68</v>
      </c>
      <c r="E365" t="s">
        <v>69</v>
      </c>
      <c r="F365" t="s">
        <v>70</v>
      </c>
      <c r="G365" t="s">
        <v>71</v>
      </c>
      <c r="H365" t="s">
        <v>72</v>
      </c>
      <c r="I365" t="s">
        <v>73</v>
      </c>
      <c r="J365" t="str">
        <f>"46518"</f>
        <v>46518</v>
      </c>
      <c r="K365" t="s">
        <v>460</v>
      </c>
      <c r="L365" t="s">
        <v>328</v>
      </c>
      <c r="M365" t="s">
        <v>76</v>
      </c>
    </row>
    <row r="366" spans="2:13" x14ac:dyDescent="0.25">
      <c r="B366" t="s">
        <v>67</v>
      </c>
      <c r="C366" t="s">
        <v>461</v>
      </c>
      <c r="D366" t="s">
        <v>68</v>
      </c>
      <c r="E366" t="s">
        <v>69</v>
      </c>
      <c r="F366" t="s">
        <v>70</v>
      </c>
      <c r="G366" t="s">
        <v>71</v>
      </c>
      <c r="H366" t="s">
        <v>72</v>
      </c>
      <c r="I366" t="s">
        <v>73</v>
      </c>
      <c r="J366" t="str">
        <f>"46519"</f>
        <v>46519</v>
      </c>
      <c r="K366" t="s">
        <v>462</v>
      </c>
      <c r="L366" t="s">
        <v>328</v>
      </c>
      <c r="M366" t="s">
        <v>76</v>
      </c>
    </row>
    <row r="367" spans="2:13" x14ac:dyDescent="0.25">
      <c r="B367" t="s">
        <v>67</v>
      </c>
      <c r="C367" t="s">
        <v>463</v>
      </c>
      <c r="D367" t="s">
        <v>68</v>
      </c>
      <c r="E367" t="s">
        <v>69</v>
      </c>
      <c r="F367" t="s">
        <v>70</v>
      </c>
      <c r="G367" t="s">
        <v>71</v>
      </c>
      <c r="H367" t="s">
        <v>72</v>
      </c>
      <c r="I367" t="s">
        <v>73</v>
      </c>
      <c r="J367" t="str">
        <f>"46520"</f>
        <v>46520</v>
      </c>
      <c r="K367" t="s">
        <v>464</v>
      </c>
      <c r="L367" t="s">
        <v>328</v>
      </c>
      <c r="M367" t="s">
        <v>76</v>
      </c>
    </row>
    <row r="368" spans="2:13" x14ac:dyDescent="0.25">
      <c r="B368" t="s">
        <v>67</v>
      </c>
      <c r="C368" t="s">
        <v>465</v>
      </c>
      <c r="D368" t="s">
        <v>68</v>
      </c>
      <c r="E368" t="s">
        <v>69</v>
      </c>
      <c r="F368" t="s">
        <v>70</v>
      </c>
      <c r="G368" t="s">
        <v>71</v>
      </c>
      <c r="H368" t="s">
        <v>72</v>
      </c>
      <c r="I368" t="s">
        <v>73</v>
      </c>
      <c r="J368" t="str">
        <f>"46521"</f>
        <v>46521</v>
      </c>
      <c r="K368" t="s">
        <v>466</v>
      </c>
      <c r="L368" t="s">
        <v>328</v>
      </c>
      <c r="M368" t="s">
        <v>76</v>
      </c>
    </row>
    <row r="369" spans="2:13" x14ac:dyDescent="0.25">
      <c r="B369" t="s">
        <v>67</v>
      </c>
      <c r="C369" t="s">
        <v>467</v>
      </c>
      <c r="D369" t="s">
        <v>68</v>
      </c>
      <c r="E369" t="s">
        <v>69</v>
      </c>
      <c r="F369" t="s">
        <v>70</v>
      </c>
      <c r="G369" t="s">
        <v>71</v>
      </c>
      <c r="H369" t="s">
        <v>72</v>
      </c>
      <c r="I369" t="s">
        <v>73</v>
      </c>
      <c r="J369" t="str">
        <f>"46522"</f>
        <v>46522</v>
      </c>
      <c r="K369" t="s">
        <v>468</v>
      </c>
      <c r="L369" t="s">
        <v>328</v>
      </c>
      <c r="M369" t="s">
        <v>76</v>
      </c>
    </row>
    <row r="370" spans="2:13" x14ac:dyDescent="0.25">
      <c r="B370" t="s">
        <v>67</v>
      </c>
      <c r="C370" t="s">
        <v>469</v>
      </c>
      <c r="D370" t="s">
        <v>68</v>
      </c>
      <c r="E370" t="s">
        <v>69</v>
      </c>
      <c r="F370" t="s">
        <v>70</v>
      </c>
      <c r="G370" t="s">
        <v>71</v>
      </c>
      <c r="H370" t="s">
        <v>72</v>
      </c>
      <c r="I370" t="s">
        <v>73</v>
      </c>
      <c r="J370" t="str">
        <f>"46523"</f>
        <v>46523</v>
      </c>
      <c r="K370" t="s">
        <v>470</v>
      </c>
      <c r="L370" t="s">
        <v>328</v>
      </c>
      <c r="M370" t="s">
        <v>76</v>
      </c>
    </row>
    <row r="371" spans="2:13" x14ac:dyDescent="0.25">
      <c r="B371" t="s">
        <v>67</v>
      </c>
      <c r="C371" t="s">
        <v>471</v>
      </c>
      <c r="D371" t="s">
        <v>68</v>
      </c>
      <c r="E371" t="s">
        <v>69</v>
      </c>
      <c r="F371" t="s">
        <v>70</v>
      </c>
      <c r="G371" t="s">
        <v>71</v>
      </c>
      <c r="H371" t="s">
        <v>72</v>
      </c>
      <c r="I371" t="s">
        <v>73</v>
      </c>
      <c r="J371" t="str">
        <f>"46524"</f>
        <v>46524</v>
      </c>
      <c r="K371" t="s">
        <v>472</v>
      </c>
      <c r="L371" t="s">
        <v>328</v>
      </c>
      <c r="M371" t="s">
        <v>76</v>
      </c>
    </row>
    <row r="372" spans="2:13" x14ac:dyDescent="0.25">
      <c r="B372" t="s">
        <v>67</v>
      </c>
      <c r="C372" t="s">
        <v>473</v>
      </c>
      <c r="D372" t="s">
        <v>68</v>
      </c>
      <c r="E372" t="s">
        <v>69</v>
      </c>
      <c r="F372" t="s">
        <v>70</v>
      </c>
      <c r="G372" t="s">
        <v>71</v>
      </c>
      <c r="H372" t="s">
        <v>72</v>
      </c>
      <c r="I372" t="s">
        <v>73</v>
      </c>
      <c r="J372" t="str">
        <f>"46525"</f>
        <v>46525</v>
      </c>
      <c r="K372" t="s">
        <v>474</v>
      </c>
      <c r="L372" t="s">
        <v>328</v>
      </c>
      <c r="M372" t="s">
        <v>76</v>
      </c>
    </row>
    <row r="373" spans="2:13" x14ac:dyDescent="0.25">
      <c r="B373" t="s">
        <v>67</v>
      </c>
      <c r="C373" t="s">
        <v>475</v>
      </c>
      <c r="D373" t="s">
        <v>68</v>
      </c>
      <c r="E373" t="s">
        <v>69</v>
      </c>
      <c r="F373" t="s">
        <v>70</v>
      </c>
      <c r="G373" t="s">
        <v>71</v>
      </c>
      <c r="H373" t="s">
        <v>72</v>
      </c>
      <c r="I373" t="s">
        <v>73</v>
      </c>
      <c r="J373" t="str">
        <f>"46526"</f>
        <v>46526</v>
      </c>
      <c r="K373" t="s">
        <v>476</v>
      </c>
      <c r="L373" t="s">
        <v>328</v>
      </c>
      <c r="M373" t="s">
        <v>76</v>
      </c>
    </row>
    <row r="374" spans="2:13" x14ac:dyDescent="0.25">
      <c r="B374" t="s">
        <v>67</v>
      </c>
      <c r="C374" t="s">
        <v>477</v>
      </c>
      <c r="D374" t="s">
        <v>68</v>
      </c>
      <c r="E374" t="s">
        <v>69</v>
      </c>
      <c r="F374" t="s">
        <v>70</v>
      </c>
      <c r="G374" t="s">
        <v>71</v>
      </c>
      <c r="H374" t="s">
        <v>72</v>
      </c>
      <c r="I374" t="s">
        <v>73</v>
      </c>
      <c r="J374" t="str">
        <f>"46527"</f>
        <v>46527</v>
      </c>
      <c r="K374" t="s">
        <v>478</v>
      </c>
      <c r="L374" t="s">
        <v>328</v>
      </c>
      <c r="M374" t="s">
        <v>76</v>
      </c>
    </row>
    <row r="375" spans="2:13" x14ac:dyDescent="0.25">
      <c r="B375" t="s">
        <v>67</v>
      </c>
      <c r="C375" t="s">
        <v>479</v>
      </c>
      <c r="D375" t="s">
        <v>68</v>
      </c>
      <c r="E375" t="s">
        <v>69</v>
      </c>
      <c r="F375" t="s">
        <v>70</v>
      </c>
      <c r="G375" t="s">
        <v>71</v>
      </c>
      <c r="H375" t="s">
        <v>72</v>
      </c>
      <c r="I375" t="s">
        <v>73</v>
      </c>
      <c r="J375" t="str">
        <f>"46528"</f>
        <v>46528</v>
      </c>
      <c r="K375" t="s">
        <v>480</v>
      </c>
      <c r="L375" t="s">
        <v>328</v>
      </c>
      <c r="M375" t="s">
        <v>76</v>
      </c>
    </row>
    <row r="376" spans="2:13" x14ac:dyDescent="0.25">
      <c r="B376" t="s">
        <v>67</v>
      </c>
      <c r="C376" t="s">
        <v>481</v>
      </c>
      <c r="D376" t="s">
        <v>68</v>
      </c>
      <c r="E376" t="s">
        <v>69</v>
      </c>
      <c r="F376" t="s">
        <v>70</v>
      </c>
      <c r="G376" t="s">
        <v>71</v>
      </c>
      <c r="H376" t="s">
        <v>72</v>
      </c>
      <c r="I376" t="s">
        <v>73</v>
      </c>
      <c r="J376" t="str">
        <f>"46529"</f>
        <v>46529</v>
      </c>
      <c r="K376" t="s">
        <v>482</v>
      </c>
      <c r="L376" t="s">
        <v>328</v>
      </c>
      <c r="M376" t="s">
        <v>76</v>
      </c>
    </row>
    <row r="377" spans="2:13" x14ac:dyDescent="0.25">
      <c r="B377" t="s">
        <v>67</v>
      </c>
      <c r="C377" t="s">
        <v>483</v>
      </c>
      <c r="D377" t="s">
        <v>68</v>
      </c>
      <c r="E377" t="s">
        <v>69</v>
      </c>
      <c r="F377" t="s">
        <v>70</v>
      </c>
      <c r="G377" t="s">
        <v>71</v>
      </c>
      <c r="H377" t="s">
        <v>72</v>
      </c>
      <c r="I377" t="s">
        <v>73</v>
      </c>
      <c r="J377" t="str">
        <f>"46530"</f>
        <v>46530</v>
      </c>
      <c r="K377" t="s">
        <v>484</v>
      </c>
      <c r="L377" t="s">
        <v>328</v>
      </c>
      <c r="M377" t="s">
        <v>76</v>
      </c>
    </row>
    <row r="378" spans="2:13" x14ac:dyDescent="0.25">
      <c r="B378" t="s">
        <v>67</v>
      </c>
      <c r="C378" t="s">
        <v>485</v>
      </c>
      <c r="D378" t="s">
        <v>68</v>
      </c>
      <c r="E378" t="s">
        <v>69</v>
      </c>
      <c r="F378" t="s">
        <v>70</v>
      </c>
      <c r="G378" t="s">
        <v>71</v>
      </c>
      <c r="H378" t="s">
        <v>72</v>
      </c>
      <c r="I378" t="s">
        <v>73</v>
      </c>
      <c r="J378" t="str">
        <f>"46531"</f>
        <v>46531</v>
      </c>
      <c r="K378" t="s">
        <v>486</v>
      </c>
      <c r="L378" t="s">
        <v>328</v>
      </c>
      <c r="M378" t="s">
        <v>76</v>
      </c>
    </row>
    <row r="379" spans="2:13" x14ac:dyDescent="0.25">
      <c r="B379" t="s">
        <v>67</v>
      </c>
      <c r="C379" t="s">
        <v>487</v>
      </c>
      <c r="D379" t="s">
        <v>68</v>
      </c>
      <c r="E379" t="s">
        <v>69</v>
      </c>
      <c r="F379" t="s">
        <v>70</v>
      </c>
      <c r="G379" t="s">
        <v>71</v>
      </c>
      <c r="H379" t="s">
        <v>72</v>
      </c>
      <c r="I379" t="s">
        <v>73</v>
      </c>
      <c r="J379" t="str">
        <f>"46532"</f>
        <v>46532</v>
      </c>
      <c r="K379" t="s">
        <v>488</v>
      </c>
      <c r="L379" t="s">
        <v>328</v>
      </c>
      <c r="M379" t="s">
        <v>76</v>
      </c>
    </row>
    <row r="380" spans="2:13" x14ac:dyDescent="0.25">
      <c r="B380" t="s">
        <v>67</v>
      </c>
      <c r="C380" t="s">
        <v>489</v>
      </c>
      <c r="D380" t="s">
        <v>68</v>
      </c>
      <c r="E380" t="s">
        <v>69</v>
      </c>
      <c r="F380" t="s">
        <v>70</v>
      </c>
      <c r="G380" t="s">
        <v>71</v>
      </c>
      <c r="H380" t="s">
        <v>72</v>
      </c>
      <c r="I380" t="s">
        <v>73</v>
      </c>
      <c r="J380" t="str">
        <f>"46533"</f>
        <v>46533</v>
      </c>
      <c r="K380" t="s">
        <v>490</v>
      </c>
      <c r="L380" t="s">
        <v>328</v>
      </c>
      <c r="M380" t="s">
        <v>76</v>
      </c>
    </row>
    <row r="381" spans="2:13" x14ac:dyDescent="0.25">
      <c r="B381" t="s">
        <v>67</v>
      </c>
      <c r="C381" t="s">
        <v>491</v>
      </c>
      <c r="D381" t="s">
        <v>68</v>
      </c>
      <c r="E381" t="s">
        <v>69</v>
      </c>
      <c r="F381" t="s">
        <v>70</v>
      </c>
      <c r="G381" t="s">
        <v>71</v>
      </c>
      <c r="H381" t="s">
        <v>72</v>
      </c>
      <c r="I381" t="s">
        <v>73</v>
      </c>
      <c r="J381" t="str">
        <f>"46534"</f>
        <v>46534</v>
      </c>
      <c r="K381" t="s">
        <v>492</v>
      </c>
      <c r="L381" t="s">
        <v>328</v>
      </c>
      <c r="M381" t="s">
        <v>76</v>
      </c>
    </row>
    <row r="382" spans="2:13" x14ac:dyDescent="0.25">
      <c r="B382" t="s">
        <v>67</v>
      </c>
      <c r="C382" t="s">
        <v>493</v>
      </c>
      <c r="D382" t="s">
        <v>68</v>
      </c>
      <c r="E382" t="s">
        <v>69</v>
      </c>
      <c r="F382" t="s">
        <v>70</v>
      </c>
      <c r="G382" t="s">
        <v>71</v>
      </c>
      <c r="H382" t="s">
        <v>72</v>
      </c>
      <c r="I382" t="s">
        <v>73</v>
      </c>
      <c r="J382" t="str">
        <f>"46535"</f>
        <v>46535</v>
      </c>
      <c r="K382" t="s">
        <v>494</v>
      </c>
      <c r="L382" t="s">
        <v>328</v>
      </c>
      <c r="M382" t="s">
        <v>76</v>
      </c>
    </row>
    <row r="383" spans="2:13" x14ac:dyDescent="0.25">
      <c r="B383" t="s">
        <v>67</v>
      </c>
      <c r="C383" t="s">
        <v>495</v>
      </c>
      <c r="D383" t="s">
        <v>68</v>
      </c>
      <c r="E383" t="s">
        <v>69</v>
      </c>
      <c r="F383" t="s">
        <v>70</v>
      </c>
      <c r="G383" t="s">
        <v>71</v>
      </c>
      <c r="H383" t="s">
        <v>72</v>
      </c>
      <c r="I383" t="s">
        <v>73</v>
      </c>
      <c r="J383" t="str">
        <f>"46536"</f>
        <v>46536</v>
      </c>
      <c r="K383" t="s">
        <v>496</v>
      </c>
      <c r="L383" t="s">
        <v>328</v>
      </c>
      <c r="M383" t="s">
        <v>76</v>
      </c>
    </row>
    <row r="384" spans="2:13" x14ac:dyDescent="0.25">
      <c r="B384" t="s">
        <v>67</v>
      </c>
      <c r="C384" t="s">
        <v>497</v>
      </c>
      <c r="D384" t="s">
        <v>68</v>
      </c>
      <c r="E384" t="s">
        <v>69</v>
      </c>
      <c r="F384" t="s">
        <v>70</v>
      </c>
      <c r="G384" t="s">
        <v>71</v>
      </c>
      <c r="H384" t="s">
        <v>72</v>
      </c>
      <c r="I384" t="s">
        <v>73</v>
      </c>
      <c r="J384" t="str">
        <f>"46537"</f>
        <v>46537</v>
      </c>
      <c r="K384" t="s">
        <v>498</v>
      </c>
      <c r="L384" t="s">
        <v>328</v>
      </c>
      <c r="M384" t="s">
        <v>76</v>
      </c>
    </row>
    <row r="385" spans="2:13" x14ac:dyDescent="0.25">
      <c r="B385" t="s">
        <v>67</v>
      </c>
      <c r="C385" t="s">
        <v>499</v>
      </c>
      <c r="D385" t="s">
        <v>68</v>
      </c>
      <c r="E385" t="s">
        <v>69</v>
      </c>
      <c r="F385" t="s">
        <v>70</v>
      </c>
      <c r="G385" t="s">
        <v>71</v>
      </c>
      <c r="H385" t="s">
        <v>72</v>
      </c>
      <c r="I385" t="s">
        <v>73</v>
      </c>
      <c r="J385" t="str">
        <f>"46538"</f>
        <v>46538</v>
      </c>
      <c r="K385" t="s">
        <v>500</v>
      </c>
      <c r="L385" t="s">
        <v>328</v>
      </c>
      <c r="M385" t="s">
        <v>76</v>
      </c>
    </row>
    <row r="386" spans="2:13" x14ac:dyDescent="0.25">
      <c r="B386" t="s">
        <v>67</v>
      </c>
      <c r="C386" t="s">
        <v>501</v>
      </c>
      <c r="D386" t="s">
        <v>68</v>
      </c>
      <c r="E386" t="s">
        <v>69</v>
      </c>
      <c r="F386" t="s">
        <v>70</v>
      </c>
      <c r="G386" t="s">
        <v>71</v>
      </c>
      <c r="H386" t="s">
        <v>72</v>
      </c>
      <c r="I386" t="s">
        <v>73</v>
      </c>
      <c r="J386" t="str">
        <f>"46539"</f>
        <v>46539</v>
      </c>
      <c r="K386" t="s">
        <v>502</v>
      </c>
      <c r="L386" t="s">
        <v>328</v>
      </c>
      <c r="M386" t="s">
        <v>76</v>
      </c>
    </row>
    <row r="387" spans="2:13" x14ac:dyDescent="0.25">
      <c r="B387" t="s">
        <v>67</v>
      </c>
      <c r="C387" t="s">
        <v>503</v>
      </c>
      <c r="D387" t="s">
        <v>68</v>
      </c>
      <c r="E387" t="s">
        <v>69</v>
      </c>
      <c r="F387" t="s">
        <v>70</v>
      </c>
      <c r="G387" t="s">
        <v>71</v>
      </c>
      <c r="H387" t="s">
        <v>72</v>
      </c>
      <c r="I387" t="s">
        <v>73</v>
      </c>
      <c r="J387" t="str">
        <f>"46540"</f>
        <v>46540</v>
      </c>
      <c r="K387" t="s">
        <v>504</v>
      </c>
      <c r="L387" t="s">
        <v>328</v>
      </c>
      <c r="M387" t="s">
        <v>76</v>
      </c>
    </row>
    <row r="388" spans="2:13" x14ac:dyDescent="0.25">
      <c r="B388" t="s">
        <v>67</v>
      </c>
      <c r="C388" t="s">
        <v>505</v>
      </c>
      <c r="D388" t="s">
        <v>68</v>
      </c>
      <c r="E388" t="s">
        <v>69</v>
      </c>
      <c r="F388" t="s">
        <v>70</v>
      </c>
      <c r="G388" t="s">
        <v>71</v>
      </c>
      <c r="H388" t="s">
        <v>72</v>
      </c>
      <c r="I388" t="s">
        <v>73</v>
      </c>
      <c r="J388" t="str">
        <f>"46541"</f>
        <v>46541</v>
      </c>
      <c r="K388" t="s">
        <v>506</v>
      </c>
      <c r="L388" t="s">
        <v>328</v>
      </c>
      <c r="M388" t="s">
        <v>76</v>
      </c>
    </row>
    <row r="389" spans="2:13" x14ac:dyDescent="0.25">
      <c r="B389" t="s">
        <v>67</v>
      </c>
      <c r="C389" t="s">
        <v>507</v>
      </c>
      <c r="D389" t="s">
        <v>68</v>
      </c>
      <c r="E389" t="s">
        <v>69</v>
      </c>
      <c r="F389" t="s">
        <v>70</v>
      </c>
      <c r="G389" t="s">
        <v>71</v>
      </c>
      <c r="H389" t="s">
        <v>72</v>
      </c>
      <c r="I389" t="s">
        <v>73</v>
      </c>
      <c r="J389" t="str">
        <f>"46542"</f>
        <v>46542</v>
      </c>
      <c r="K389" t="s">
        <v>508</v>
      </c>
      <c r="L389" t="s">
        <v>328</v>
      </c>
      <c r="M389" t="s">
        <v>76</v>
      </c>
    </row>
    <row r="390" spans="2:13" x14ac:dyDescent="0.25">
      <c r="B390" t="s">
        <v>67</v>
      </c>
      <c r="C390" t="s">
        <v>509</v>
      </c>
      <c r="D390" t="s">
        <v>68</v>
      </c>
      <c r="E390" t="s">
        <v>69</v>
      </c>
      <c r="F390" t="s">
        <v>70</v>
      </c>
      <c r="G390" t="s">
        <v>71</v>
      </c>
      <c r="H390" t="s">
        <v>72</v>
      </c>
      <c r="I390" t="s">
        <v>73</v>
      </c>
      <c r="J390" t="str">
        <f>"46543"</f>
        <v>46543</v>
      </c>
      <c r="K390" t="s">
        <v>510</v>
      </c>
      <c r="L390" t="s">
        <v>328</v>
      </c>
      <c r="M390" t="s">
        <v>76</v>
      </c>
    </row>
    <row r="391" spans="2:13" x14ac:dyDescent="0.25">
      <c r="B391" t="s">
        <v>67</v>
      </c>
      <c r="C391" t="s">
        <v>511</v>
      </c>
      <c r="D391" t="s">
        <v>68</v>
      </c>
      <c r="E391" t="s">
        <v>69</v>
      </c>
      <c r="F391" t="s">
        <v>70</v>
      </c>
      <c r="G391" t="s">
        <v>71</v>
      </c>
      <c r="H391" t="s">
        <v>72</v>
      </c>
      <c r="I391" t="s">
        <v>73</v>
      </c>
      <c r="J391" t="str">
        <f>"46544"</f>
        <v>46544</v>
      </c>
      <c r="K391" t="s">
        <v>512</v>
      </c>
      <c r="L391" t="s">
        <v>328</v>
      </c>
      <c r="M391" t="s">
        <v>76</v>
      </c>
    </row>
    <row r="392" spans="2:13" x14ac:dyDescent="0.25">
      <c r="B392" t="s">
        <v>67</v>
      </c>
      <c r="C392" t="s">
        <v>513</v>
      </c>
      <c r="D392" t="s">
        <v>68</v>
      </c>
      <c r="E392" t="s">
        <v>69</v>
      </c>
      <c r="F392" t="s">
        <v>70</v>
      </c>
      <c r="G392" t="s">
        <v>71</v>
      </c>
      <c r="H392" t="s">
        <v>72</v>
      </c>
      <c r="I392" t="s">
        <v>73</v>
      </c>
      <c r="J392" t="str">
        <f>"46545"</f>
        <v>46545</v>
      </c>
      <c r="K392" t="s">
        <v>514</v>
      </c>
      <c r="L392" t="s">
        <v>328</v>
      </c>
      <c r="M392" t="s">
        <v>76</v>
      </c>
    </row>
    <row r="393" spans="2:13" x14ac:dyDescent="0.25">
      <c r="B393" t="s">
        <v>67</v>
      </c>
      <c r="C393" t="s">
        <v>515</v>
      </c>
      <c r="D393" t="s">
        <v>68</v>
      </c>
      <c r="E393" t="s">
        <v>69</v>
      </c>
      <c r="F393" t="s">
        <v>70</v>
      </c>
      <c r="G393" t="s">
        <v>71</v>
      </c>
      <c r="H393" t="s">
        <v>72</v>
      </c>
      <c r="I393" t="s">
        <v>73</v>
      </c>
      <c r="J393" t="str">
        <f>"46546"</f>
        <v>46546</v>
      </c>
      <c r="K393" t="s">
        <v>516</v>
      </c>
      <c r="L393" t="s">
        <v>328</v>
      </c>
      <c r="M393" t="s">
        <v>76</v>
      </c>
    </row>
    <row r="394" spans="2:13" x14ac:dyDescent="0.25">
      <c r="B394" t="s">
        <v>67</v>
      </c>
      <c r="C394" t="s">
        <v>517</v>
      </c>
      <c r="D394" t="s">
        <v>68</v>
      </c>
      <c r="E394" t="s">
        <v>69</v>
      </c>
      <c r="F394" t="s">
        <v>70</v>
      </c>
      <c r="G394" t="s">
        <v>71</v>
      </c>
      <c r="H394" t="s">
        <v>72</v>
      </c>
      <c r="I394" t="s">
        <v>73</v>
      </c>
      <c r="J394" t="str">
        <f>"46547"</f>
        <v>46547</v>
      </c>
      <c r="K394" t="s">
        <v>518</v>
      </c>
      <c r="L394" t="s">
        <v>328</v>
      </c>
      <c r="M394" t="s">
        <v>76</v>
      </c>
    </row>
    <row r="395" spans="2:13" x14ac:dyDescent="0.25">
      <c r="B395" t="s">
        <v>67</v>
      </c>
      <c r="C395" t="s">
        <v>519</v>
      </c>
      <c r="D395" t="s">
        <v>68</v>
      </c>
      <c r="E395" t="s">
        <v>69</v>
      </c>
      <c r="F395" t="s">
        <v>70</v>
      </c>
      <c r="G395" t="s">
        <v>71</v>
      </c>
      <c r="H395" t="s">
        <v>72</v>
      </c>
      <c r="I395" t="s">
        <v>73</v>
      </c>
      <c r="J395" t="str">
        <f>"46548"</f>
        <v>46548</v>
      </c>
      <c r="K395" t="s">
        <v>520</v>
      </c>
      <c r="L395" t="s">
        <v>328</v>
      </c>
      <c r="M395" t="s">
        <v>76</v>
      </c>
    </row>
    <row r="396" spans="2:13" x14ac:dyDescent="0.25">
      <c r="B396" t="s">
        <v>67</v>
      </c>
      <c r="C396" t="s">
        <v>521</v>
      </c>
      <c r="D396" t="s">
        <v>68</v>
      </c>
      <c r="E396" t="s">
        <v>69</v>
      </c>
      <c r="F396" t="s">
        <v>70</v>
      </c>
      <c r="G396" t="s">
        <v>71</v>
      </c>
      <c r="H396" t="s">
        <v>72</v>
      </c>
      <c r="I396" t="s">
        <v>73</v>
      </c>
      <c r="J396" t="str">
        <f>"46549"</f>
        <v>46549</v>
      </c>
      <c r="K396" t="s">
        <v>522</v>
      </c>
      <c r="L396" t="s">
        <v>328</v>
      </c>
      <c r="M396" t="s">
        <v>76</v>
      </c>
    </row>
    <row r="397" spans="2:13" x14ac:dyDescent="0.25">
      <c r="B397" t="s">
        <v>67</v>
      </c>
      <c r="C397" t="s">
        <v>523</v>
      </c>
      <c r="D397" t="s">
        <v>68</v>
      </c>
      <c r="E397" t="s">
        <v>69</v>
      </c>
      <c r="F397" t="s">
        <v>70</v>
      </c>
      <c r="G397" t="s">
        <v>71</v>
      </c>
      <c r="H397" t="s">
        <v>72</v>
      </c>
      <c r="I397" t="s">
        <v>73</v>
      </c>
      <c r="J397" t="str">
        <f>"46550"</f>
        <v>46550</v>
      </c>
      <c r="K397" t="s">
        <v>524</v>
      </c>
      <c r="L397" t="s">
        <v>328</v>
      </c>
      <c r="M397" t="s">
        <v>76</v>
      </c>
    </row>
    <row r="398" spans="2:13" x14ac:dyDescent="0.25">
      <c r="B398" t="s">
        <v>67</v>
      </c>
      <c r="C398" t="s">
        <v>525</v>
      </c>
      <c r="D398" t="s">
        <v>68</v>
      </c>
      <c r="E398" t="s">
        <v>69</v>
      </c>
      <c r="F398" t="s">
        <v>70</v>
      </c>
      <c r="G398" t="s">
        <v>71</v>
      </c>
      <c r="H398" t="s">
        <v>72</v>
      </c>
      <c r="I398" t="s">
        <v>73</v>
      </c>
      <c r="J398" t="str">
        <f>"46551"</f>
        <v>46551</v>
      </c>
      <c r="K398" t="s">
        <v>526</v>
      </c>
      <c r="L398" t="s">
        <v>328</v>
      </c>
      <c r="M398" t="s">
        <v>76</v>
      </c>
    </row>
    <row r="399" spans="2:13" x14ac:dyDescent="0.25">
      <c r="B399" t="s">
        <v>67</v>
      </c>
      <c r="C399" t="s">
        <v>527</v>
      </c>
      <c r="D399" t="s">
        <v>68</v>
      </c>
      <c r="E399" t="s">
        <v>69</v>
      </c>
      <c r="F399" t="s">
        <v>70</v>
      </c>
      <c r="G399" t="s">
        <v>71</v>
      </c>
      <c r="H399" t="s">
        <v>72</v>
      </c>
      <c r="I399" t="s">
        <v>73</v>
      </c>
      <c r="J399" t="str">
        <f>"46552"</f>
        <v>46552</v>
      </c>
      <c r="K399" t="s">
        <v>528</v>
      </c>
      <c r="L399" t="s">
        <v>328</v>
      </c>
      <c r="M399" t="s">
        <v>76</v>
      </c>
    </row>
    <row r="400" spans="2:13" x14ac:dyDescent="0.25">
      <c r="B400" t="s">
        <v>67</v>
      </c>
      <c r="C400" t="s">
        <v>529</v>
      </c>
      <c r="D400" t="s">
        <v>68</v>
      </c>
      <c r="E400" t="s">
        <v>69</v>
      </c>
      <c r="F400" t="s">
        <v>70</v>
      </c>
      <c r="G400" t="s">
        <v>71</v>
      </c>
      <c r="H400" t="s">
        <v>72</v>
      </c>
      <c r="I400" t="s">
        <v>73</v>
      </c>
      <c r="J400" t="str">
        <f>"46553"</f>
        <v>46553</v>
      </c>
      <c r="K400" t="s">
        <v>530</v>
      </c>
      <c r="L400" t="s">
        <v>328</v>
      </c>
      <c r="M400" t="s">
        <v>76</v>
      </c>
    </row>
    <row r="401" spans="2:13" x14ac:dyDescent="0.25">
      <c r="B401" t="s">
        <v>67</v>
      </c>
      <c r="C401" t="s">
        <v>531</v>
      </c>
      <c r="D401" t="s">
        <v>68</v>
      </c>
      <c r="E401" t="s">
        <v>69</v>
      </c>
      <c r="F401" t="s">
        <v>70</v>
      </c>
      <c r="G401" t="s">
        <v>71</v>
      </c>
      <c r="H401" t="s">
        <v>72</v>
      </c>
      <c r="I401" t="s">
        <v>73</v>
      </c>
      <c r="J401" t="str">
        <f>"46554"</f>
        <v>46554</v>
      </c>
      <c r="K401" t="s">
        <v>532</v>
      </c>
      <c r="L401" t="s">
        <v>328</v>
      </c>
      <c r="M401" t="s">
        <v>76</v>
      </c>
    </row>
    <row r="402" spans="2:13" x14ac:dyDescent="0.25">
      <c r="B402" t="s">
        <v>67</v>
      </c>
      <c r="C402" t="s">
        <v>533</v>
      </c>
      <c r="D402" t="s">
        <v>68</v>
      </c>
      <c r="E402" t="s">
        <v>69</v>
      </c>
      <c r="F402" t="s">
        <v>70</v>
      </c>
      <c r="G402" t="s">
        <v>71</v>
      </c>
      <c r="H402" t="s">
        <v>72</v>
      </c>
      <c r="I402" t="s">
        <v>73</v>
      </c>
      <c r="J402" t="str">
        <f>"46555"</f>
        <v>46555</v>
      </c>
      <c r="K402" t="s">
        <v>534</v>
      </c>
      <c r="L402" t="s">
        <v>328</v>
      </c>
      <c r="M402" t="s">
        <v>76</v>
      </c>
    </row>
    <row r="403" spans="2:13" x14ac:dyDescent="0.25">
      <c r="B403" t="s">
        <v>67</v>
      </c>
      <c r="C403" t="s">
        <v>535</v>
      </c>
      <c r="D403" t="s">
        <v>68</v>
      </c>
      <c r="E403" t="s">
        <v>69</v>
      </c>
      <c r="F403" t="s">
        <v>70</v>
      </c>
      <c r="G403" t="s">
        <v>71</v>
      </c>
      <c r="H403" t="s">
        <v>72</v>
      </c>
      <c r="I403" t="s">
        <v>73</v>
      </c>
      <c r="J403" t="str">
        <f>"46556"</f>
        <v>46556</v>
      </c>
      <c r="K403" t="s">
        <v>536</v>
      </c>
      <c r="L403" t="s">
        <v>328</v>
      </c>
      <c r="M403" t="s">
        <v>76</v>
      </c>
    </row>
    <row r="404" spans="2:13" x14ac:dyDescent="0.25">
      <c r="B404" t="s">
        <v>67</v>
      </c>
      <c r="C404" t="s">
        <v>537</v>
      </c>
      <c r="D404" t="s">
        <v>68</v>
      </c>
      <c r="E404" t="s">
        <v>69</v>
      </c>
      <c r="F404" t="s">
        <v>70</v>
      </c>
      <c r="G404" t="s">
        <v>71</v>
      </c>
      <c r="H404" t="s">
        <v>72</v>
      </c>
      <c r="I404" t="s">
        <v>73</v>
      </c>
      <c r="J404" t="str">
        <f>"46557"</f>
        <v>46557</v>
      </c>
      <c r="K404" t="s">
        <v>538</v>
      </c>
      <c r="L404" t="s">
        <v>328</v>
      </c>
      <c r="M404" t="s">
        <v>76</v>
      </c>
    </row>
    <row r="405" spans="2:13" x14ac:dyDescent="0.25">
      <c r="B405" t="s">
        <v>67</v>
      </c>
      <c r="C405" t="s">
        <v>539</v>
      </c>
      <c r="D405" t="s">
        <v>68</v>
      </c>
      <c r="E405" t="s">
        <v>69</v>
      </c>
      <c r="F405" t="s">
        <v>70</v>
      </c>
      <c r="G405" t="s">
        <v>71</v>
      </c>
      <c r="H405" t="s">
        <v>72</v>
      </c>
      <c r="I405" t="s">
        <v>73</v>
      </c>
      <c r="J405" t="str">
        <f>"46558"</f>
        <v>46558</v>
      </c>
      <c r="K405" t="s">
        <v>540</v>
      </c>
      <c r="L405" t="s">
        <v>328</v>
      </c>
      <c r="M405" t="s">
        <v>76</v>
      </c>
    </row>
    <row r="406" spans="2:13" x14ac:dyDescent="0.25">
      <c r="B406" t="s">
        <v>67</v>
      </c>
      <c r="C406" t="s">
        <v>541</v>
      </c>
      <c r="D406" t="s">
        <v>68</v>
      </c>
      <c r="E406" t="s">
        <v>69</v>
      </c>
      <c r="F406" t="s">
        <v>70</v>
      </c>
      <c r="G406" t="s">
        <v>71</v>
      </c>
      <c r="H406" t="s">
        <v>72</v>
      </c>
      <c r="I406" t="s">
        <v>73</v>
      </c>
      <c r="J406" t="str">
        <f>"46559"</f>
        <v>46559</v>
      </c>
      <c r="K406" t="s">
        <v>542</v>
      </c>
      <c r="L406" t="s">
        <v>328</v>
      </c>
      <c r="M406" t="s">
        <v>76</v>
      </c>
    </row>
    <row r="407" spans="2:13" x14ac:dyDescent="0.25">
      <c r="B407" t="s">
        <v>67</v>
      </c>
      <c r="C407" t="s">
        <v>543</v>
      </c>
      <c r="D407" t="s">
        <v>68</v>
      </c>
      <c r="E407" t="s">
        <v>69</v>
      </c>
      <c r="F407" t="s">
        <v>70</v>
      </c>
      <c r="G407" t="s">
        <v>71</v>
      </c>
      <c r="H407" t="s">
        <v>72</v>
      </c>
      <c r="I407" t="s">
        <v>73</v>
      </c>
      <c r="J407" t="str">
        <f>"46560"</f>
        <v>46560</v>
      </c>
      <c r="K407" t="s">
        <v>544</v>
      </c>
      <c r="L407" t="s">
        <v>328</v>
      </c>
      <c r="M407" t="s">
        <v>76</v>
      </c>
    </row>
    <row r="408" spans="2:13" x14ac:dyDescent="0.25">
      <c r="B408" t="s">
        <v>67</v>
      </c>
      <c r="C408" t="s">
        <v>545</v>
      </c>
      <c r="D408" t="s">
        <v>68</v>
      </c>
      <c r="E408" t="s">
        <v>69</v>
      </c>
      <c r="F408" t="s">
        <v>70</v>
      </c>
      <c r="G408" t="s">
        <v>71</v>
      </c>
      <c r="H408" t="s">
        <v>72</v>
      </c>
      <c r="I408" t="s">
        <v>73</v>
      </c>
      <c r="J408" t="str">
        <f>"46561"</f>
        <v>46561</v>
      </c>
      <c r="K408" t="s">
        <v>546</v>
      </c>
      <c r="L408" t="s">
        <v>328</v>
      </c>
      <c r="M408" t="s">
        <v>76</v>
      </c>
    </row>
    <row r="409" spans="2:13" x14ac:dyDescent="0.25">
      <c r="B409" t="s">
        <v>67</v>
      </c>
      <c r="C409" t="s">
        <v>547</v>
      </c>
      <c r="D409" t="s">
        <v>68</v>
      </c>
      <c r="E409" t="s">
        <v>69</v>
      </c>
      <c r="F409" t="s">
        <v>70</v>
      </c>
      <c r="G409" t="s">
        <v>71</v>
      </c>
      <c r="H409" t="s">
        <v>72</v>
      </c>
      <c r="I409" t="s">
        <v>73</v>
      </c>
      <c r="J409" t="str">
        <f>"46562"</f>
        <v>46562</v>
      </c>
      <c r="K409" t="s">
        <v>548</v>
      </c>
      <c r="L409" t="s">
        <v>328</v>
      </c>
      <c r="M409" t="s">
        <v>76</v>
      </c>
    </row>
    <row r="410" spans="2:13" x14ac:dyDescent="0.25">
      <c r="B410" t="s">
        <v>67</v>
      </c>
      <c r="C410" t="s">
        <v>549</v>
      </c>
      <c r="D410" t="s">
        <v>68</v>
      </c>
      <c r="E410" t="s">
        <v>69</v>
      </c>
      <c r="F410" t="s">
        <v>70</v>
      </c>
      <c r="G410" t="s">
        <v>71</v>
      </c>
      <c r="H410" t="s">
        <v>72</v>
      </c>
      <c r="I410" t="s">
        <v>73</v>
      </c>
      <c r="J410" t="str">
        <f>"46563"</f>
        <v>46563</v>
      </c>
      <c r="K410" t="s">
        <v>550</v>
      </c>
      <c r="L410" t="s">
        <v>328</v>
      </c>
      <c r="M410" t="s">
        <v>76</v>
      </c>
    </row>
    <row r="411" spans="2:13" x14ac:dyDescent="0.25">
      <c r="B411" t="s">
        <v>67</v>
      </c>
      <c r="C411" t="s">
        <v>551</v>
      </c>
      <c r="D411" t="s">
        <v>68</v>
      </c>
      <c r="E411" t="s">
        <v>69</v>
      </c>
      <c r="F411" t="s">
        <v>70</v>
      </c>
      <c r="G411" t="s">
        <v>71</v>
      </c>
      <c r="H411" t="s">
        <v>72</v>
      </c>
      <c r="I411" t="s">
        <v>73</v>
      </c>
      <c r="J411" t="str">
        <f>"46564"</f>
        <v>46564</v>
      </c>
      <c r="K411" t="s">
        <v>552</v>
      </c>
      <c r="L411" t="s">
        <v>328</v>
      </c>
      <c r="M411" t="s">
        <v>76</v>
      </c>
    </row>
    <row r="412" spans="2:13" x14ac:dyDescent="0.25">
      <c r="B412" t="s">
        <v>67</v>
      </c>
      <c r="C412" t="s">
        <v>553</v>
      </c>
      <c r="D412" t="s">
        <v>68</v>
      </c>
      <c r="E412" t="s">
        <v>69</v>
      </c>
      <c r="F412" t="s">
        <v>70</v>
      </c>
      <c r="G412" t="s">
        <v>71</v>
      </c>
      <c r="H412" t="s">
        <v>72</v>
      </c>
      <c r="I412" t="s">
        <v>73</v>
      </c>
      <c r="J412" t="str">
        <f>"46565"</f>
        <v>46565</v>
      </c>
      <c r="K412" t="s">
        <v>554</v>
      </c>
      <c r="L412" t="s">
        <v>328</v>
      </c>
      <c r="M412" t="s">
        <v>76</v>
      </c>
    </row>
    <row r="413" spans="2:13" x14ac:dyDescent="0.25">
      <c r="B413" t="s">
        <v>67</v>
      </c>
      <c r="C413" t="s">
        <v>555</v>
      </c>
      <c r="D413" t="s">
        <v>68</v>
      </c>
      <c r="E413" t="s">
        <v>69</v>
      </c>
      <c r="F413" t="s">
        <v>70</v>
      </c>
      <c r="G413" t="s">
        <v>71</v>
      </c>
      <c r="H413" t="s">
        <v>72</v>
      </c>
      <c r="I413" t="s">
        <v>73</v>
      </c>
      <c r="J413" t="str">
        <f>"46566"</f>
        <v>46566</v>
      </c>
      <c r="K413" t="s">
        <v>556</v>
      </c>
      <c r="L413" t="s">
        <v>328</v>
      </c>
      <c r="M413" t="s">
        <v>76</v>
      </c>
    </row>
    <row r="414" spans="2:13" x14ac:dyDescent="0.25">
      <c r="B414" t="s">
        <v>67</v>
      </c>
      <c r="C414" t="s">
        <v>557</v>
      </c>
      <c r="D414" t="s">
        <v>68</v>
      </c>
      <c r="E414" t="s">
        <v>69</v>
      </c>
      <c r="F414" t="s">
        <v>70</v>
      </c>
      <c r="G414" t="s">
        <v>71</v>
      </c>
      <c r="H414" t="s">
        <v>72</v>
      </c>
      <c r="I414" t="s">
        <v>73</v>
      </c>
      <c r="J414" t="str">
        <f>"46567"</f>
        <v>46567</v>
      </c>
      <c r="K414" t="s">
        <v>558</v>
      </c>
      <c r="L414" t="s">
        <v>328</v>
      </c>
      <c r="M414" t="s">
        <v>76</v>
      </c>
    </row>
    <row r="415" spans="2:13" x14ac:dyDescent="0.25">
      <c r="B415" t="s">
        <v>67</v>
      </c>
      <c r="C415" t="s">
        <v>559</v>
      </c>
      <c r="D415" t="s">
        <v>68</v>
      </c>
      <c r="E415" t="s">
        <v>69</v>
      </c>
      <c r="F415" t="s">
        <v>70</v>
      </c>
      <c r="G415" t="s">
        <v>71</v>
      </c>
      <c r="H415" t="s">
        <v>72</v>
      </c>
      <c r="I415" t="s">
        <v>73</v>
      </c>
      <c r="J415" t="str">
        <f>"46568"</f>
        <v>46568</v>
      </c>
      <c r="K415" t="s">
        <v>560</v>
      </c>
      <c r="L415" t="s">
        <v>328</v>
      </c>
      <c r="M415" t="s">
        <v>76</v>
      </c>
    </row>
    <row r="416" spans="2:13" x14ac:dyDescent="0.25">
      <c r="B416" t="s">
        <v>67</v>
      </c>
      <c r="C416" t="s">
        <v>561</v>
      </c>
      <c r="D416" t="s">
        <v>68</v>
      </c>
      <c r="E416" t="s">
        <v>69</v>
      </c>
      <c r="F416" t="s">
        <v>70</v>
      </c>
      <c r="G416" t="s">
        <v>71</v>
      </c>
      <c r="H416" t="s">
        <v>72</v>
      </c>
      <c r="I416" t="s">
        <v>73</v>
      </c>
      <c r="J416" t="str">
        <f>"46569"</f>
        <v>46569</v>
      </c>
      <c r="K416" t="s">
        <v>562</v>
      </c>
      <c r="L416" t="s">
        <v>328</v>
      </c>
      <c r="M416" t="s">
        <v>76</v>
      </c>
    </row>
    <row r="417" spans="2:13" x14ac:dyDescent="0.25">
      <c r="B417" t="s">
        <v>67</v>
      </c>
      <c r="C417" t="s">
        <v>563</v>
      </c>
      <c r="D417" t="s">
        <v>68</v>
      </c>
      <c r="E417" t="s">
        <v>69</v>
      </c>
      <c r="F417" t="s">
        <v>70</v>
      </c>
      <c r="G417" t="s">
        <v>71</v>
      </c>
      <c r="H417" t="s">
        <v>72</v>
      </c>
      <c r="I417" t="s">
        <v>73</v>
      </c>
      <c r="J417" t="str">
        <f>"46570"</f>
        <v>46570</v>
      </c>
      <c r="K417" t="s">
        <v>564</v>
      </c>
      <c r="L417" t="s">
        <v>328</v>
      </c>
      <c r="M417" t="s">
        <v>76</v>
      </c>
    </row>
    <row r="418" spans="2:13" x14ac:dyDescent="0.25">
      <c r="B418" t="s">
        <v>67</v>
      </c>
      <c r="C418" t="s">
        <v>565</v>
      </c>
      <c r="D418" t="s">
        <v>68</v>
      </c>
      <c r="E418" t="s">
        <v>69</v>
      </c>
      <c r="F418" t="s">
        <v>70</v>
      </c>
      <c r="G418" t="s">
        <v>71</v>
      </c>
      <c r="H418" t="s">
        <v>72</v>
      </c>
      <c r="I418" t="s">
        <v>73</v>
      </c>
      <c r="J418" t="str">
        <f>"46571"</f>
        <v>46571</v>
      </c>
      <c r="K418" t="s">
        <v>566</v>
      </c>
      <c r="L418" t="s">
        <v>328</v>
      </c>
      <c r="M418" t="s">
        <v>76</v>
      </c>
    </row>
    <row r="419" spans="2:13" x14ac:dyDescent="0.25">
      <c r="B419" t="s">
        <v>67</v>
      </c>
      <c r="C419" t="s">
        <v>567</v>
      </c>
      <c r="D419" t="s">
        <v>68</v>
      </c>
      <c r="E419" t="s">
        <v>69</v>
      </c>
      <c r="F419" t="s">
        <v>70</v>
      </c>
      <c r="G419" t="s">
        <v>71</v>
      </c>
      <c r="H419" t="s">
        <v>72</v>
      </c>
      <c r="I419" t="s">
        <v>73</v>
      </c>
      <c r="J419" t="str">
        <f>"46572"</f>
        <v>46572</v>
      </c>
      <c r="K419" t="s">
        <v>568</v>
      </c>
      <c r="L419" t="s">
        <v>328</v>
      </c>
      <c r="M419" t="s">
        <v>76</v>
      </c>
    </row>
    <row r="420" spans="2:13" x14ac:dyDescent="0.25">
      <c r="B420" t="s">
        <v>67</v>
      </c>
      <c r="C420" t="s">
        <v>569</v>
      </c>
      <c r="D420" t="s">
        <v>68</v>
      </c>
      <c r="E420" t="s">
        <v>69</v>
      </c>
      <c r="F420" t="s">
        <v>70</v>
      </c>
      <c r="G420" t="s">
        <v>71</v>
      </c>
      <c r="H420" t="s">
        <v>72</v>
      </c>
      <c r="I420" t="s">
        <v>73</v>
      </c>
      <c r="J420" t="str">
        <f>"46573"</f>
        <v>46573</v>
      </c>
      <c r="K420" t="s">
        <v>570</v>
      </c>
      <c r="L420" t="s">
        <v>328</v>
      </c>
      <c r="M420" t="s">
        <v>76</v>
      </c>
    </row>
    <row r="421" spans="2:13" x14ac:dyDescent="0.25">
      <c r="B421" t="s">
        <v>67</v>
      </c>
      <c r="C421" t="s">
        <v>571</v>
      </c>
      <c r="D421" t="s">
        <v>68</v>
      </c>
      <c r="E421" t="s">
        <v>69</v>
      </c>
      <c r="F421" t="s">
        <v>70</v>
      </c>
      <c r="G421" t="s">
        <v>71</v>
      </c>
      <c r="H421" t="s">
        <v>72</v>
      </c>
      <c r="I421" t="s">
        <v>73</v>
      </c>
      <c r="J421" t="str">
        <f>"46574"</f>
        <v>46574</v>
      </c>
      <c r="K421" t="s">
        <v>572</v>
      </c>
      <c r="L421" t="s">
        <v>328</v>
      </c>
      <c r="M421" t="s">
        <v>76</v>
      </c>
    </row>
    <row r="422" spans="2:13" x14ac:dyDescent="0.25">
      <c r="B422" t="s">
        <v>67</v>
      </c>
      <c r="C422" t="s">
        <v>573</v>
      </c>
      <c r="D422" t="s">
        <v>68</v>
      </c>
      <c r="E422" t="s">
        <v>69</v>
      </c>
      <c r="F422" t="s">
        <v>70</v>
      </c>
      <c r="G422" t="s">
        <v>71</v>
      </c>
      <c r="H422" t="s">
        <v>72</v>
      </c>
      <c r="I422" t="s">
        <v>73</v>
      </c>
      <c r="J422" t="str">
        <f>"46575"</f>
        <v>46575</v>
      </c>
      <c r="K422" t="s">
        <v>574</v>
      </c>
      <c r="L422" t="s">
        <v>328</v>
      </c>
      <c r="M422" t="s">
        <v>76</v>
      </c>
    </row>
    <row r="423" spans="2:13" x14ac:dyDescent="0.25">
      <c r="B423" t="s">
        <v>67</v>
      </c>
      <c r="C423" t="s">
        <v>575</v>
      </c>
      <c r="D423" t="s">
        <v>68</v>
      </c>
      <c r="E423" t="s">
        <v>69</v>
      </c>
      <c r="F423" t="s">
        <v>70</v>
      </c>
      <c r="G423" t="s">
        <v>71</v>
      </c>
      <c r="H423" t="s">
        <v>72</v>
      </c>
      <c r="I423" t="s">
        <v>73</v>
      </c>
      <c r="J423" t="str">
        <f>"46576"</f>
        <v>46576</v>
      </c>
      <c r="K423" t="s">
        <v>576</v>
      </c>
      <c r="L423" t="s">
        <v>328</v>
      </c>
      <c r="M423" t="s">
        <v>76</v>
      </c>
    </row>
    <row r="424" spans="2:13" x14ac:dyDescent="0.25">
      <c r="B424" t="s">
        <v>67</v>
      </c>
      <c r="C424" t="s">
        <v>577</v>
      </c>
      <c r="D424" t="s">
        <v>68</v>
      </c>
      <c r="E424" t="s">
        <v>69</v>
      </c>
      <c r="F424" t="s">
        <v>70</v>
      </c>
      <c r="G424" t="s">
        <v>71</v>
      </c>
      <c r="H424" t="s">
        <v>72</v>
      </c>
      <c r="I424" t="s">
        <v>73</v>
      </c>
      <c r="J424" t="str">
        <f>"46577"</f>
        <v>46577</v>
      </c>
      <c r="K424" t="s">
        <v>578</v>
      </c>
      <c r="L424" t="s">
        <v>328</v>
      </c>
      <c r="M424" t="s">
        <v>76</v>
      </c>
    </row>
    <row r="425" spans="2:13" x14ac:dyDescent="0.25">
      <c r="B425" t="s">
        <v>67</v>
      </c>
      <c r="C425" t="s">
        <v>579</v>
      </c>
      <c r="D425" t="s">
        <v>68</v>
      </c>
      <c r="E425" t="s">
        <v>69</v>
      </c>
      <c r="F425" t="s">
        <v>70</v>
      </c>
      <c r="G425" t="s">
        <v>71</v>
      </c>
      <c r="H425" t="s">
        <v>72</v>
      </c>
      <c r="I425" t="s">
        <v>73</v>
      </c>
      <c r="J425" t="str">
        <f>"46578"</f>
        <v>46578</v>
      </c>
      <c r="K425" t="s">
        <v>580</v>
      </c>
      <c r="L425" t="s">
        <v>328</v>
      </c>
      <c r="M425" t="s">
        <v>76</v>
      </c>
    </row>
    <row r="426" spans="2:13" x14ac:dyDescent="0.25">
      <c r="B426" t="s">
        <v>67</v>
      </c>
      <c r="C426" t="s">
        <v>581</v>
      </c>
      <c r="D426" t="s">
        <v>68</v>
      </c>
      <c r="E426" t="s">
        <v>69</v>
      </c>
      <c r="F426" t="s">
        <v>70</v>
      </c>
      <c r="G426" t="s">
        <v>71</v>
      </c>
      <c r="H426" t="s">
        <v>72</v>
      </c>
      <c r="I426" t="s">
        <v>73</v>
      </c>
      <c r="J426" t="str">
        <f>"46579"</f>
        <v>46579</v>
      </c>
      <c r="K426" t="s">
        <v>582</v>
      </c>
      <c r="L426" t="s">
        <v>328</v>
      </c>
      <c r="M426" t="s">
        <v>76</v>
      </c>
    </row>
    <row r="427" spans="2:13" x14ac:dyDescent="0.25">
      <c r="B427" t="s">
        <v>67</v>
      </c>
      <c r="C427" t="s">
        <v>583</v>
      </c>
      <c r="D427" t="s">
        <v>68</v>
      </c>
      <c r="E427" t="s">
        <v>69</v>
      </c>
      <c r="F427" t="s">
        <v>70</v>
      </c>
      <c r="G427" t="s">
        <v>71</v>
      </c>
      <c r="H427" t="s">
        <v>72</v>
      </c>
      <c r="I427" t="s">
        <v>73</v>
      </c>
      <c r="J427" t="str">
        <f>"46580"</f>
        <v>46580</v>
      </c>
      <c r="K427" t="s">
        <v>584</v>
      </c>
      <c r="L427" t="s">
        <v>328</v>
      </c>
      <c r="M427" t="s">
        <v>76</v>
      </c>
    </row>
    <row r="428" spans="2:13" x14ac:dyDescent="0.25">
      <c r="B428" t="s">
        <v>67</v>
      </c>
      <c r="C428" t="s">
        <v>585</v>
      </c>
      <c r="D428" t="s">
        <v>68</v>
      </c>
      <c r="E428" t="s">
        <v>69</v>
      </c>
      <c r="F428" t="s">
        <v>70</v>
      </c>
      <c r="G428" t="s">
        <v>71</v>
      </c>
      <c r="H428" t="s">
        <v>72</v>
      </c>
      <c r="I428" t="s">
        <v>73</v>
      </c>
      <c r="J428" t="str">
        <f>"46581"</f>
        <v>46581</v>
      </c>
      <c r="K428" t="s">
        <v>586</v>
      </c>
      <c r="L428" t="s">
        <v>328</v>
      </c>
      <c r="M428" t="s">
        <v>76</v>
      </c>
    </row>
    <row r="429" spans="2:13" x14ac:dyDescent="0.25">
      <c r="B429" t="s">
        <v>67</v>
      </c>
      <c r="C429" t="s">
        <v>587</v>
      </c>
      <c r="D429" t="s">
        <v>68</v>
      </c>
      <c r="E429" t="s">
        <v>69</v>
      </c>
      <c r="F429" t="s">
        <v>70</v>
      </c>
      <c r="G429" t="s">
        <v>71</v>
      </c>
      <c r="H429" t="s">
        <v>72</v>
      </c>
      <c r="I429" t="s">
        <v>73</v>
      </c>
      <c r="J429" t="str">
        <f>"46582"</f>
        <v>46582</v>
      </c>
      <c r="K429" t="s">
        <v>588</v>
      </c>
      <c r="L429" t="s">
        <v>328</v>
      </c>
      <c r="M429" t="s">
        <v>76</v>
      </c>
    </row>
    <row r="430" spans="2:13" x14ac:dyDescent="0.25">
      <c r="B430" t="s">
        <v>67</v>
      </c>
      <c r="C430" t="s">
        <v>589</v>
      </c>
      <c r="D430" t="s">
        <v>68</v>
      </c>
      <c r="E430" t="s">
        <v>69</v>
      </c>
      <c r="F430" t="s">
        <v>70</v>
      </c>
      <c r="G430" t="s">
        <v>71</v>
      </c>
      <c r="H430" t="s">
        <v>72</v>
      </c>
      <c r="I430" t="s">
        <v>73</v>
      </c>
      <c r="J430" t="str">
        <f>"46583"</f>
        <v>46583</v>
      </c>
      <c r="K430" t="s">
        <v>590</v>
      </c>
      <c r="L430" t="s">
        <v>328</v>
      </c>
      <c r="M430" t="s">
        <v>76</v>
      </c>
    </row>
    <row r="431" spans="2:13" x14ac:dyDescent="0.25">
      <c r="B431" t="s">
        <v>67</v>
      </c>
      <c r="C431" t="s">
        <v>591</v>
      </c>
      <c r="D431" t="s">
        <v>68</v>
      </c>
      <c r="E431" t="s">
        <v>69</v>
      </c>
      <c r="F431" t="s">
        <v>70</v>
      </c>
      <c r="G431" t="s">
        <v>71</v>
      </c>
      <c r="H431" t="s">
        <v>72</v>
      </c>
      <c r="I431" t="s">
        <v>73</v>
      </c>
      <c r="J431" t="str">
        <f>"46584"</f>
        <v>46584</v>
      </c>
      <c r="K431" t="s">
        <v>592</v>
      </c>
      <c r="L431" t="s">
        <v>328</v>
      </c>
      <c r="M431" t="s">
        <v>76</v>
      </c>
    </row>
    <row r="432" spans="2:13" x14ac:dyDescent="0.25">
      <c r="B432" t="s">
        <v>67</v>
      </c>
      <c r="C432" t="s">
        <v>593</v>
      </c>
      <c r="D432" t="s">
        <v>68</v>
      </c>
      <c r="E432" t="s">
        <v>69</v>
      </c>
      <c r="F432" t="s">
        <v>70</v>
      </c>
      <c r="G432" t="s">
        <v>71</v>
      </c>
      <c r="H432" t="s">
        <v>72</v>
      </c>
      <c r="I432" t="s">
        <v>73</v>
      </c>
      <c r="J432" t="str">
        <f>"46585"</f>
        <v>46585</v>
      </c>
      <c r="K432" t="s">
        <v>594</v>
      </c>
      <c r="L432" t="s">
        <v>328</v>
      </c>
      <c r="M432" t="s">
        <v>76</v>
      </c>
    </row>
    <row r="433" spans="2:13" x14ac:dyDescent="0.25">
      <c r="B433" t="s">
        <v>67</v>
      </c>
      <c r="C433" t="s">
        <v>595</v>
      </c>
      <c r="D433" t="s">
        <v>68</v>
      </c>
      <c r="E433" t="s">
        <v>69</v>
      </c>
      <c r="F433" t="s">
        <v>70</v>
      </c>
      <c r="G433" t="s">
        <v>71</v>
      </c>
      <c r="H433" t="s">
        <v>72</v>
      </c>
      <c r="I433" t="s">
        <v>73</v>
      </c>
      <c r="J433" t="str">
        <f>"46586"</f>
        <v>46586</v>
      </c>
      <c r="K433" t="s">
        <v>596</v>
      </c>
      <c r="L433" t="s">
        <v>328</v>
      </c>
      <c r="M433" t="s">
        <v>76</v>
      </c>
    </row>
    <row r="434" spans="2:13" x14ac:dyDescent="0.25">
      <c r="B434" t="s">
        <v>67</v>
      </c>
      <c r="C434" t="s">
        <v>597</v>
      </c>
      <c r="D434" t="s">
        <v>68</v>
      </c>
      <c r="E434" t="s">
        <v>69</v>
      </c>
      <c r="F434" t="s">
        <v>70</v>
      </c>
      <c r="G434" t="s">
        <v>71</v>
      </c>
      <c r="H434" t="s">
        <v>72</v>
      </c>
      <c r="I434" t="s">
        <v>73</v>
      </c>
      <c r="J434" t="str">
        <f>"46587"</f>
        <v>46587</v>
      </c>
      <c r="K434" t="s">
        <v>598</v>
      </c>
      <c r="L434" t="s">
        <v>328</v>
      </c>
      <c r="M434" t="s">
        <v>76</v>
      </c>
    </row>
    <row r="435" spans="2:13" x14ac:dyDescent="0.25">
      <c r="B435" t="s">
        <v>67</v>
      </c>
      <c r="C435" t="s">
        <v>599</v>
      </c>
      <c r="D435" t="s">
        <v>68</v>
      </c>
      <c r="E435" t="s">
        <v>69</v>
      </c>
      <c r="F435" t="s">
        <v>70</v>
      </c>
      <c r="G435" t="s">
        <v>71</v>
      </c>
      <c r="H435" t="s">
        <v>72</v>
      </c>
      <c r="I435" t="s">
        <v>73</v>
      </c>
      <c r="J435" t="str">
        <f>"46588"</f>
        <v>46588</v>
      </c>
      <c r="K435" t="s">
        <v>600</v>
      </c>
      <c r="L435" t="s">
        <v>328</v>
      </c>
      <c r="M435" t="s">
        <v>76</v>
      </c>
    </row>
    <row r="436" spans="2:13" x14ac:dyDescent="0.25">
      <c r="B436" t="s">
        <v>67</v>
      </c>
      <c r="C436" t="s">
        <v>601</v>
      </c>
      <c r="D436" t="s">
        <v>68</v>
      </c>
      <c r="E436" t="s">
        <v>69</v>
      </c>
      <c r="F436" t="s">
        <v>70</v>
      </c>
      <c r="G436" t="s">
        <v>71</v>
      </c>
      <c r="H436" t="s">
        <v>72</v>
      </c>
      <c r="I436" t="s">
        <v>73</v>
      </c>
      <c r="J436" t="str">
        <f>"46589"</f>
        <v>46589</v>
      </c>
      <c r="K436" t="s">
        <v>602</v>
      </c>
      <c r="L436" t="s">
        <v>328</v>
      </c>
      <c r="M436" t="s">
        <v>76</v>
      </c>
    </row>
    <row r="437" spans="2:13" x14ac:dyDescent="0.25">
      <c r="B437" t="s">
        <v>67</v>
      </c>
      <c r="C437" t="s">
        <v>603</v>
      </c>
      <c r="D437" t="s">
        <v>68</v>
      </c>
      <c r="E437" t="s">
        <v>69</v>
      </c>
      <c r="F437" t="s">
        <v>70</v>
      </c>
      <c r="G437" t="s">
        <v>71</v>
      </c>
      <c r="H437" t="s">
        <v>72</v>
      </c>
      <c r="I437" t="s">
        <v>73</v>
      </c>
      <c r="J437" t="str">
        <f>"46590"</f>
        <v>46590</v>
      </c>
      <c r="K437" t="s">
        <v>604</v>
      </c>
      <c r="L437" t="s">
        <v>328</v>
      </c>
      <c r="M437" t="s">
        <v>76</v>
      </c>
    </row>
    <row r="438" spans="2:13" x14ac:dyDescent="0.25">
      <c r="B438" t="s">
        <v>67</v>
      </c>
      <c r="C438" t="s">
        <v>605</v>
      </c>
      <c r="D438" t="s">
        <v>68</v>
      </c>
      <c r="E438" t="s">
        <v>69</v>
      </c>
      <c r="F438" t="s">
        <v>70</v>
      </c>
      <c r="G438" t="s">
        <v>71</v>
      </c>
      <c r="H438" t="s">
        <v>72</v>
      </c>
      <c r="I438" t="s">
        <v>73</v>
      </c>
      <c r="J438" t="str">
        <f>"46591"</f>
        <v>46591</v>
      </c>
      <c r="K438" t="s">
        <v>606</v>
      </c>
      <c r="L438" t="s">
        <v>328</v>
      </c>
      <c r="M438" t="s">
        <v>76</v>
      </c>
    </row>
    <row r="439" spans="2:13" x14ac:dyDescent="0.25">
      <c r="B439" t="s">
        <v>67</v>
      </c>
      <c r="C439" t="s">
        <v>607</v>
      </c>
      <c r="D439" t="s">
        <v>68</v>
      </c>
      <c r="E439" t="s">
        <v>69</v>
      </c>
      <c r="F439" t="s">
        <v>70</v>
      </c>
      <c r="G439" t="s">
        <v>71</v>
      </c>
      <c r="H439" t="s">
        <v>72</v>
      </c>
      <c r="I439" t="s">
        <v>73</v>
      </c>
      <c r="J439" t="str">
        <f>"46592"</f>
        <v>46592</v>
      </c>
      <c r="K439" t="s">
        <v>608</v>
      </c>
      <c r="L439" t="s">
        <v>328</v>
      </c>
      <c r="M439" t="s">
        <v>76</v>
      </c>
    </row>
    <row r="440" spans="2:13" x14ac:dyDescent="0.25">
      <c r="B440" t="s">
        <v>67</v>
      </c>
      <c r="C440" t="s">
        <v>609</v>
      </c>
      <c r="D440" t="s">
        <v>68</v>
      </c>
      <c r="E440" t="s">
        <v>69</v>
      </c>
      <c r="F440" t="s">
        <v>70</v>
      </c>
      <c r="G440" t="s">
        <v>71</v>
      </c>
      <c r="H440" t="s">
        <v>72</v>
      </c>
      <c r="I440" t="s">
        <v>73</v>
      </c>
      <c r="J440" t="str">
        <f>"46593"</f>
        <v>46593</v>
      </c>
      <c r="K440" t="s">
        <v>610</v>
      </c>
      <c r="L440" t="s">
        <v>328</v>
      </c>
      <c r="M440" t="s">
        <v>76</v>
      </c>
    </row>
    <row r="441" spans="2:13" x14ac:dyDescent="0.25">
      <c r="B441" t="s">
        <v>67</v>
      </c>
      <c r="C441" t="s">
        <v>611</v>
      </c>
      <c r="D441" t="s">
        <v>68</v>
      </c>
      <c r="E441" t="s">
        <v>69</v>
      </c>
      <c r="F441" t="s">
        <v>70</v>
      </c>
      <c r="G441" t="s">
        <v>71</v>
      </c>
      <c r="H441" t="s">
        <v>72</v>
      </c>
      <c r="I441" t="s">
        <v>73</v>
      </c>
      <c r="J441" t="str">
        <f>"46594"</f>
        <v>46594</v>
      </c>
      <c r="K441" t="s">
        <v>612</v>
      </c>
      <c r="L441" t="s">
        <v>328</v>
      </c>
      <c r="M441" t="s">
        <v>76</v>
      </c>
    </row>
    <row r="442" spans="2:13" x14ac:dyDescent="0.25">
      <c r="B442" t="s">
        <v>67</v>
      </c>
      <c r="C442" t="s">
        <v>613</v>
      </c>
      <c r="D442" t="s">
        <v>68</v>
      </c>
      <c r="E442" t="s">
        <v>69</v>
      </c>
      <c r="F442" t="s">
        <v>70</v>
      </c>
      <c r="G442" t="s">
        <v>71</v>
      </c>
      <c r="H442" t="s">
        <v>72</v>
      </c>
      <c r="I442" t="s">
        <v>73</v>
      </c>
      <c r="J442" t="str">
        <f>"46595"</f>
        <v>46595</v>
      </c>
      <c r="K442" t="s">
        <v>614</v>
      </c>
      <c r="L442" t="s">
        <v>328</v>
      </c>
      <c r="M442" t="s">
        <v>76</v>
      </c>
    </row>
    <row r="443" spans="2:13" x14ac:dyDescent="0.25">
      <c r="B443" t="s">
        <v>67</v>
      </c>
      <c r="C443" t="s">
        <v>615</v>
      </c>
      <c r="D443" t="s">
        <v>68</v>
      </c>
      <c r="E443" t="s">
        <v>69</v>
      </c>
      <c r="F443" t="s">
        <v>70</v>
      </c>
      <c r="G443" t="s">
        <v>71</v>
      </c>
      <c r="H443" t="s">
        <v>72</v>
      </c>
      <c r="I443" t="s">
        <v>73</v>
      </c>
      <c r="J443" t="str">
        <f>"46596"</f>
        <v>46596</v>
      </c>
      <c r="K443" t="s">
        <v>616</v>
      </c>
      <c r="L443" t="s">
        <v>328</v>
      </c>
      <c r="M443" t="s">
        <v>76</v>
      </c>
    </row>
    <row r="444" spans="2:13" x14ac:dyDescent="0.25">
      <c r="B444" t="s">
        <v>67</v>
      </c>
      <c r="C444" t="s">
        <v>617</v>
      </c>
      <c r="D444" t="s">
        <v>68</v>
      </c>
      <c r="E444" t="s">
        <v>69</v>
      </c>
      <c r="F444" t="s">
        <v>70</v>
      </c>
      <c r="G444" t="s">
        <v>71</v>
      </c>
      <c r="H444" t="s">
        <v>72</v>
      </c>
      <c r="I444" t="s">
        <v>73</v>
      </c>
      <c r="J444" t="str">
        <f>"46597"</f>
        <v>46597</v>
      </c>
      <c r="K444" t="s">
        <v>618</v>
      </c>
      <c r="L444" t="s">
        <v>328</v>
      </c>
      <c r="M444" t="s">
        <v>76</v>
      </c>
    </row>
    <row r="445" spans="2:13" x14ac:dyDescent="0.25">
      <c r="B445" t="s">
        <v>67</v>
      </c>
      <c r="C445" t="s">
        <v>619</v>
      </c>
      <c r="D445" t="s">
        <v>68</v>
      </c>
      <c r="E445" t="s">
        <v>69</v>
      </c>
      <c r="F445" t="s">
        <v>70</v>
      </c>
      <c r="G445" t="s">
        <v>71</v>
      </c>
      <c r="H445" t="s">
        <v>72</v>
      </c>
      <c r="I445" t="s">
        <v>73</v>
      </c>
      <c r="J445" t="str">
        <f>"46598"</f>
        <v>46598</v>
      </c>
      <c r="K445" t="s">
        <v>620</v>
      </c>
      <c r="L445" t="s">
        <v>328</v>
      </c>
      <c r="M445" t="s">
        <v>76</v>
      </c>
    </row>
    <row r="446" spans="2:13" x14ac:dyDescent="0.25">
      <c r="B446" t="s">
        <v>67</v>
      </c>
      <c r="C446" t="s">
        <v>621</v>
      </c>
      <c r="D446" t="s">
        <v>68</v>
      </c>
      <c r="E446" t="s">
        <v>69</v>
      </c>
      <c r="F446" t="s">
        <v>70</v>
      </c>
      <c r="G446" t="s">
        <v>71</v>
      </c>
      <c r="H446" t="s">
        <v>72</v>
      </c>
      <c r="I446" t="s">
        <v>73</v>
      </c>
      <c r="J446" t="str">
        <f>"46599"</f>
        <v>46599</v>
      </c>
      <c r="K446" t="s">
        <v>622</v>
      </c>
      <c r="L446" t="s">
        <v>328</v>
      </c>
      <c r="M446" t="s">
        <v>76</v>
      </c>
    </row>
    <row r="447" spans="2:13" x14ac:dyDescent="0.25">
      <c r="B447" t="s">
        <v>67</v>
      </c>
      <c r="C447" t="s">
        <v>623</v>
      </c>
      <c r="D447" t="s">
        <v>68</v>
      </c>
      <c r="E447" t="s">
        <v>69</v>
      </c>
      <c r="F447" t="s">
        <v>70</v>
      </c>
      <c r="G447" t="s">
        <v>71</v>
      </c>
      <c r="H447" t="s">
        <v>72</v>
      </c>
      <c r="I447" t="s">
        <v>73</v>
      </c>
      <c r="J447" t="str">
        <f>"46600"</f>
        <v>46600</v>
      </c>
      <c r="K447" t="s">
        <v>624</v>
      </c>
      <c r="L447" t="s">
        <v>328</v>
      </c>
      <c r="M447" t="s">
        <v>76</v>
      </c>
    </row>
    <row r="448" spans="2:13" x14ac:dyDescent="0.25">
      <c r="B448" t="s">
        <v>67</v>
      </c>
      <c r="C448" t="s">
        <v>625</v>
      </c>
      <c r="D448" t="s">
        <v>68</v>
      </c>
      <c r="E448" t="s">
        <v>69</v>
      </c>
      <c r="F448" t="s">
        <v>70</v>
      </c>
      <c r="G448" t="s">
        <v>71</v>
      </c>
      <c r="H448" t="s">
        <v>72</v>
      </c>
      <c r="I448" t="s">
        <v>73</v>
      </c>
      <c r="J448" t="str">
        <f>"46601"</f>
        <v>46601</v>
      </c>
      <c r="K448" t="s">
        <v>626</v>
      </c>
      <c r="L448" t="s">
        <v>328</v>
      </c>
      <c r="M448" t="s">
        <v>76</v>
      </c>
    </row>
    <row r="449" spans="2:13" x14ac:dyDescent="0.25">
      <c r="B449" t="s">
        <v>67</v>
      </c>
      <c r="C449" t="s">
        <v>627</v>
      </c>
      <c r="D449" t="s">
        <v>68</v>
      </c>
      <c r="E449" t="s">
        <v>69</v>
      </c>
      <c r="F449" t="s">
        <v>70</v>
      </c>
      <c r="G449" t="s">
        <v>71</v>
      </c>
      <c r="H449" t="s">
        <v>72</v>
      </c>
      <c r="I449" t="s">
        <v>73</v>
      </c>
      <c r="J449" t="str">
        <f>"46602"</f>
        <v>46602</v>
      </c>
      <c r="K449" t="s">
        <v>628</v>
      </c>
      <c r="L449" t="s">
        <v>328</v>
      </c>
      <c r="M449" t="s">
        <v>76</v>
      </c>
    </row>
    <row r="450" spans="2:13" x14ac:dyDescent="0.25">
      <c r="B450" t="s">
        <v>67</v>
      </c>
      <c r="C450" t="s">
        <v>629</v>
      </c>
      <c r="D450" t="s">
        <v>68</v>
      </c>
      <c r="E450" t="s">
        <v>69</v>
      </c>
      <c r="F450" t="s">
        <v>70</v>
      </c>
      <c r="G450" t="s">
        <v>71</v>
      </c>
      <c r="H450" t="s">
        <v>72</v>
      </c>
      <c r="I450" t="s">
        <v>73</v>
      </c>
      <c r="J450" t="str">
        <f>"46603"</f>
        <v>46603</v>
      </c>
      <c r="K450" t="s">
        <v>630</v>
      </c>
      <c r="L450" t="s">
        <v>328</v>
      </c>
      <c r="M450" t="s">
        <v>76</v>
      </c>
    </row>
    <row r="451" spans="2:13" x14ac:dyDescent="0.25">
      <c r="B451" t="s">
        <v>67</v>
      </c>
      <c r="C451" t="s">
        <v>631</v>
      </c>
      <c r="D451" t="s">
        <v>68</v>
      </c>
      <c r="E451" t="s">
        <v>69</v>
      </c>
      <c r="F451" t="s">
        <v>70</v>
      </c>
      <c r="G451" t="s">
        <v>71</v>
      </c>
      <c r="H451" t="s">
        <v>72</v>
      </c>
      <c r="I451" t="s">
        <v>73</v>
      </c>
      <c r="J451" t="str">
        <f>"46604"</f>
        <v>46604</v>
      </c>
      <c r="K451" t="s">
        <v>632</v>
      </c>
      <c r="L451" t="s">
        <v>328</v>
      </c>
      <c r="M451" t="s">
        <v>76</v>
      </c>
    </row>
    <row r="452" spans="2:13" x14ac:dyDescent="0.25">
      <c r="B452" t="s">
        <v>67</v>
      </c>
      <c r="C452" t="s">
        <v>633</v>
      </c>
      <c r="D452" t="s">
        <v>68</v>
      </c>
      <c r="E452" t="s">
        <v>69</v>
      </c>
      <c r="F452" t="s">
        <v>70</v>
      </c>
      <c r="G452" t="s">
        <v>71</v>
      </c>
      <c r="H452" t="s">
        <v>72</v>
      </c>
      <c r="I452" t="s">
        <v>73</v>
      </c>
      <c r="J452" t="str">
        <f>"46605"</f>
        <v>46605</v>
      </c>
      <c r="K452" t="s">
        <v>634</v>
      </c>
      <c r="L452" t="s">
        <v>328</v>
      </c>
      <c r="M452" t="s">
        <v>76</v>
      </c>
    </row>
    <row r="453" spans="2:13" x14ac:dyDescent="0.25">
      <c r="B453" t="s">
        <v>67</v>
      </c>
      <c r="C453" t="s">
        <v>635</v>
      </c>
      <c r="D453" t="s">
        <v>68</v>
      </c>
      <c r="E453" t="s">
        <v>69</v>
      </c>
      <c r="F453" t="s">
        <v>70</v>
      </c>
      <c r="G453" t="s">
        <v>71</v>
      </c>
      <c r="H453" t="s">
        <v>72</v>
      </c>
      <c r="I453" t="s">
        <v>73</v>
      </c>
      <c r="J453" t="str">
        <f>"46606"</f>
        <v>46606</v>
      </c>
      <c r="K453" t="s">
        <v>636</v>
      </c>
      <c r="L453" t="s">
        <v>328</v>
      </c>
      <c r="M453" t="s">
        <v>76</v>
      </c>
    </row>
    <row r="454" spans="2:13" x14ac:dyDescent="0.25">
      <c r="B454" t="s">
        <v>67</v>
      </c>
      <c r="C454" t="s">
        <v>637</v>
      </c>
      <c r="D454" t="s">
        <v>68</v>
      </c>
      <c r="E454" t="s">
        <v>69</v>
      </c>
      <c r="F454" t="s">
        <v>70</v>
      </c>
      <c r="G454" t="s">
        <v>71</v>
      </c>
      <c r="H454" t="s">
        <v>72</v>
      </c>
      <c r="I454" t="s">
        <v>73</v>
      </c>
      <c r="J454" t="str">
        <f>"46607"</f>
        <v>46607</v>
      </c>
      <c r="K454" t="s">
        <v>638</v>
      </c>
      <c r="L454" t="s">
        <v>328</v>
      </c>
      <c r="M454" t="s">
        <v>76</v>
      </c>
    </row>
    <row r="455" spans="2:13" x14ac:dyDescent="0.25">
      <c r="B455" t="s">
        <v>67</v>
      </c>
      <c r="C455" t="s">
        <v>639</v>
      </c>
      <c r="D455" t="s">
        <v>68</v>
      </c>
      <c r="E455" t="s">
        <v>69</v>
      </c>
      <c r="F455" t="s">
        <v>70</v>
      </c>
      <c r="G455" t="s">
        <v>71</v>
      </c>
      <c r="H455" t="s">
        <v>72</v>
      </c>
      <c r="I455" t="s">
        <v>73</v>
      </c>
      <c r="J455" t="str">
        <f>"46608"</f>
        <v>46608</v>
      </c>
      <c r="K455" t="s">
        <v>640</v>
      </c>
      <c r="L455" t="s">
        <v>328</v>
      </c>
      <c r="M455" t="s">
        <v>76</v>
      </c>
    </row>
    <row r="456" spans="2:13" x14ac:dyDescent="0.25">
      <c r="B456" t="s">
        <v>67</v>
      </c>
      <c r="C456" t="s">
        <v>641</v>
      </c>
      <c r="D456" t="s">
        <v>68</v>
      </c>
      <c r="E456" t="s">
        <v>69</v>
      </c>
      <c r="F456" t="s">
        <v>70</v>
      </c>
      <c r="G456" t="s">
        <v>71</v>
      </c>
      <c r="H456" t="s">
        <v>72</v>
      </c>
      <c r="I456" t="s">
        <v>73</v>
      </c>
      <c r="J456" t="str">
        <f>"46609"</f>
        <v>46609</v>
      </c>
      <c r="K456" t="s">
        <v>642</v>
      </c>
      <c r="L456" t="s">
        <v>328</v>
      </c>
      <c r="M456" t="s">
        <v>76</v>
      </c>
    </row>
    <row r="457" spans="2:13" x14ac:dyDescent="0.25">
      <c r="B457" t="s">
        <v>67</v>
      </c>
      <c r="C457" t="s">
        <v>643</v>
      </c>
      <c r="D457" t="s">
        <v>68</v>
      </c>
      <c r="E457" t="s">
        <v>69</v>
      </c>
      <c r="F457" t="s">
        <v>70</v>
      </c>
      <c r="G457" t="s">
        <v>71</v>
      </c>
      <c r="H457" t="s">
        <v>72</v>
      </c>
      <c r="I457" t="s">
        <v>73</v>
      </c>
      <c r="J457" t="str">
        <f>"46610"</f>
        <v>46610</v>
      </c>
      <c r="K457" t="s">
        <v>644</v>
      </c>
      <c r="L457" t="s">
        <v>328</v>
      </c>
      <c r="M457" t="s">
        <v>76</v>
      </c>
    </row>
    <row r="458" spans="2:13" x14ac:dyDescent="0.25">
      <c r="B458" t="s">
        <v>67</v>
      </c>
      <c r="C458" t="s">
        <v>645</v>
      </c>
      <c r="D458" t="s">
        <v>68</v>
      </c>
      <c r="E458" t="s">
        <v>69</v>
      </c>
      <c r="F458" t="s">
        <v>70</v>
      </c>
      <c r="G458" t="s">
        <v>71</v>
      </c>
      <c r="H458" t="s">
        <v>72</v>
      </c>
      <c r="I458" t="s">
        <v>73</v>
      </c>
      <c r="J458" t="str">
        <f>"46611"</f>
        <v>46611</v>
      </c>
      <c r="K458" t="s">
        <v>646</v>
      </c>
      <c r="L458" t="s">
        <v>328</v>
      </c>
      <c r="M458" t="s">
        <v>76</v>
      </c>
    </row>
    <row r="459" spans="2:13" x14ac:dyDescent="0.25">
      <c r="B459" t="s">
        <v>67</v>
      </c>
      <c r="C459" t="s">
        <v>647</v>
      </c>
      <c r="D459" t="s">
        <v>68</v>
      </c>
      <c r="E459" t="s">
        <v>69</v>
      </c>
      <c r="F459" t="s">
        <v>70</v>
      </c>
      <c r="G459" t="s">
        <v>71</v>
      </c>
      <c r="H459" t="s">
        <v>72</v>
      </c>
      <c r="I459" t="s">
        <v>73</v>
      </c>
      <c r="J459" t="str">
        <f>"46612"</f>
        <v>46612</v>
      </c>
      <c r="K459" t="s">
        <v>648</v>
      </c>
      <c r="L459" t="s">
        <v>328</v>
      </c>
      <c r="M459" t="s">
        <v>76</v>
      </c>
    </row>
    <row r="460" spans="2:13" x14ac:dyDescent="0.25">
      <c r="B460" t="s">
        <v>67</v>
      </c>
      <c r="C460" t="s">
        <v>649</v>
      </c>
      <c r="D460" t="s">
        <v>68</v>
      </c>
      <c r="E460" t="s">
        <v>69</v>
      </c>
      <c r="F460" t="s">
        <v>70</v>
      </c>
      <c r="G460" t="s">
        <v>71</v>
      </c>
      <c r="H460" t="s">
        <v>72</v>
      </c>
      <c r="I460" t="s">
        <v>73</v>
      </c>
      <c r="J460" t="str">
        <f>"46613"</f>
        <v>46613</v>
      </c>
      <c r="K460" t="s">
        <v>650</v>
      </c>
      <c r="L460" t="s">
        <v>328</v>
      </c>
      <c r="M460" t="s">
        <v>76</v>
      </c>
    </row>
    <row r="461" spans="2:13" x14ac:dyDescent="0.25">
      <c r="B461" t="s">
        <v>67</v>
      </c>
      <c r="C461" t="s">
        <v>651</v>
      </c>
      <c r="D461" t="s">
        <v>68</v>
      </c>
      <c r="E461" t="s">
        <v>69</v>
      </c>
      <c r="F461" t="s">
        <v>70</v>
      </c>
      <c r="G461" t="s">
        <v>71</v>
      </c>
      <c r="H461" t="s">
        <v>72</v>
      </c>
      <c r="I461" t="s">
        <v>73</v>
      </c>
      <c r="J461" t="str">
        <f>"46614"</f>
        <v>46614</v>
      </c>
      <c r="K461" t="s">
        <v>652</v>
      </c>
      <c r="L461" t="s">
        <v>328</v>
      </c>
      <c r="M461" t="s">
        <v>76</v>
      </c>
    </row>
    <row r="462" spans="2:13" x14ac:dyDescent="0.25">
      <c r="B462" t="s">
        <v>67</v>
      </c>
      <c r="C462" t="s">
        <v>653</v>
      </c>
      <c r="D462" t="s">
        <v>68</v>
      </c>
      <c r="E462" t="s">
        <v>69</v>
      </c>
      <c r="F462" t="s">
        <v>70</v>
      </c>
      <c r="G462" t="s">
        <v>71</v>
      </c>
      <c r="H462" t="s">
        <v>72</v>
      </c>
      <c r="I462" t="s">
        <v>73</v>
      </c>
      <c r="J462" t="str">
        <f>"46615"</f>
        <v>46615</v>
      </c>
      <c r="K462" t="s">
        <v>654</v>
      </c>
      <c r="L462" t="s">
        <v>328</v>
      </c>
      <c r="M462" t="s">
        <v>76</v>
      </c>
    </row>
    <row r="463" spans="2:13" x14ac:dyDescent="0.25">
      <c r="B463" t="s">
        <v>67</v>
      </c>
      <c r="C463" t="s">
        <v>655</v>
      </c>
      <c r="D463" t="s">
        <v>68</v>
      </c>
      <c r="E463" t="s">
        <v>69</v>
      </c>
      <c r="F463" t="s">
        <v>70</v>
      </c>
      <c r="G463" t="s">
        <v>71</v>
      </c>
      <c r="H463" t="s">
        <v>72</v>
      </c>
      <c r="I463" t="s">
        <v>73</v>
      </c>
      <c r="J463" t="str">
        <f>"46616"</f>
        <v>46616</v>
      </c>
      <c r="K463" t="s">
        <v>656</v>
      </c>
      <c r="L463" t="s">
        <v>328</v>
      </c>
      <c r="M463" t="s">
        <v>76</v>
      </c>
    </row>
    <row r="464" spans="2:13" x14ac:dyDescent="0.25">
      <c r="B464" t="s">
        <v>67</v>
      </c>
      <c r="C464" t="s">
        <v>657</v>
      </c>
      <c r="D464" t="s">
        <v>68</v>
      </c>
      <c r="E464" t="s">
        <v>69</v>
      </c>
      <c r="F464" t="s">
        <v>70</v>
      </c>
      <c r="G464" t="s">
        <v>71</v>
      </c>
      <c r="H464" t="s">
        <v>72</v>
      </c>
      <c r="I464" t="s">
        <v>73</v>
      </c>
      <c r="J464" t="str">
        <f>"46617"</f>
        <v>46617</v>
      </c>
      <c r="K464" t="s">
        <v>658</v>
      </c>
      <c r="L464" t="s">
        <v>328</v>
      </c>
      <c r="M464" t="s">
        <v>76</v>
      </c>
    </row>
    <row r="465" spans="2:13" x14ac:dyDescent="0.25">
      <c r="B465" t="s">
        <v>67</v>
      </c>
      <c r="C465" t="s">
        <v>659</v>
      </c>
      <c r="D465" t="s">
        <v>68</v>
      </c>
      <c r="E465" t="s">
        <v>69</v>
      </c>
      <c r="F465" t="s">
        <v>70</v>
      </c>
      <c r="G465" t="s">
        <v>71</v>
      </c>
      <c r="H465" t="s">
        <v>72</v>
      </c>
      <c r="I465" t="s">
        <v>73</v>
      </c>
      <c r="J465" t="str">
        <f>"46618"</f>
        <v>46618</v>
      </c>
      <c r="K465" t="s">
        <v>660</v>
      </c>
      <c r="L465" t="s">
        <v>328</v>
      </c>
      <c r="M465" t="s">
        <v>76</v>
      </c>
    </row>
    <row r="466" spans="2:13" x14ac:dyDescent="0.25">
      <c r="B466" t="s">
        <v>67</v>
      </c>
      <c r="C466" t="s">
        <v>661</v>
      </c>
      <c r="D466" t="s">
        <v>68</v>
      </c>
      <c r="E466" t="s">
        <v>69</v>
      </c>
      <c r="F466" t="s">
        <v>70</v>
      </c>
      <c r="G466" t="s">
        <v>71</v>
      </c>
      <c r="H466" t="s">
        <v>72</v>
      </c>
      <c r="I466" t="s">
        <v>73</v>
      </c>
      <c r="J466" t="str">
        <f>"46619"</f>
        <v>46619</v>
      </c>
      <c r="K466" t="s">
        <v>662</v>
      </c>
      <c r="L466" t="s">
        <v>328</v>
      </c>
      <c r="M466" t="s">
        <v>76</v>
      </c>
    </row>
    <row r="467" spans="2:13" x14ac:dyDescent="0.25">
      <c r="B467" t="s">
        <v>67</v>
      </c>
      <c r="C467" t="s">
        <v>663</v>
      </c>
      <c r="D467" t="s">
        <v>68</v>
      </c>
      <c r="E467" t="s">
        <v>69</v>
      </c>
      <c r="F467" t="s">
        <v>70</v>
      </c>
      <c r="G467" t="s">
        <v>71</v>
      </c>
      <c r="H467" t="s">
        <v>72</v>
      </c>
      <c r="I467" t="s">
        <v>73</v>
      </c>
      <c r="J467" t="str">
        <f>"46620"</f>
        <v>46620</v>
      </c>
      <c r="K467" t="s">
        <v>664</v>
      </c>
      <c r="L467" t="s">
        <v>328</v>
      </c>
      <c r="M467" t="s">
        <v>76</v>
      </c>
    </row>
    <row r="468" spans="2:13" x14ac:dyDescent="0.25">
      <c r="B468" t="s">
        <v>67</v>
      </c>
      <c r="C468" t="s">
        <v>665</v>
      </c>
      <c r="D468" t="s">
        <v>68</v>
      </c>
      <c r="E468" t="s">
        <v>69</v>
      </c>
      <c r="F468" t="s">
        <v>70</v>
      </c>
      <c r="G468" t="s">
        <v>71</v>
      </c>
      <c r="H468" t="s">
        <v>72</v>
      </c>
      <c r="I468" t="s">
        <v>73</v>
      </c>
      <c r="J468" t="str">
        <f>"46621"</f>
        <v>46621</v>
      </c>
      <c r="K468" t="s">
        <v>666</v>
      </c>
      <c r="L468" t="s">
        <v>328</v>
      </c>
      <c r="M468" t="s">
        <v>76</v>
      </c>
    </row>
    <row r="469" spans="2:13" x14ac:dyDescent="0.25">
      <c r="B469" t="s">
        <v>67</v>
      </c>
      <c r="C469" t="s">
        <v>667</v>
      </c>
      <c r="D469" t="s">
        <v>68</v>
      </c>
      <c r="E469" t="s">
        <v>69</v>
      </c>
      <c r="F469" t="s">
        <v>70</v>
      </c>
      <c r="G469" t="s">
        <v>71</v>
      </c>
      <c r="H469" t="s">
        <v>72</v>
      </c>
      <c r="I469" t="s">
        <v>73</v>
      </c>
      <c r="J469" t="str">
        <f>"46622"</f>
        <v>46622</v>
      </c>
      <c r="K469" t="s">
        <v>668</v>
      </c>
      <c r="L469" t="s">
        <v>328</v>
      </c>
      <c r="M469" t="s">
        <v>76</v>
      </c>
    </row>
    <row r="470" spans="2:13" x14ac:dyDescent="0.25">
      <c r="B470" t="s">
        <v>67</v>
      </c>
      <c r="C470" t="s">
        <v>669</v>
      </c>
      <c r="D470" t="s">
        <v>68</v>
      </c>
      <c r="E470" t="s">
        <v>69</v>
      </c>
      <c r="F470" t="s">
        <v>70</v>
      </c>
      <c r="G470" t="s">
        <v>71</v>
      </c>
      <c r="H470" t="s">
        <v>72</v>
      </c>
      <c r="I470" t="s">
        <v>73</v>
      </c>
      <c r="J470" t="str">
        <f>"46623"</f>
        <v>46623</v>
      </c>
      <c r="K470" t="s">
        <v>670</v>
      </c>
      <c r="L470" t="s">
        <v>328</v>
      </c>
      <c r="M470" t="s">
        <v>76</v>
      </c>
    </row>
    <row r="471" spans="2:13" x14ac:dyDescent="0.25">
      <c r="B471" t="s">
        <v>67</v>
      </c>
      <c r="C471" t="s">
        <v>671</v>
      </c>
      <c r="D471" t="s">
        <v>68</v>
      </c>
      <c r="E471" t="s">
        <v>69</v>
      </c>
      <c r="F471" t="s">
        <v>70</v>
      </c>
      <c r="G471" t="s">
        <v>71</v>
      </c>
      <c r="H471" t="s">
        <v>72</v>
      </c>
      <c r="I471" t="s">
        <v>73</v>
      </c>
      <c r="J471" t="str">
        <f>"46624"</f>
        <v>46624</v>
      </c>
      <c r="K471" t="s">
        <v>672</v>
      </c>
      <c r="L471" t="s">
        <v>328</v>
      </c>
      <c r="M471" t="s">
        <v>76</v>
      </c>
    </row>
    <row r="472" spans="2:13" x14ac:dyDescent="0.25">
      <c r="B472" t="s">
        <v>67</v>
      </c>
      <c r="C472" t="s">
        <v>673</v>
      </c>
      <c r="D472" t="s">
        <v>68</v>
      </c>
      <c r="E472" t="s">
        <v>69</v>
      </c>
      <c r="F472" t="s">
        <v>70</v>
      </c>
      <c r="G472" t="s">
        <v>71</v>
      </c>
      <c r="H472" t="s">
        <v>72</v>
      </c>
      <c r="I472" t="s">
        <v>73</v>
      </c>
      <c r="J472" t="str">
        <f>"46625"</f>
        <v>46625</v>
      </c>
      <c r="K472" t="s">
        <v>674</v>
      </c>
      <c r="L472" t="s">
        <v>328</v>
      </c>
      <c r="M472" t="s">
        <v>76</v>
      </c>
    </row>
    <row r="473" spans="2:13" x14ac:dyDescent="0.25">
      <c r="B473" t="s">
        <v>67</v>
      </c>
      <c r="C473" t="s">
        <v>675</v>
      </c>
      <c r="D473" t="s">
        <v>68</v>
      </c>
      <c r="E473" t="s">
        <v>69</v>
      </c>
      <c r="F473" t="s">
        <v>70</v>
      </c>
      <c r="G473" t="s">
        <v>71</v>
      </c>
      <c r="H473" t="s">
        <v>72</v>
      </c>
      <c r="I473" t="s">
        <v>73</v>
      </c>
      <c r="J473" t="str">
        <f>"46626"</f>
        <v>46626</v>
      </c>
      <c r="K473" t="s">
        <v>676</v>
      </c>
      <c r="L473" t="s">
        <v>328</v>
      </c>
      <c r="M473" t="s">
        <v>76</v>
      </c>
    </row>
    <row r="474" spans="2:13" x14ac:dyDescent="0.25">
      <c r="B474" t="s">
        <v>67</v>
      </c>
      <c r="C474" t="s">
        <v>677</v>
      </c>
      <c r="D474" t="s">
        <v>68</v>
      </c>
      <c r="E474" t="s">
        <v>69</v>
      </c>
      <c r="F474" t="s">
        <v>70</v>
      </c>
      <c r="G474" t="s">
        <v>71</v>
      </c>
      <c r="H474" t="s">
        <v>72</v>
      </c>
      <c r="I474" t="s">
        <v>73</v>
      </c>
      <c r="J474" t="str">
        <f>"46627"</f>
        <v>46627</v>
      </c>
      <c r="K474" t="s">
        <v>678</v>
      </c>
      <c r="L474" t="s">
        <v>328</v>
      </c>
      <c r="M474" t="s">
        <v>76</v>
      </c>
    </row>
    <row r="475" spans="2:13" x14ac:dyDescent="0.25">
      <c r="B475" t="s">
        <v>67</v>
      </c>
      <c r="C475" t="s">
        <v>679</v>
      </c>
      <c r="D475" t="s">
        <v>68</v>
      </c>
      <c r="E475" t="s">
        <v>69</v>
      </c>
      <c r="F475" t="s">
        <v>70</v>
      </c>
      <c r="G475" t="s">
        <v>71</v>
      </c>
      <c r="H475" t="s">
        <v>72</v>
      </c>
      <c r="I475" t="s">
        <v>73</v>
      </c>
      <c r="J475" t="str">
        <f>"46628"</f>
        <v>46628</v>
      </c>
      <c r="K475" t="s">
        <v>680</v>
      </c>
      <c r="L475" t="s">
        <v>328</v>
      </c>
      <c r="M475" t="s">
        <v>76</v>
      </c>
    </row>
    <row r="476" spans="2:13" x14ac:dyDescent="0.25">
      <c r="B476" t="s">
        <v>67</v>
      </c>
      <c r="C476" t="s">
        <v>681</v>
      </c>
      <c r="D476" t="s">
        <v>68</v>
      </c>
      <c r="E476" t="s">
        <v>69</v>
      </c>
      <c r="F476" t="s">
        <v>70</v>
      </c>
      <c r="G476" t="s">
        <v>71</v>
      </c>
      <c r="H476" t="s">
        <v>72</v>
      </c>
      <c r="I476" t="s">
        <v>73</v>
      </c>
      <c r="J476" t="str">
        <f>"46629"</f>
        <v>46629</v>
      </c>
      <c r="K476" t="s">
        <v>682</v>
      </c>
      <c r="L476" t="s">
        <v>328</v>
      </c>
      <c r="M476" t="s">
        <v>76</v>
      </c>
    </row>
    <row r="477" spans="2:13" x14ac:dyDescent="0.25">
      <c r="B477" t="s">
        <v>67</v>
      </c>
      <c r="C477" t="s">
        <v>683</v>
      </c>
      <c r="D477" t="s">
        <v>68</v>
      </c>
      <c r="E477" t="s">
        <v>69</v>
      </c>
      <c r="F477" t="s">
        <v>70</v>
      </c>
      <c r="G477" t="s">
        <v>71</v>
      </c>
      <c r="H477" t="s">
        <v>72</v>
      </c>
      <c r="I477" t="s">
        <v>73</v>
      </c>
      <c r="J477" t="str">
        <f>"46630"</f>
        <v>46630</v>
      </c>
      <c r="K477" t="s">
        <v>684</v>
      </c>
      <c r="L477" t="s">
        <v>328</v>
      </c>
      <c r="M477" t="s">
        <v>76</v>
      </c>
    </row>
    <row r="478" spans="2:13" x14ac:dyDescent="0.25">
      <c r="B478" t="s">
        <v>67</v>
      </c>
      <c r="C478" t="s">
        <v>685</v>
      </c>
      <c r="D478" t="s">
        <v>68</v>
      </c>
      <c r="E478" t="s">
        <v>69</v>
      </c>
      <c r="F478" t="s">
        <v>70</v>
      </c>
      <c r="G478" t="s">
        <v>71</v>
      </c>
      <c r="H478" t="s">
        <v>72</v>
      </c>
      <c r="I478" t="s">
        <v>73</v>
      </c>
      <c r="J478" t="str">
        <f>"46631"</f>
        <v>46631</v>
      </c>
      <c r="K478" t="s">
        <v>686</v>
      </c>
      <c r="L478" t="s">
        <v>328</v>
      </c>
      <c r="M478" t="s">
        <v>76</v>
      </c>
    </row>
    <row r="479" spans="2:13" x14ac:dyDescent="0.25">
      <c r="B479" t="s">
        <v>67</v>
      </c>
      <c r="C479" t="s">
        <v>687</v>
      </c>
      <c r="D479" t="s">
        <v>68</v>
      </c>
      <c r="E479" t="s">
        <v>69</v>
      </c>
      <c r="F479" t="s">
        <v>70</v>
      </c>
      <c r="G479" t="s">
        <v>71</v>
      </c>
      <c r="H479" t="s">
        <v>72</v>
      </c>
      <c r="I479" t="s">
        <v>73</v>
      </c>
      <c r="J479" t="str">
        <f>"46632"</f>
        <v>46632</v>
      </c>
      <c r="K479" t="s">
        <v>688</v>
      </c>
      <c r="L479" t="s">
        <v>328</v>
      </c>
      <c r="M479" t="s">
        <v>76</v>
      </c>
    </row>
    <row r="480" spans="2:13" x14ac:dyDescent="0.25">
      <c r="B480" t="s">
        <v>67</v>
      </c>
      <c r="C480" t="s">
        <v>689</v>
      </c>
      <c r="D480" t="s">
        <v>68</v>
      </c>
      <c r="E480" t="s">
        <v>69</v>
      </c>
      <c r="F480" t="s">
        <v>70</v>
      </c>
      <c r="G480" t="s">
        <v>71</v>
      </c>
      <c r="H480" t="s">
        <v>72</v>
      </c>
      <c r="I480" t="s">
        <v>73</v>
      </c>
      <c r="J480" t="str">
        <f>"46633"</f>
        <v>46633</v>
      </c>
      <c r="K480" t="s">
        <v>690</v>
      </c>
      <c r="L480" t="s">
        <v>328</v>
      </c>
      <c r="M480" t="s">
        <v>76</v>
      </c>
    </row>
    <row r="481" spans="2:13" x14ac:dyDescent="0.25">
      <c r="B481" t="s">
        <v>67</v>
      </c>
      <c r="C481" t="s">
        <v>691</v>
      </c>
      <c r="D481" t="s">
        <v>68</v>
      </c>
      <c r="E481" t="s">
        <v>69</v>
      </c>
      <c r="F481" t="s">
        <v>70</v>
      </c>
      <c r="G481" t="s">
        <v>71</v>
      </c>
      <c r="H481" t="s">
        <v>72</v>
      </c>
      <c r="I481" t="s">
        <v>73</v>
      </c>
      <c r="J481" t="str">
        <f>"46634"</f>
        <v>46634</v>
      </c>
      <c r="K481" t="s">
        <v>692</v>
      </c>
      <c r="L481" t="s">
        <v>328</v>
      </c>
      <c r="M481" t="s">
        <v>76</v>
      </c>
    </row>
    <row r="482" spans="2:13" x14ac:dyDescent="0.25">
      <c r="B482" t="s">
        <v>67</v>
      </c>
      <c r="C482" t="s">
        <v>693</v>
      </c>
      <c r="D482" t="s">
        <v>68</v>
      </c>
      <c r="E482" t="s">
        <v>69</v>
      </c>
      <c r="F482" t="s">
        <v>70</v>
      </c>
      <c r="G482" t="s">
        <v>71</v>
      </c>
      <c r="H482" t="s">
        <v>72</v>
      </c>
      <c r="I482" t="s">
        <v>73</v>
      </c>
      <c r="J482" t="str">
        <f>"46635"</f>
        <v>46635</v>
      </c>
      <c r="K482" t="s">
        <v>694</v>
      </c>
      <c r="L482" t="s">
        <v>328</v>
      </c>
      <c r="M482" t="s">
        <v>76</v>
      </c>
    </row>
    <row r="483" spans="2:13" x14ac:dyDescent="0.25">
      <c r="B483" t="s">
        <v>67</v>
      </c>
      <c r="C483" t="s">
        <v>695</v>
      </c>
      <c r="D483" t="s">
        <v>68</v>
      </c>
      <c r="E483" t="s">
        <v>69</v>
      </c>
      <c r="F483" t="s">
        <v>70</v>
      </c>
      <c r="G483" t="s">
        <v>71</v>
      </c>
      <c r="H483" t="s">
        <v>72</v>
      </c>
      <c r="I483" t="s">
        <v>73</v>
      </c>
      <c r="J483" t="str">
        <f>"46636"</f>
        <v>46636</v>
      </c>
      <c r="K483" t="s">
        <v>696</v>
      </c>
      <c r="L483" t="s">
        <v>328</v>
      </c>
      <c r="M483" t="s">
        <v>76</v>
      </c>
    </row>
    <row r="484" spans="2:13" x14ac:dyDescent="0.25">
      <c r="B484" t="s">
        <v>67</v>
      </c>
      <c r="C484" t="s">
        <v>697</v>
      </c>
      <c r="D484" t="s">
        <v>68</v>
      </c>
      <c r="E484" t="s">
        <v>69</v>
      </c>
      <c r="F484" t="s">
        <v>70</v>
      </c>
      <c r="G484" t="s">
        <v>71</v>
      </c>
      <c r="H484" t="s">
        <v>72</v>
      </c>
      <c r="I484" t="s">
        <v>73</v>
      </c>
      <c r="J484" t="str">
        <f>"46637"</f>
        <v>46637</v>
      </c>
      <c r="K484" t="s">
        <v>698</v>
      </c>
      <c r="L484" t="s">
        <v>328</v>
      </c>
      <c r="M484" t="s">
        <v>76</v>
      </c>
    </row>
    <row r="485" spans="2:13" x14ac:dyDescent="0.25">
      <c r="B485" t="s">
        <v>67</v>
      </c>
      <c r="C485" t="s">
        <v>699</v>
      </c>
      <c r="D485" t="s">
        <v>68</v>
      </c>
      <c r="E485" t="s">
        <v>69</v>
      </c>
      <c r="F485" t="s">
        <v>70</v>
      </c>
      <c r="G485" t="s">
        <v>71</v>
      </c>
      <c r="H485" t="s">
        <v>72</v>
      </c>
      <c r="I485" t="s">
        <v>73</v>
      </c>
      <c r="J485" t="str">
        <f>"46638"</f>
        <v>46638</v>
      </c>
      <c r="K485" t="s">
        <v>700</v>
      </c>
      <c r="L485" t="s">
        <v>328</v>
      </c>
      <c r="M485" t="s">
        <v>76</v>
      </c>
    </row>
    <row r="486" spans="2:13" x14ac:dyDescent="0.25">
      <c r="B486" t="s">
        <v>67</v>
      </c>
      <c r="C486" t="s">
        <v>701</v>
      </c>
      <c r="D486" t="s">
        <v>68</v>
      </c>
      <c r="E486" t="s">
        <v>69</v>
      </c>
      <c r="F486" t="s">
        <v>70</v>
      </c>
      <c r="G486" t="s">
        <v>71</v>
      </c>
      <c r="H486" t="s">
        <v>72</v>
      </c>
      <c r="I486" t="s">
        <v>73</v>
      </c>
      <c r="J486" t="str">
        <f>"46639"</f>
        <v>46639</v>
      </c>
      <c r="K486" t="s">
        <v>702</v>
      </c>
      <c r="L486" t="s">
        <v>328</v>
      </c>
      <c r="M486" t="s">
        <v>76</v>
      </c>
    </row>
    <row r="487" spans="2:13" x14ac:dyDescent="0.25">
      <c r="B487" t="s">
        <v>67</v>
      </c>
      <c r="C487" t="s">
        <v>703</v>
      </c>
      <c r="D487" t="s">
        <v>68</v>
      </c>
      <c r="E487" t="s">
        <v>69</v>
      </c>
      <c r="F487" t="s">
        <v>70</v>
      </c>
      <c r="G487" t="s">
        <v>71</v>
      </c>
      <c r="H487" t="s">
        <v>72</v>
      </c>
      <c r="I487" t="s">
        <v>73</v>
      </c>
      <c r="J487" t="str">
        <f>"46640"</f>
        <v>46640</v>
      </c>
      <c r="K487" t="s">
        <v>704</v>
      </c>
      <c r="L487" t="s">
        <v>328</v>
      </c>
      <c r="M487" t="s">
        <v>76</v>
      </c>
    </row>
    <row r="488" spans="2:13" x14ac:dyDescent="0.25">
      <c r="B488" t="s">
        <v>67</v>
      </c>
      <c r="C488" t="s">
        <v>705</v>
      </c>
      <c r="D488" t="s">
        <v>68</v>
      </c>
      <c r="E488" t="s">
        <v>69</v>
      </c>
      <c r="F488" t="s">
        <v>70</v>
      </c>
      <c r="G488" t="s">
        <v>71</v>
      </c>
      <c r="H488" t="s">
        <v>72</v>
      </c>
      <c r="I488" t="s">
        <v>73</v>
      </c>
      <c r="J488" t="str">
        <f>"46641"</f>
        <v>46641</v>
      </c>
      <c r="K488" t="s">
        <v>706</v>
      </c>
      <c r="L488" t="s">
        <v>328</v>
      </c>
      <c r="M488" t="s">
        <v>76</v>
      </c>
    </row>
    <row r="489" spans="2:13" x14ac:dyDescent="0.25">
      <c r="B489" t="s">
        <v>67</v>
      </c>
      <c r="C489" t="s">
        <v>707</v>
      </c>
      <c r="D489" t="s">
        <v>68</v>
      </c>
      <c r="E489" t="s">
        <v>69</v>
      </c>
      <c r="F489" t="s">
        <v>70</v>
      </c>
      <c r="G489" t="s">
        <v>71</v>
      </c>
      <c r="H489" t="s">
        <v>72</v>
      </c>
      <c r="I489" t="s">
        <v>73</v>
      </c>
      <c r="J489" t="str">
        <f>"46642"</f>
        <v>46642</v>
      </c>
      <c r="K489" t="s">
        <v>708</v>
      </c>
      <c r="L489" t="s">
        <v>328</v>
      </c>
      <c r="M489" t="s">
        <v>76</v>
      </c>
    </row>
    <row r="490" spans="2:13" x14ac:dyDescent="0.25">
      <c r="B490" t="s">
        <v>67</v>
      </c>
      <c r="C490" t="s">
        <v>709</v>
      </c>
      <c r="D490" t="s">
        <v>68</v>
      </c>
      <c r="E490" t="s">
        <v>69</v>
      </c>
      <c r="F490" t="s">
        <v>70</v>
      </c>
      <c r="G490" t="s">
        <v>71</v>
      </c>
      <c r="H490" t="s">
        <v>72</v>
      </c>
      <c r="I490" t="s">
        <v>73</v>
      </c>
      <c r="J490" t="str">
        <f>"46643"</f>
        <v>46643</v>
      </c>
      <c r="K490" t="s">
        <v>710</v>
      </c>
      <c r="L490" t="s">
        <v>328</v>
      </c>
      <c r="M490" t="s">
        <v>76</v>
      </c>
    </row>
    <row r="491" spans="2:13" x14ac:dyDescent="0.25">
      <c r="B491" t="s">
        <v>67</v>
      </c>
      <c r="C491" t="s">
        <v>711</v>
      </c>
      <c r="D491" t="s">
        <v>68</v>
      </c>
      <c r="E491" t="s">
        <v>69</v>
      </c>
      <c r="F491" t="s">
        <v>70</v>
      </c>
      <c r="G491" t="s">
        <v>71</v>
      </c>
      <c r="H491" t="s">
        <v>72</v>
      </c>
      <c r="I491" t="s">
        <v>73</v>
      </c>
      <c r="J491" t="str">
        <f>"46644"</f>
        <v>46644</v>
      </c>
      <c r="K491" t="s">
        <v>712</v>
      </c>
      <c r="L491" t="s">
        <v>328</v>
      </c>
      <c r="M491" t="s">
        <v>76</v>
      </c>
    </row>
    <row r="492" spans="2:13" x14ac:dyDescent="0.25">
      <c r="B492" t="s">
        <v>67</v>
      </c>
      <c r="C492" t="s">
        <v>713</v>
      </c>
      <c r="D492" t="s">
        <v>68</v>
      </c>
      <c r="E492" t="s">
        <v>69</v>
      </c>
      <c r="F492" t="s">
        <v>70</v>
      </c>
      <c r="G492" t="s">
        <v>71</v>
      </c>
      <c r="H492" t="s">
        <v>72</v>
      </c>
      <c r="I492" t="s">
        <v>73</v>
      </c>
      <c r="J492" t="str">
        <f>"46645"</f>
        <v>46645</v>
      </c>
      <c r="K492" t="s">
        <v>714</v>
      </c>
      <c r="L492" t="s">
        <v>328</v>
      </c>
      <c r="M492" t="s">
        <v>76</v>
      </c>
    </row>
    <row r="493" spans="2:13" x14ac:dyDescent="0.25">
      <c r="B493" t="s">
        <v>67</v>
      </c>
      <c r="C493" t="s">
        <v>715</v>
      </c>
      <c r="D493" t="s">
        <v>68</v>
      </c>
      <c r="E493" t="s">
        <v>69</v>
      </c>
      <c r="F493" t="s">
        <v>70</v>
      </c>
      <c r="G493" t="s">
        <v>71</v>
      </c>
      <c r="H493" t="s">
        <v>72</v>
      </c>
      <c r="I493" t="s">
        <v>73</v>
      </c>
      <c r="J493" t="str">
        <f>"46646"</f>
        <v>46646</v>
      </c>
      <c r="K493" t="s">
        <v>716</v>
      </c>
      <c r="L493" t="s">
        <v>328</v>
      </c>
      <c r="M493" t="s">
        <v>76</v>
      </c>
    </row>
    <row r="494" spans="2:13" x14ac:dyDescent="0.25">
      <c r="B494" t="s">
        <v>67</v>
      </c>
      <c r="C494" t="s">
        <v>717</v>
      </c>
      <c r="D494" t="s">
        <v>68</v>
      </c>
      <c r="E494" t="s">
        <v>69</v>
      </c>
      <c r="F494" t="s">
        <v>70</v>
      </c>
      <c r="G494" t="s">
        <v>71</v>
      </c>
      <c r="H494" t="s">
        <v>72</v>
      </c>
      <c r="I494" t="s">
        <v>73</v>
      </c>
      <c r="J494" t="str">
        <f>"46647"</f>
        <v>46647</v>
      </c>
      <c r="K494" t="s">
        <v>718</v>
      </c>
      <c r="L494" t="s">
        <v>328</v>
      </c>
      <c r="M494" t="s">
        <v>76</v>
      </c>
    </row>
    <row r="495" spans="2:13" x14ac:dyDescent="0.25">
      <c r="B495" t="s">
        <v>67</v>
      </c>
      <c r="C495" t="s">
        <v>719</v>
      </c>
      <c r="D495" t="s">
        <v>68</v>
      </c>
      <c r="E495" t="s">
        <v>69</v>
      </c>
      <c r="F495" t="s">
        <v>70</v>
      </c>
      <c r="G495" t="s">
        <v>71</v>
      </c>
      <c r="H495" t="s">
        <v>72</v>
      </c>
      <c r="I495" t="s">
        <v>73</v>
      </c>
      <c r="J495" t="str">
        <f>"46648"</f>
        <v>46648</v>
      </c>
      <c r="K495" t="s">
        <v>720</v>
      </c>
      <c r="L495" t="s">
        <v>328</v>
      </c>
      <c r="M495" t="s">
        <v>76</v>
      </c>
    </row>
    <row r="496" spans="2:13" x14ac:dyDescent="0.25">
      <c r="B496" t="s">
        <v>67</v>
      </c>
      <c r="C496" t="s">
        <v>721</v>
      </c>
      <c r="D496" t="s">
        <v>68</v>
      </c>
      <c r="E496" t="s">
        <v>69</v>
      </c>
      <c r="F496" t="s">
        <v>70</v>
      </c>
      <c r="G496" t="s">
        <v>71</v>
      </c>
      <c r="H496" t="s">
        <v>72</v>
      </c>
      <c r="I496" t="s">
        <v>73</v>
      </c>
      <c r="J496" t="str">
        <f>"46649"</f>
        <v>46649</v>
      </c>
      <c r="K496" t="s">
        <v>722</v>
      </c>
      <c r="L496" t="s">
        <v>328</v>
      </c>
      <c r="M496" t="s">
        <v>76</v>
      </c>
    </row>
    <row r="497" spans="2:13" x14ac:dyDescent="0.25">
      <c r="B497" t="s">
        <v>67</v>
      </c>
      <c r="C497" t="s">
        <v>723</v>
      </c>
      <c r="D497" t="s">
        <v>68</v>
      </c>
      <c r="E497" t="s">
        <v>69</v>
      </c>
      <c r="F497" t="s">
        <v>70</v>
      </c>
      <c r="G497" t="s">
        <v>71</v>
      </c>
      <c r="H497" t="s">
        <v>72</v>
      </c>
      <c r="I497" t="s">
        <v>73</v>
      </c>
      <c r="J497" t="str">
        <f>"46650"</f>
        <v>46650</v>
      </c>
      <c r="K497" t="s">
        <v>724</v>
      </c>
      <c r="L497" t="s">
        <v>328</v>
      </c>
      <c r="M497" t="s">
        <v>76</v>
      </c>
    </row>
    <row r="498" spans="2:13" x14ac:dyDescent="0.25">
      <c r="B498" t="s">
        <v>67</v>
      </c>
      <c r="C498" t="s">
        <v>725</v>
      </c>
      <c r="D498" t="s">
        <v>68</v>
      </c>
      <c r="E498" t="s">
        <v>69</v>
      </c>
      <c r="F498" t="s">
        <v>70</v>
      </c>
      <c r="G498" t="s">
        <v>71</v>
      </c>
      <c r="H498" t="s">
        <v>72</v>
      </c>
      <c r="I498" t="s">
        <v>73</v>
      </c>
      <c r="J498" t="str">
        <f>"46651"</f>
        <v>46651</v>
      </c>
      <c r="K498" t="s">
        <v>726</v>
      </c>
      <c r="L498" t="s">
        <v>328</v>
      </c>
      <c r="M498" t="s">
        <v>76</v>
      </c>
    </row>
    <row r="499" spans="2:13" x14ac:dyDescent="0.25">
      <c r="B499" t="s">
        <v>67</v>
      </c>
      <c r="C499" t="s">
        <v>727</v>
      </c>
      <c r="D499" t="s">
        <v>68</v>
      </c>
      <c r="E499" t="s">
        <v>69</v>
      </c>
      <c r="F499" t="s">
        <v>70</v>
      </c>
      <c r="G499" t="s">
        <v>71</v>
      </c>
      <c r="H499" t="s">
        <v>72</v>
      </c>
      <c r="I499" t="s">
        <v>73</v>
      </c>
      <c r="J499" t="str">
        <f>"46652"</f>
        <v>46652</v>
      </c>
      <c r="K499" t="s">
        <v>728</v>
      </c>
      <c r="L499" t="s">
        <v>328</v>
      </c>
      <c r="M499" t="s">
        <v>76</v>
      </c>
    </row>
    <row r="500" spans="2:13" x14ac:dyDescent="0.25">
      <c r="B500" t="s">
        <v>67</v>
      </c>
      <c r="C500" t="s">
        <v>729</v>
      </c>
      <c r="D500" t="s">
        <v>68</v>
      </c>
      <c r="E500" t="s">
        <v>69</v>
      </c>
      <c r="F500" t="s">
        <v>70</v>
      </c>
      <c r="G500" t="s">
        <v>71</v>
      </c>
      <c r="H500" t="s">
        <v>72</v>
      </c>
      <c r="I500" t="s">
        <v>73</v>
      </c>
      <c r="J500" t="str">
        <f>"46653"</f>
        <v>46653</v>
      </c>
      <c r="K500" t="s">
        <v>730</v>
      </c>
      <c r="L500" t="s">
        <v>328</v>
      </c>
      <c r="M500" t="s">
        <v>76</v>
      </c>
    </row>
    <row r="501" spans="2:13" x14ac:dyDescent="0.25">
      <c r="B501" t="s">
        <v>67</v>
      </c>
      <c r="C501" t="s">
        <v>731</v>
      </c>
      <c r="D501" t="s">
        <v>68</v>
      </c>
      <c r="E501" t="s">
        <v>69</v>
      </c>
      <c r="F501" t="s">
        <v>70</v>
      </c>
      <c r="G501" t="s">
        <v>71</v>
      </c>
      <c r="H501" t="s">
        <v>72</v>
      </c>
      <c r="I501" t="s">
        <v>73</v>
      </c>
      <c r="J501" t="str">
        <f>"46654"</f>
        <v>46654</v>
      </c>
      <c r="K501" t="s">
        <v>732</v>
      </c>
      <c r="L501" t="s">
        <v>328</v>
      </c>
      <c r="M501" t="s">
        <v>76</v>
      </c>
    </row>
    <row r="502" spans="2:13" x14ac:dyDescent="0.25">
      <c r="B502" t="s">
        <v>67</v>
      </c>
      <c r="C502" t="s">
        <v>733</v>
      </c>
      <c r="D502" t="s">
        <v>68</v>
      </c>
      <c r="E502" t="s">
        <v>69</v>
      </c>
      <c r="F502" t="s">
        <v>70</v>
      </c>
      <c r="G502" t="s">
        <v>71</v>
      </c>
      <c r="H502" t="s">
        <v>72</v>
      </c>
      <c r="I502" t="s">
        <v>73</v>
      </c>
      <c r="J502" t="str">
        <f>"46655"</f>
        <v>46655</v>
      </c>
      <c r="K502" t="s">
        <v>734</v>
      </c>
      <c r="L502" t="s">
        <v>328</v>
      </c>
      <c r="M502" t="s">
        <v>76</v>
      </c>
    </row>
    <row r="503" spans="2:13" x14ac:dyDescent="0.25">
      <c r="B503" t="s">
        <v>67</v>
      </c>
      <c r="C503" t="s">
        <v>735</v>
      </c>
      <c r="D503" t="s">
        <v>68</v>
      </c>
      <c r="E503" t="s">
        <v>69</v>
      </c>
      <c r="F503" t="s">
        <v>70</v>
      </c>
      <c r="G503" t="s">
        <v>71</v>
      </c>
      <c r="H503" t="s">
        <v>72</v>
      </c>
      <c r="I503" t="s">
        <v>73</v>
      </c>
      <c r="J503" t="str">
        <f>"46656"</f>
        <v>46656</v>
      </c>
      <c r="K503" t="s">
        <v>736</v>
      </c>
      <c r="L503" t="s">
        <v>328</v>
      </c>
      <c r="M503" t="s">
        <v>76</v>
      </c>
    </row>
    <row r="504" spans="2:13" x14ac:dyDescent="0.25">
      <c r="B504" t="s">
        <v>67</v>
      </c>
      <c r="C504" t="s">
        <v>737</v>
      </c>
      <c r="D504" t="s">
        <v>68</v>
      </c>
      <c r="E504" t="s">
        <v>69</v>
      </c>
      <c r="F504" t="s">
        <v>70</v>
      </c>
      <c r="G504" t="s">
        <v>71</v>
      </c>
      <c r="H504" t="s">
        <v>72</v>
      </c>
      <c r="I504" t="s">
        <v>73</v>
      </c>
      <c r="J504" t="str">
        <f>"46657"</f>
        <v>46657</v>
      </c>
      <c r="K504" t="s">
        <v>738</v>
      </c>
      <c r="L504" t="s">
        <v>328</v>
      </c>
      <c r="M504" t="s">
        <v>76</v>
      </c>
    </row>
    <row r="505" spans="2:13" x14ac:dyDescent="0.25">
      <c r="B505" t="s">
        <v>67</v>
      </c>
      <c r="C505" t="s">
        <v>739</v>
      </c>
      <c r="D505" t="s">
        <v>68</v>
      </c>
      <c r="E505" t="s">
        <v>69</v>
      </c>
      <c r="F505" t="s">
        <v>70</v>
      </c>
      <c r="G505" t="s">
        <v>71</v>
      </c>
      <c r="H505" t="s">
        <v>72</v>
      </c>
      <c r="I505" t="s">
        <v>73</v>
      </c>
      <c r="J505" t="str">
        <f>"46658"</f>
        <v>46658</v>
      </c>
      <c r="K505" t="s">
        <v>740</v>
      </c>
      <c r="L505" t="s">
        <v>328</v>
      </c>
      <c r="M505" t="s">
        <v>76</v>
      </c>
    </row>
    <row r="506" spans="2:13" x14ac:dyDescent="0.25">
      <c r="B506" t="s">
        <v>67</v>
      </c>
      <c r="C506" t="s">
        <v>741</v>
      </c>
      <c r="D506" t="s">
        <v>68</v>
      </c>
      <c r="E506" t="s">
        <v>69</v>
      </c>
      <c r="F506" t="s">
        <v>70</v>
      </c>
      <c r="G506" t="s">
        <v>71</v>
      </c>
      <c r="H506" t="s">
        <v>72</v>
      </c>
      <c r="I506" t="s">
        <v>73</v>
      </c>
      <c r="J506" t="str">
        <f>"46659"</f>
        <v>46659</v>
      </c>
      <c r="K506" t="s">
        <v>742</v>
      </c>
      <c r="L506" t="s">
        <v>328</v>
      </c>
      <c r="M506" t="s">
        <v>76</v>
      </c>
    </row>
    <row r="507" spans="2:13" x14ac:dyDescent="0.25">
      <c r="B507" t="s">
        <v>67</v>
      </c>
      <c r="C507" t="s">
        <v>743</v>
      </c>
      <c r="D507" t="s">
        <v>68</v>
      </c>
      <c r="E507" t="s">
        <v>69</v>
      </c>
      <c r="F507" t="s">
        <v>70</v>
      </c>
      <c r="G507" t="s">
        <v>71</v>
      </c>
      <c r="H507" t="s">
        <v>72</v>
      </c>
      <c r="I507" t="s">
        <v>73</v>
      </c>
      <c r="J507" t="str">
        <f>"46660"</f>
        <v>46660</v>
      </c>
      <c r="K507" t="s">
        <v>744</v>
      </c>
      <c r="L507" t="s">
        <v>328</v>
      </c>
      <c r="M507" t="s">
        <v>76</v>
      </c>
    </row>
    <row r="508" spans="2:13" x14ac:dyDescent="0.25">
      <c r="B508" t="s">
        <v>67</v>
      </c>
      <c r="C508" t="s">
        <v>745</v>
      </c>
      <c r="D508" t="s">
        <v>68</v>
      </c>
      <c r="E508" t="s">
        <v>69</v>
      </c>
      <c r="F508" t="s">
        <v>70</v>
      </c>
      <c r="G508" t="s">
        <v>71</v>
      </c>
      <c r="H508" t="s">
        <v>72</v>
      </c>
      <c r="I508" t="s">
        <v>73</v>
      </c>
      <c r="J508" t="str">
        <f>"46661"</f>
        <v>46661</v>
      </c>
      <c r="K508" t="s">
        <v>746</v>
      </c>
      <c r="L508" t="s">
        <v>328</v>
      </c>
      <c r="M508" t="s">
        <v>76</v>
      </c>
    </row>
    <row r="509" spans="2:13" x14ac:dyDescent="0.25">
      <c r="B509" t="s">
        <v>67</v>
      </c>
      <c r="C509" t="s">
        <v>747</v>
      </c>
      <c r="D509" t="s">
        <v>68</v>
      </c>
      <c r="E509" t="s">
        <v>69</v>
      </c>
      <c r="F509" t="s">
        <v>70</v>
      </c>
      <c r="G509" t="s">
        <v>71</v>
      </c>
      <c r="H509" t="s">
        <v>72</v>
      </c>
      <c r="I509" t="s">
        <v>73</v>
      </c>
      <c r="J509" t="str">
        <f>"46662"</f>
        <v>46662</v>
      </c>
      <c r="K509" t="s">
        <v>748</v>
      </c>
      <c r="L509" t="s">
        <v>328</v>
      </c>
      <c r="M509" t="s">
        <v>76</v>
      </c>
    </row>
    <row r="510" spans="2:13" x14ac:dyDescent="0.25">
      <c r="B510" t="s">
        <v>67</v>
      </c>
      <c r="C510" t="s">
        <v>749</v>
      </c>
      <c r="D510" t="s">
        <v>68</v>
      </c>
      <c r="E510" t="s">
        <v>69</v>
      </c>
      <c r="F510" t="s">
        <v>70</v>
      </c>
      <c r="G510" t="s">
        <v>71</v>
      </c>
      <c r="H510" t="s">
        <v>72</v>
      </c>
      <c r="I510" t="s">
        <v>73</v>
      </c>
      <c r="J510" t="str">
        <f>"46663"</f>
        <v>46663</v>
      </c>
      <c r="K510" t="s">
        <v>750</v>
      </c>
      <c r="L510" t="s">
        <v>328</v>
      </c>
      <c r="M510" t="s">
        <v>76</v>
      </c>
    </row>
    <row r="511" spans="2:13" x14ac:dyDescent="0.25">
      <c r="B511" t="s">
        <v>67</v>
      </c>
      <c r="C511" t="s">
        <v>751</v>
      </c>
      <c r="D511" t="s">
        <v>68</v>
      </c>
      <c r="E511" t="s">
        <v>69</v>
      </c>
      <c r="F511" t="s">
        <v>70</v>
      </c>
      <c r="G511" t="s">
        <v>71</v>
      </c>
      <c r="H511" t="s">
        <v>72</v>
      </c>
      <c r="I511" t="s">
        <v>73</v>
      </c>
      <c r="J511" t="str">
        <f>"46664"</f>
        <v>46664</v>
      </c>
      <c r="K511" t="s">
        <v>752</v>
      </c>
      <c r="L511" t="s">
        <v>328</v>
      </c>
      <c r="M511" t="s">
        <v>76</v>
      </c>
    </row>
    <row r="512" spans="2:13" x14ac:dyDescent="0.25">
      <c r="B512" t="s">
        <v>67</v>
      </c>
      <c r="C512" t="s">
        <v>753</v>
      </c>
      <c r="D512" t="s">
        <v>68</v>
      </c>
      <c r="E512" t="s">
        <v>69</v>
      </c>
      <c r="F512" t="s">
        <v>70</v>
      </c>
      <c r="G512" t="s">
        <v>71</v>
      </c>
      <c r="H512" t="s">
        <v>72</v>
      </c>
      <c r="I512" t="s">
        <v>73</v>
      </c>
      <c r="J512" t="str">
        <f>"46665"</f>
        <v>46665</v>
      </c>
      <c r="K512" t="s">
        <v>754</v>
      </c>
      <c r="L512" t="s">
        <v>328</v>
      </c>
      <c r="M512" t="s">
        <v>76</v>
      </c>
    </row>
    <row r="513" spans="2:13" x14ac:dyDescent="0.25">
      <c r="B513" t="s">
        <v>67</v>
      </c>
      <c r="C513" t="s">
        <v>755</v>
      </c>
      <c r="D513" t="s">
        <v>68</v>
      </c>
      <c r="E513" t="s">
        <v>69</v>
      </c>
      <c r="F513" t="s">
        <v>70</v>
      </c>
      <c r="G513" t="s">
        <v>71</v>
      </c>
      <c r="H513" t="s">
        <v>72</v>
      </c>
      <c r="I513" t="s">
        <v>73</v>
      </c>
      <c r="J513" t="str">
        <f>"46666"</f>
        <v>46666</v>
      </c>
      <c r="K513" t="s">
        <v>756</v>
      </c>
      <c r="L513" t="s">
        <v>328</v>
      </c>
      <c r="M513" t="s">
        <v>76</v>
      </c>
    </row>
    <row r="514" spans="2:13" x14ac:dyDescent="0.25">
      <c r="B514" t="s">
        <v>67</v>
      </c>
      <c r="C514" t="s">
        <v>757</v>
      </c>
      <c r="D514" t="s">
        <v>68</v>
      </c>
      <c r="E514" t="s">
        <v>69</v>
      </c>
      <c r="F514" t="s">
        <v>70</v>
      </c>
      <c r="G514" t="s">
        <v>71</v>
      </c>
      <c r="H514" t="s">
        <v>72</v>
      </c>
      <c r="I514" t="s">
        <v>73</v>
      </c>
      <c r="J514" t="str">
        <f>"46667"</f>
        <v>46667</v>
      </c>
      <c r="K514" t="s">
        <v>758</v>
      </c>
      <c r="L514" t="s">
        <v>328</v>
      </c>
      <c r="M514" t="s">
        <v>76</v>
      </c>
    </row>
    <row r="515" spans="2:13" x14ac:dyDescent="0.25">
      <c r="B515" t="s">
        <v>67</v>
      </c>
      <c r="C515" t="s">
        <v>759</v>
      </c>
      <c r="D515" t="s">
        <v>68</v>
      </c>
      <c r="E515" t="s">
        <v>69</v>
      </c>
      <c r="F515" t="s">
        <v>70</v>
      </c>
      <c r="G515" t="s">
        <v>71</v>
      </c>
      <c r="H515" t="s">
        <v>72</v>
      </c>
      <c r="I515" t="s">
        <v>73</v>
      </c>
      <c r="J515" t="str">
        <f>"46668"</f>
        <v>46668</v>
      </c>
      <c r="K515" t="s">
        <v>760</v>
      </c>
      <c r="L515" t="s">
        <v>328</v>
      </c>
      <c r="M515" t="s">
        <v>76</v>
      </c>
    </row>
    <row r="516" spans="2:13" x14ac:dyDescent="0.25">
      <c r="B516" t="s">
        <v>67</v>
      </c>
      <c r="C516" t="s">
        <v>761</v>
      </c>
      <c r="D516" t="s">
        <v>68</v>
      </c>
      <c r="E516" t="s">
        <v>69</v>
      </c>
      <c r="F516" t="s">
        <v>70</v>
      </c>
      <c r="G516" t="s">
        <v>71</v>
      </c>
      <c r="H516" t="s">
        <v>72</v>
      </c>
      <c r="I516" t="s">
        <v>73</v>
      </c>
      <c r="J516" t="str">
        <f>"46669"</f>
        <v>46669</v>
      </c>
      <c r="K516" t="s">
        <v>762</v>
      </c>
      <c r="L516" t="s">
        <v>328</v>
      </c>
      <c r="M516" t="s">
        <v>76</v>
      </c>
    </row>
    <row r="517" spans="2:13" x14ac:dyDescent="0.25">
      <c r="B517" t="s">
        <v>67</v>
      </c>
      <c r="C517" t="s">
        <v>763</v>
      </c>
      <c r="D517" t="s">
        <v>68</v>
      </c>
      <c r="E517" t="s">
        <v>69</v>
      </c>
      <c r="F517" t="s">
        <v>70</v>
      </c>
      <c r="G517" t="s">
        <v>71</v>
      </c>
      <c r="H517" t="s">
        <v>72</v>
      </c>
      <c r="I517" t="s">
        <v>73</v>
      </c>
      <c r="J517" t="str">
        <f>"46670"</f>
        <v>46670</v>
      </c>
      <c r="K517" t="s">
        <v>764</v>
      </c>
      <c r="L517" t="s">
        <v>328</v>
      </c>
      <c r="M517" t="s">
        <v>76</v>
      </c>
    </row>
    <row r="518" spans="2:13" x14ac:dyDescent="0.25">
      <c r="B518" t="s">
        <v>67</v>
      </c>
      <c r="C518" t="s">
        <v>765</v>
      </c>
      <c r="D518" t="s">
        <v>68</v>
      </c>
      <c r="E518" t="s">
        <v>69</v>
      </c>
      <c r="F518" t="s">
        <v>70</v>
      </c>
      <c r="G518" t="s">
        <v>71</v>
      </c>
      <c r="H518" t="s">
        <v>72</v>
      </c>
      <c r="I518" t="s">
        <v>73</v>
      </c>
      <c r="J518" t="str">
        <f>"46671"</f>
        <v>46671</v>
      </c>
      <c r="K518" t="s">
        <v>766</v>
      </c>
      <c r="L518" t="s">
        <v>328</v>
      </c>
      <c r="M518" t="s">
        <v>76</v>
      </c>
    </row>
    <row r="519" spans="2:13" x14ac:dyDescent="0.25">
      <c r="B519" t="s">
        <v>67</v>
      </c>
      <c r="C519" t="s">
        <v>767</v>
      </c>
      <c r="D519" t="s">
        <v>68</v>
      </c>
      <c r="E519" t="s">
        <v>69</v>
      </c>
      <c r="F519" t="s">
        <v>70</v>
      </c>
      <c r="G519" t="s">
        <v>71</v>
      </c>
      <c r="H519" t="s">
        <v>72</v>
      </c>
      <c r="I519" t="s">
        <v>73</v>
      </c>
      <c r="J519" t="str">
        <f>"46672"</f>
        <v>46672</v>
      </c>
      <c r="K519" t="s">
        <v>768</v>
      </c>
      <c r="L519" t="s">
        <v>328</v>
      </c>
      <c r="M519" t="s">
        <v>76</v>
      </c>
    </row>
    <row r="520" spans="2:13" x14ac:dyDescent="0.25">
      <c r="B520" t="s">
        <v>67</v>
      </c>
      <c r="C520" t="s">
        <v>769</v>
      </c>
      <c r="D520" t="s">
        <v>68</v>
      </c>
      <c r="E520" t="s">
        <v>69</v>
      </c>
      <c r="F520" t="s">
        <v>70</v>
      </c>
      <c r="G520" t="s">
        <v>71</v>
      </c>
      <c r="H520" t="s">
        <v>72</v>
      </c>
      <c r="I520" t="s">
        <v>73</v>
      </c>
      <c r="J520" t="str">
        <f>"46673"</f>
        <v>46673</v>
      </c>
      <c r="K520" t="s">
        <v>770</v>
      </c>
      <c r="L520" t="s">
        <v>328</v>
      </c>
      <c r="M520" t="s">
        <v>76</v>
      </c>
    </row>
    <row r="521" spans="2:13" x14ac:dyDescent="0.25">
      <c r="B521" t="s">
        <v>67</v>
      </c>
      <c r="C521" t="s">
        <v>771</v>
      </c>
      <c r="D521" t="s">
        <v>68</v>
      </c>
      <c r="E521" t="s">
        <v>69</v>
      </c>
      <c r="F521" t="s">
        <v>70</v>
      </c>
      <c r="G521" t="s">
        <v>71</v>
      </c>
      <c r="H521" t="s">
        <v>72</v>
      </c>
      <c r="I521" t="s">
        <v>73</v>
      </c>
      <c r="J521" t="str">
        <f>"46674"</f>
        <v>46674</v>
      </c>
      <c r="K521" t="s">
        <v>772</v>
      </c>
      <c r="L521" t="s">
        <v>328</v>
      </c>
      <c r="M521" t="s">
        <v>76</v>
      </c>
    </row>
    <row r="522" spans="2:13" x14ac:dyDescent="0.25">
      <c r="B522" t="s">
        <v>67</v>
      </c>
      <c r="C522" t="s">
        <v>773</v>
      </c>
      <c r="D522" t="s">
        <v>68</v>
      </c>
      <c r="E522" t="s">
        <v>69</v>
      </c>
      <c r="F522" t="s">
        <v>70</v>
      </c>
      <c r="G522" t="s">
        <v>71</v>
      </c>
      <c r="H522" t="s">
        <v>72</v>
      </c>
      <c r="I522" t="s">
        <v>73</v>
      </c>
      <c r="J522" t="str">
        <f>"46675"</f>
        <v>46675</v>
      </c>
      <c r="K522" t="s">
        <v>774</v>
      </c>
      <c r="L522" t="s">
        <v>328</v>
      </c>
      <c r="M522" t="s">
        <v>76</v>
      </c>
    </row>
    <row r="523" spans="2:13" x14ac:dyDescent="0.25">
      <c r="B523" t="s">
        <v>67</v>
      </c>
      <c r="C523" t="s">
        <v>775</v>
      </c>
      <c r="D523" t="s">
        <v>68</v>
      </c>
      <c r="E523" t="s">
        <v>69</v>
      </c>
      <c r="F523" t="s">
        <v>70</v>
      </c>
      <c r="G523" t="s">
        <v>71</v>
      </c>
      <c r="H523" t="s">
        <v>72</v>
      </c>
      <c r="I523" t="s">
        <v>73</v>
      </c>
      <c r="J523" t="str">
        <f>"46676"</f>
        <v>46676</v>
      </c>
      <c r="K523" t="s">
        <v>776</v>
      </c>
      <c r="L523" t="s">
        <v>328</v>
      </c>
      <c r="M523" t="s">
        <v>76</v>
      </c>
    </row>
    <row r="524" spans="2:13" x14ac:dyDescent="0.25">
      <c r="B524" t="s">
        <v>67</v>
      </c>
      <c r="C524" t="s">
        <v>777</v>
      </c>
      <c r="D524" t="s">
        <v>68</v>
      </c>
      <c r="E524" t="s">
        <v>69</v>
      </c>
      <c r="F524" t="s">
        <v>70</v>
      </c>
      <c r="G524" t="s">
        <v>71</v>
      </c>
      <c r="H524" t="s">
        <v>72</v>
      </c>
      <c r="I524" t="s">
        <v>73</v>
      </c>
      <c r="J524" t="str">
        <f>"46677"</f>
        <v>46677</v>
      </c>
      <c r="K524" t="s">
        <v>778</v>
      </c>
      <c r="L524" t="s">
        <v>779</v>
      </c>
      <c r="M524" t="s">
        <v>76</v>
      </c>
    </row>
    <row r="525" spans="2:13" x14ac:dyDescent="0.25">
      <c r="B525" t="s">
        <v>67</v>
      </c>
      <c r="C525" t="s">
        <v>780</v>
      </c>
      <c r="D525" t="s">
        <v>68</v>
      </c>
      <c r="E525" t="s">
        <v>69</v>
      </c>
      <c r="F525" t="s">
        <v>70</v>
      </c>
      <c r="G525" t="s">
        <v>71</v>
      </c>
      <c r="H525" t="s">
        <v>72</v>
      </c>
      <c r="I525" t="s">
        <v>73</v>
      </c>
      <c r="J525" t="str">
        <f>"46678"</f>
        <v>46678</v>
      </c>
      <c r="K525" t="s">
        <v>781</v>
      </c>
      <c r="L525" t="s">
        <v>779</v>
      </c>
      <c r="M525" t="s">
        <v>76</v>
      </c>
    </row>
    <row r="526" spans="2:13" x14ac:dyDescent="0.25">
      <c r="B526" t="s">
        <v>67</v>
      </c>
      <c r="C526" t="s">
        <v>782</v>
      </c>
      <c r="D526" t="s">
        <v>68</v>
      </c>
      <c r="E526" t="s">
        <v>69</v>
      </c>
      <c r="F526" t="s">
        <v>70</v>
      </c>
      <c r="G526" t="s">
        <v>71</v>
      </c>
      <c r="H526" t="s">
        <v>72</v>
      </c>
      <c r="I526" t="s">
        <v>73</v>
      </c>
      <c r="J526" t="str">
        <f>"46679"</f>
        <v>46679</v>
      </c>
      <c r="K526" t="s">
        <v>783</v>
      </c>
      <c r="L526" t="s">
        <v>779</v>
      </c>
      <c r="M526" t="s">
        <v>76</v>
      </c>
    </row>
    <row r="527" spans="2:13" x14ac:dyDescent="0.25">
      <c r="B527" t="s">
        <v>67</v>
      </c>
      <c r="C527" t="s">
        <v>784</v>
      </c>
      <c r="D527" t="s">
        <v>68</v>
      </c>
      <c r="E527" t="s">
        <v>69</v>
      </c>
      <c r="F527" t="s">
        <v>70</v>
      </c>
      <c r="G527" t="s">
        <v>71</v>
      </c>
      <c r="H527" t="s">
        <v>72</v>
      </c>
      <c r="I527" t="s">
        <v>73</v>
      </c>
      <c r="J527" t="str">
        <f>"46680"</f>
        <v>46680</v>
      </c>
      <c r="K527" t="s">
        <v>785</v>
      </c>
      <c r="L527" t="s">
        <v>779</v>
      </c>
      <c r="M527" t="s">
        <v>76</v>
      </c>
    </row>
    <row r="528" spans="2:13" x14ac:dyDescent="0.25">
      <c r="B528" t="s">
        <v>67</v>
      </c>
      <c r="C528" t="s">
        <v>786</v>
      </c>
      <c r="D528" t="s">
        <v>68</v>
      </c>
      <c r="E528" t="s">
        <v>69</v>
      </c>
      <c r="F528" t="s">
        <v>70</v>
      </c>
      <c r="G528" t="s">
        <v>71</v>
      </c>
      <c r="H528" t="s">
        <v>72</v>
      </c>
      <c r="I528" t="s">
        <v>73</v>
      </c>
      <c r="J528" t="str">
        <f>"46681"</f>
        <v>46681</v>
      </c>
      <c r="K528" t="s">
        <v>787</v>
      </c>
      <c r="L528" t="s">
        <v>779</v>
      </c>
      <c r="M528" t="s">
        <v>76</v>
      </c>
    </row>
    <row r="529" spans="2:13" x14ac:dyDescent="0.25">
      <c r="B529" t="s">
        <v>67</v>
      </c>
      <c r="C529" t="s">
        <v>788</v>
      </c>
      <c r="D529" t="s">
        <v>68</v>
      </c>
      <c r="E529" t="s">
        <v>69</v>
      </c>
      <c r="F529" t="s">
        <v>70</v>
      </c>
      <c r="G529" t="s">
        <v>71</v>
      </c>
      <c r="H529" t="s">
        <v>72</v>
      </c>
      <c r="I529" t="s">
        <v>73</v>
      </c>
      <c r="J529" t="str">
        <f>"46682"</f>
        <v>46682</v>
      </c>
      <c r="K529" t="s">
        <v>789</v>
      </c>
      <c r="L529" t="s">
        <v>779</v>
      </c>
      <c r="M529" t="s">
        <v>76</v>
      </c>
    </row>
    <row r="530" spans="2:13" x14ac:dyDescent="0.25">
      <c r="B530" t="s">
        <v>67</v>
      </c>
      <c r="C530" t="s">
        <v>790</v>
      </c>
      <c r="D530" t="s">
        <v>68</v>
      </c>
      <c r="E530" t="s">
        <v>69</v>
      </c>
      <c r="F530" t="s">
        <v>70</v>
      </c>
      <c r="G530" t="s">
        <v>71</v>
      </c>
      <c r="H530" t="s">
        <v>72</v>
      </c>
      <c r="I530" t="s">
        <v>73</v>
      </c>
      <c r="J530" t="str">
        <f>"46683"</f>
        <v>46683</v>
      </c>
      <c r="K530" t="s">
        <v>791</v>
      </c>
      <c r="L530" t="s">
        <v>779</v>
      </c>
      <c r="M530" t="s">
        <v>76</v>
      </c>
    </row>
    <row r="531" spans="2:13" x14ac:dyDescent="0.25">
      <c r="B531" t="s">
        <v>67</v>
      </c>
      <c r="C531" t="s">
        <v>792</v>
      </c>
      <c r="D531" t="s">
        <v>68</v>
      </c>
      <c r="E531" t="s">
        <v>69</v>
      </c>
      <c r="F531" t="s">
        <v>70</v>
      </c>
      <c r="G531" t="s">
        <v>71</v>
      </c>
      <c r="H531" t="s">
        <v>72</v>
      </c>
      <c r="I531" t="s">
        <v>73</v>
      </c>
      <c r="J531" t="str">
        <f>"46684"</f>
        <v>46684</v>
      </c>
      <c r="K531" t="s">
        <v>793</v>
      </c>
      <c r="L531" t="s">
        <v>779</v>
      </c>
      <c r="M531" t="s">
        <v>76</v>
      </c>
    </row>
    <row r="532" spans="2:13" x14ac:dyDescent="0.25">
      <c r="B532" t="s">
        <v>67</v>
      </c>
      <c r="C532" t="s">
        <v>794</v>
      </c>
      <c r="D532" t="s">
        <v>68</v>
      </c>
      <c r="E532" t="s">
        <v>69</v>
      </c>
      <c r="F532" t="s">
        <v>70</v>
      </c>
      <c r="G532" t="s">
        <v>71</v>
      </c>
      <c r="H532" t="s">
        <v>72</v>
      </c>
      <c r="I532" t="s">
        <v>73</v>
      </c>
      <c r="J532" t="str">
        <f>"46685"</f>
        <v>46685</v>
      </c>
      <c r="K532" t="s">
        <v>795</v>
      </c>
      <c r="L532" t="s">
        <v>779</v>
      </c>
      <c r="M532" t="s">
        <v>76</v>
      </c>
    </row>
    <row r="533" spans="2:13" x14ac:dyDescent="0.25">
      <c r="B533" t="s">
        <v>67</v>
      </c>
      <c r="C533" t="s">
        <v>796</v>
      </c>
      <c r="D533" t="s">
        <v>68</v>
      </c>
      <c r="E533" t="s">
        <v>69</v>
      </c>
      <c r="F533" t="s">
        <v>70</v>
      </c>
      <c r="G533" t="s">
        <v>71</v>
      </c>
      <c r="H533" t="s">
        <v>72</v>
      </c>
      <c r="I533" t="s">
        <v>73</v>
      </c>
      <c r="J533" t="str">
        <f>"46686"</f>
        <v>46686</v>
      </c>
      <c r="K533" t="s">
        <v>797</v>
      </c>
      <c r="L533" t="s">
        <v>779</v>
      </c>
      <c r="M533" t="s">
        <v>76</v>
      </c>
    </row>
    <row r="534" spans="2:13" x14ac:dyDescent="0.25">
      <c r="B534" t="s">
        <v>67</v>
      </c>
      <c r="C534" t="s">
        <v>798</v>
      </c>
      <c r="D534" t="s">
        <v>68</v>
      </c>
      <c r="E534" t="s">
        <v>69</v>
      </c>
      <c r="F534" t="s">
        <v>70</v>
      </c>
      <c r="G534" t="s">
        <v>71</v>
      </c>
      <c r="H534" t="s">
        <v>72</v>
      </c>
      <c r="I534" t="s">
        <v>73</v>
      </c>
      <c r="J534" t="str">
        <f>"46687"</f>
        <v>46687</v>
      </c>
      <c r="K534" t="s">
        <v>799</v>
      </c>
      <c r="L534" t="s">
        <v>779</v>
      </c>
      <c r="M534" t="s">
        <v>76</v>
      </c>
    </row>
    <row r="535" spans="2:13" x14ac:dyDescent="0.25">
      <c r="B535" t="s">
        <v>67</v>
      </c>
      <c r="C535" t="s">
        <v>800</v>
      </c>
      <c r="D535" t="s">
        <v>68</v>
      </c>
      <c r="E535" t="s">
        <v>69</v>
      </c>
      <c r="F535" t="s">
        <v>70</v>
      </c>
      <c r="G535" t="s">
        <v>71</v>
      </c>
      <c r="H535" t="s">
        <v>72</v>
      </c>
      <c r="I535" t="s">
        <v>73</v>
      </c>
      <c r="J535" t="str">
        <f>"46688"</f>
        <v>46688</v>
      </c>
      <c r="K535" t="s">
        <v>801</v>
      </c>
      <c r="L535" t="s">
        <v>779</v>
      </c>
      <c r="M535" t="s">
        <v>76</v>
      </c>
    </row>
    <row r="536" spans="2:13" x14ac:dyDescent="0.25">
      <c r="B536" t="s">
        <v>67</v>
      </c>
      <c r="C536" t="s">
        <v>802</v>
      </c>
      <c r="D536" t="s">
        <v>68</v>
      </c>
      <c r="E536" t="s">
        <v>69</v>
      </c>
      <c r="F536" t="s">
        <v>70</v>
      </c>
      <c r="G536" t="s">
        <v>71</v>
      </c>
      <c r="H536" t="s">
        <v>72</v>
      </c>
      <c r="I536" t="s">
        <v>73</v>
      </c>
      <c r="J536" t="str">
        <f>"46689"</f>
        <v>46689</v>
      </c>
      <c r="K536" t="s">
        <v>803</v>
      </c>
      <c r="L536" t="s">
        <v>779</v>
      </c>
      <c r="M536" t="s">
        <v>76</v>
      </c>
    </row>
    <row r="537" spans="2:13" x14ac:dyDescent="0.25">
      <c r="B537" t="s">
        <v>67</v>
      </c>
      <c r="C537" t="s">
        <v>804</v>
      </c>
      <c r="D537" t="s">
        <v>68</v>
      </c>
      <c r="E537" t="s">
        <v>69</v>
      </c>
      <c r="F537" t="s">
        <v>70</v>
      </c>
      <c r="G537" t="s">
        <v>71</v>
      </c>
      <c r="H537" t="s">
        <v>72</v>
      </c>
      <c r="I537" t="s">
        <v>73</v>
      </c>
      <c r="J537" t="str">
        <f>"46690"</f>
        <v>46690</v>
      </c>
      <c r="K537" t="s">
        <v>805</v>
      </c>
      <c r="L537" t="s">
        <v>779</v>
      </c>
      <c r="M537" t="s">
        <v>76</v>
      </c>
    </row>
    <row r="538" spans="2:13" x14ac:dyDescent="0.25">
      <c r="B538" t="s">
        <v>67</v>
      </c>
      <c r="C538" t="s">
        <v>806</v>
      </c>
      <c r="D538" t="s">
        <v>68</v>
      </c>
      <c r="E538" t="s">
        <v>69</v>
      </c>
      <c r="F538" t="s">
        <v>70</v>
      </c>
      <c r="G538" t="s">
        <v>71</v>
      </c>
      <c r="H538" t="s">
        <v>72</v>
      </c>
      <c r="I538" t="s">
        <v>73</v>
      </c>
      <c r="J538" t="str">
        <f>"46691"</f>
        <v>46691</v>
      </c>
      <c r="K538" t="s">
        <v>807</v>
      </c>
      <c r="L538" t="s">
        <v>779</v>
      </c>
      <c r="M538" t="s">
        <v>76</v>
      </c>
    </row>
    <row r="539" spans="2:13" x14ac:dyDescent="0.25">
      <c r="B539" t="s">
        <v>67</v>
      </c>
      <c r="C539" t="s">
        <v>808</v>
      </c>
      <c r="D539" t="s">
        <v>68</v>
      </c>
      <c r="E539" t="s">
        <v>69</v>
      </c>
      <c r="F539" t="s">
        <v>70</v>
      </c>
      <c r="G539" t="s">
        <v>71</v>
      </c>
      <c r="H539" t="s">
        <v>72</v>
      </c>
      <c r="I539" t="s">
        <v>73</v>
      </c>
      <c r="J539" t="str">
        <f>"46692"</f>
        <v>46692</v>
      </c>
      <c r="K539" t="s">
        <v>809</v>
      </c>
      <c r="L539" t="s">
        <v>779</v>
      </c>
      <c r="M539" t="s">
        <v>76</v>
      </c>
    </row>
    <row r="540" spans="2:13" x14ac:dyDescent="0.25">
      <c r="B540" t="s">
        <v>67</v>
      </c>
      <c r="C540" t="s">
        <v>810</v>
      </c>
      <c r="D540" t="s">
        <v>68</v>
      </c>
      <c r="E540" t="s">
        <v>69</v>
      </c>
      <c r="F540" t="s">
        <v>70</v>
      </c>
      <c r="G540" t="s">
        <v>71</v>
      </c>
      <c r="H540" t="s">
        <v>72</v>
      </c>
      <c r="I540" t="s">
        <v>73</v>
      </c>
      <c r="J540" t="str">
        <f>"46693"</f>
        <v>46693</v>
      </c>
      <c r="K540" t="s">
        <v>811</v>
      </c>
      <c r="L540" t="s">
        <v>779</v>
      </c>
      <c r="M540" t="s">
        <v>76</v>
      </c>
    </row>
    <row r="541" spans="2:13" x14ac:dyDescent="0.25">
      <c r="B541" t="s">
        <v>67</v>
      </c>
      <c r="C541" t="s">
        <v>812</v>
      </c>
      <c r="D541" t="s">
        <v>68</v>
      </c>
      <c r="E541" t="s">
        <v>69</v>
      </c>
      <c r="F541" t="s">
        <v>70</v>
      </c>
      <c r="G541" t="s">
        <v>71</v>
      </c>
      <c r="H541" t="s">
        <v>72</v>
      </c>
      <c r="I541" t="s">
        <v>73</v>
      </c>
      <c r="J541" t="str">
        <f>"46694"</f>
        <v>46694</v>
      </c>
      <c r="K541" t="s">
        <v>813</v>
      </c>
      <c r="L541" t="s">
        <v>779</v>
      </c>
      <c r="M541" t="s">
        <v>76</v>
      </c>
    </row>
    <row r="542" spans="2:13" x14ac:dyDescent="0.25">
      <c r="B542" t="s">
        <v>67</v>
      </c>
      <c r="C542" t="s">
        <v>814</v>
      </c>
      <c r="D542" t="s">
        <v>68</v>
      </c>
      <c r="E542" t="s">
        <v>69</v>
      </c>
      <c r="F542" t="s">
        <v>70</v>
      </c>
      <c r="G542" t="s">
        <v>71</v>
      </c>
      <c r="H542" t="s">
        <v>72</v>
      </c>
      <c r="I542" t="s">
        <v>73</v>
      </c>
      <c r="J542" t="str">
        <f>"46695"</f>
        <v>46695</v>
      </c>
      <c r="K542" t="s">
        <v>815</v>
      </c>
      <c r="L542" t="s">
        <v>779</v>
      </c>
      <c r="M542" t="s">
        <v>76</v>
      </c>
    </row>
    <row r="543" spans="2:13" x14ac:dyDescent="0.25">
      <c r="B543" t="s">
        <v>67</v>
      </c>
      <c r="C543" t="s">
        <v>816</v>
      </c>
      <c r="D543" t="s">
        <v>68</v>
      </c>
      <c r="E543" t="s">
        <v>69</v>
      </c>
      <c r="F543" t="s">
        <v>70</v>
      </c>
      <c r="G543" t="s">
        <v>71</v>
      </c>
      <c r="H543" t="s">
        <v>72</v>
      </c>
      <c r="I543" t="s">
        <v>73</v>
      </c>
      <c r="J543" t="str">
        <f>"46696"</f>
        <v>46696</v>
      </c>
      <c r="K543" t="s">
        <v>817</v>
      </c>
      <c r="L543" t="s">
        <v>779</v>
      </c>
      <c r="M543" t="s">
        <v>76</v>
      </c>
    </row>
    <row r="544" spans="2:13" x14ac:dyDescent="0.25">
      <c r="B544" t="s">
        <v>67</v>
      </c>
      <c r="C544" t="s">
        <v>818</v>
      </c>
      <c r="D544" t="s">
        <v>68</v>
      </c>
      <c r="E544" t="s">
        <v>69</v>
      </c>
      <c r="F544" t="s">
        <v>70</v>
      </c>
      <c r="G544" t="s">
        <v>71</v>
      </c>
      <c r="H544" t="s">
        <v>72</v>
      </c>
      <c r="I544" t="s">
        <v>73</v>
      </c>
      <c r="J544" t="str">
        <f>"46697"</f>
        <v>46697</v>
      </c>
      <c r="K544" t="s">
        <v>819</v>
      </c>
      <c r="L544" t="s">
        <v>779</v>
      </c>
      <c r="M544" t="s">
        <v>76</v>
      </c>
    </row>
    <row r="545" spans="2:13" x14ac:dyDescent="0.25">
      <c r="B545" t="s">
        <v>67</v>
      </c>
      <c r="C545" t="s">
        <v>820</v>
      </c>
      <c r="D545" t="s">
        <v>68</v>
      </c>
      <c r="E545" t="s">
        <v>69</v>
      </c>
      <c r="F545" t="s">
        <v>70</v>
      </c>
      <c r="G545" t="s">
        <v>71</v>
      </c>
      <c r="H545" t="s">
        <v>72</v>
      </c>
      <c r="I545" t="s">
        <v>73</v>
      </c>
      <c r="J545" t="str">
        <f>"46698"</f>
        <v>46698</v>
      </c>
      <c r="K545" t="s">
        <v>821</v>
      </c>
      <c r="L545" t="s">
        <v>779</v>
      </c>
      <c r="M545" t="s">
        <v>76</v>
      </c>
    </row>
    <row r="546" spans="2:13" x14ac:dyDescent="0.25">
      <c r="B546" t="s">
        <v>67</v>
      </c>
      <c r="C546" t="s">
        <v>822</v>
      </c>
      <c r="D546" t="s">
        <v>68</v>
      </c>
      <c r="E546" t="s">
        <v>69</v>
      </c>
      <c r="F546" t="s">
        <v>70</v>
      </c>
      <c r="G546" t="s">
        <v>71</v>
      </c>
      <c r="H546" t="s">
        <v>72</v>
      </c>
      <c r="I546" t="s">
        <v>73</v>
      </c>
      <c r="J546" t="str">
        <f>"46699"</f>
        <v>46699</v>
      </c>
      <c r="K546" t="s">
        <v>823</v>
      </c>
      <c r="L546" t="s">
        <v>779</v>
      </c>
      <c r="M546" t="s">
        <v>76</v>
      </c>
    </row>
    <row r="547" spans="2:13" x14ac:dyDescent="0.25">
      <c r="B547" t="s">
        <v>67</v>
      </c>
      <c r="C547" t="s">
        <v>824</v>
      </c>
      <c r="D547" t="s">
        <v>68</v>
      </c>
      <c r="E547" t="s">
        <v>69</v>
      </c>
      <c r="F547" t="s">
        <v>70</v>
      </c>
      <c r="G547" t="s">
        <v>71</v>
      </c>
      <c r="H547" t="s">
        <v>72</v>
      </c>
      <c r="I547" t="s">
        <v>73</v>
      </c>
      <c r="J547" t="str">
        <f>"46700"</f>
        <v>46700</v>
      </c>
      <c r="K547" t="s">
        <v>825</v>
      </c>
      <c r="L547" t="s">
        <v>779</v>
      </c>
      <c r="M547" t="s">
        <v>76</v>
      </c>
    </row>
    <row r="548" spans="2:13" x14ac:dyDescent="0.25">
      <c r="B548" t="s">
        <v>67</v>
      </c>
      <c r="C548" t="s">
        <v>826</v>
      </c>
      <c r="D548" t="s">
        <v>68</v>
      </c>
      <c r="E548" t="s">
        <v>69</v>
      </c>
      <c r="F548" t="s">
        <v>70</v>
      </c>
      <c r="G548" t="s">
        <v>71</v>
      </c>
      <c r="H548" t="s">
        <v>72</v>
      </c>
      <c r="I548" t="s">
        <v>73</v>
      </c>
      <c r="J548" t="str">
        <f>"46701"</f>
        <v>46701</v>
      </c>
      <c r="K548" t="s">
        <v>827</v>
      </c>
      <c r="L548" t="s">
        <v>779</v>
      </c>
      <c r="M548" t="s">
        <v>76</v>
      </c>
    </row>
    <row r="549" spans="2:13" x14ac:dyDescent="0.25">
      <c r="B549" t="s">
        <v>67</v>
      </c>
      <c r="C549" t="s">
        <v>828</v>
      </c>
      <c r="D549" t="s">
        <v>68</v>
      </c>
      <c r="E549" t="s">
        <v>69</v>
      </c>
      <c r="F549" t="s">
        <v>70</v>
      </c>
      <c r="G549" t="s">
        <v>71</v>
      </c>
      <c r="H549" t="s">
        <v>72</v>
      </c>
      <c r="I549" t="s">
        <v>73</v>
      </c>
      <c r="J549" t="str">
        <f>"46702"</f>
        <v>46702</v>
      </c>
      <c r="K549" t="s">
        <v>829</v>
      </c>
      <c r="L549" t="s">
        <v>779</v>
      </c>
      <c r="M549" t="s">
        <v>76</v>
      </c>
    </row>
    <row r="550" spans="2:13" x14ac:dyDescent="0.25">
      <c r="B550" t="s">
        <v>67</v>
      </c>
      <c r="C550" t="s">
        <v>830</v>
      </c>
      <c r="D550" t="s">
        <v>68</v>
      </c>
      <c r="E550" t="s">
        <v>69</v>
      </c>
      <c r="F550" t="s">
        <v>70</v>
      </c>
      <c r="G550" t="s">
        <v>71</v>
      </c>
      <c r="H550" t="s">
        <v>72</v>
      </c>
      <c r="I550" t="s">
        <v>73</v>
      </c>
      <c r="J550" t="str">
        <f>"46703"</f>
        <v>46703</v>
      </c>
      <c r="K550" t="s">
        <v>831</v>
      </c>
      <c r="L550" t="s">
        <v>779</v>
      </c>
      <c r="M550" t="s">
        <v>76</v>
      </c>
    </row>
    <row r="551" spans="2:13" x14ac:dyDescent="0.25">
      <c r="B551" t="s">
        <v>67</v>
      </c>
      <c r="C551" t="s">
        <v>832</v>
      </c>
      <c r="D551" t="s">
        <v>68</v>
      </c>
      <c r="E551" t="s">
        <v>69</v>
      </c>
      <c r="F551" t="s">
        <v>70</v>
      </c>
      <c r="G551" t="s">
        <v>71</v>
      </c>
      <c r="H551" t="s">
        <v>72</v>
      </c>
      <c r="I551" t="s">
        <v>73</v>
      </c>
      <c r="J551" t="str">
        <f>"46704"</f>
        <v>46704</v>
      </c>
      <c r="K551" t="s">
        <v>833</v>
      </c>
      <c r="L551" t="s">
        <v>779</v>
      </c>
      <c r="M551" t="s">
        <v>76</v>
      </c>
    </row>
    <row r="552" spans="2:13" x14ac:dyDescent="0.25">
      <c r="B552" t="s">
        <v>67</v>
      </c>
      <c r="C552" t="s">
        <v>834</v>
      </c>
      <c r="D552" t="s">
        <v>68</v>
      </c>
      <c r="E552" t="s">
        <v>69</v>
      </c>
      <c r="F552" t="s">
        <v>70</v>
      </c>
      <c r="G552" t="s">
        <v>71</v>
      </c>
      <c r="H552" t="s">
        <v>72</v>
      </c>
      <c r="I552" t="s">
        <v>73</v>
      </c>
      <c r="J552" t="str">
        <f>"46705"</f>
        <v>46705</v>
      </c>
      <c r="K552" t="s">
        <v>835</v>
      </c>
      <c r="L552" t="s">
        <v>779</v>
      </c>
      <c r="M552" t="s">
        <v>76</v>
      </c>
    </row>
    <row r="553" spans="2:13" x14ac:dyDescent="0.25">
      <c r="B553" t="s">
        <v>67</v>
      </c>
      <c r="C553" t="s">
        <v>836</v>
      </c>
      <c r="D553" t="s">
        <v>68</v>
      </c>
      <c r="E553" t="s">
        <v>69</v>
      </c>
      <c r="F553" t="s">
        <v>70</v>
      </c>
      <c r="G553" t="s">
        <v>71</v>
      </c>
      <c r="H553" t="s">
        <v>72</v>
      </c>
      <c r="I553" t="s">
        <v>73</v>
      </c>
      <c r="J553" t="str">
        <f>"46706"</f>
        <v>46706</v>
      </c>
      <c r="K553" t="s">
        <v>837</v>
      </c>
      <c r="L553" t="s">
        <v>779</v>
      </c>
      <c r="M553" t="s">
        <v>76</v>
      </c>
    </row>
    <row r="554" spans="2:13" x14ac:dyDescent="0.25">
      <c r="B554" t="s">
        <v>67</v>
      </c>
      <c r="C554" t="s">
        <v>838</v>
      </c>
      <c r="D554" t="s">
        <v>68</v>
      </c>
      <c r="E554" t="s">
        <v>69</v>
      </c>
      <c r="F554" t="s">
        <v>70</v>
      </c>
      <c r="G554" t="s">
        <v>71</v>
      </c>
      <c r="H554" t="s">
        <v>72</v>
      </c>
      <c r="I554" t="s">
        <v>73</v>
      </c>
      <c r="J554" t="str">
        <f>"46707"</f>
        <v>46707</v>
      </c>
      <c r="K554" t="s">
        <v>839</v>
      </c>
      <c r="L554" t="s">
        <v>779</v>
      </c>
      <c r="M554" t="s">
        <v>76</v>
      </c>
    </row>
    <row r="555" spans="2:13" x14ac:dyDescent="0.25">
      <c r="B555" t="s">
        <v>67</v>
      </c>
      <c r="C555" t="s">
        <v>840</v>
      </c>
      <c r="D555" t="s">
        <v>68</v>
      </c>
      <c r="E555" t="s">
        <v>69</v>
      </c>
      <c r="F555" t="s">
        <v>70</v>
      </c>
      <c r="G555" t="s">
        <v>71</v>
      </c>
      <c r="H555" t="s">
        <v>72</v>
      </c>
      <c r="I555" t="s">
        <v>73</v>
      </c>
      <c r="J555" t="str">
        <f>"46708"</f>
        <v>46708</v>
      </c>
      <c r="K555" t="s">
        <v>841</v>
      </c>
      <c r="L555" t="s">
        <v>779</v>
      </c>
      <c r="M555" t="s">
        <v>76</v>
      </c>
    </row>
    <row r="556" spans="2:13" x14ac:dyDescent="0.25">
      <c r="B556" t="s">
        <v>67</v>
      </c>
      <c r="C556" t="s">
        <v>842</v>
      </c>
      <c r="D556" t="s">
        <v>68</v>
      </c>
      <c r="E556" t="s">
        <v>69</v>
      </c>
      <c r="F556" t="s">
        <v>70</v>
      </c>
      <c r="G556" t="s">
        <v>71</v>
      </c>
      <c r="H556" t="s">
        <v>72</v>
      </c>
      <c r="I556" t="s">
        <v>73</v>
      </c>
      <c r="J556" t="str">
        <f>"46709"</f>
        <v>46709</v>
      </c>
      <c r="K556" t="s">
        <v>843</v>
      </c>
      <c r="L556" t="s">
        <v>779</v>
      </c>
      <c r="M556" t="s">
        <v>76</v>
      </c>
    </row>
    <row r="557" spans="2:13" x14ac:dyDescent="0.25">
      <c r="B557" t="s">
        <v>67</v>
      </c>
      <c r="C557" t="s">
        <v>844</v>
      </c>
      <c r="D557" t="s">
        <v>68</v>
      </c>
      <c r="E557" t="s">
        <v>69</v>
      </c>
      <c r="F557" t="s">
        <v>70</v>
      </c>
      <c r="G557" t="s">
        <v>71</v>
      </c>
      <c r="H557" t="s">
        <v>72</v>
      </c>
      <c r="I557" t="s">
        <v>73</v>
      </c>
      <c r="J557" t="str">
        <f>"46710"</f>
        <v>46710</v>
      </c>
      <c r="K557" t="s">
        <v>845</v>
      </c>
      <c r="L557" t="s">
        <v>779</v>
      </c>
      <c r="M557" t="s">
        <v>76</v>
      </c>
    </row>
    <row r="558" spans="2:13" x14ac:dyDescent="0.25">
      <c r="B558" t="s">
        <v>67</v>
      </c>
      <c r="C558" t="s">
        <v>846</v>
      </c>
      <c r="D558" t="s">
        <v>68</v>
      </c>
      <c r="E558" t="s">
        <v>69</v>
      </c>
      <c r="F558" t="s">
        <v>70</v>
      </c>
      <c r="G558" t="s">
        <v>71</v>
      </c>
      <c r="H558" t="s">
        <v>72</v>
      </c>
      <c r="I558" t="s">
        <v>73</v>
      </c>
      <c r="J558" t="str">
        <f>"46711"</f>
        <v>46711</v>
      </c>
      <c r="K558" t="s">
        <v>847</v>
      </c>
      <c r="L558" t="s">
        <v>779</v>
      </c>
      <c r="M558" t="s">
        <v>76</v>
      </c>
    </row>
    <row r="559" spans="2:13" x14ac:dyDescent="0.25">
      <c r="B559" t="s">
        <v>67</v>
      </c>
      <c r="C559" t="s">
        <v>848</v>
      </c>
      <c r="D559" t="s">
        <v>68</v>
      </c>
      <c r="E559" t="s">
        <v>69</v>
      </c>
      <c r="F559" t="s">
        <v>70</v>
      </c>
      <c r="G559" t="s">
        <v>71</v>
      </c>
      <c r="H559" t="s">
        <v>72</v>
      </c>
      <c r="I559" t="s">
        <v>73</v>
      </c>
      <c r="J559" t="str">
        <f>"46712"</f>
        <v>46712</v>
      </c>
      <c r="K559" t="s">
        <v>849</v>
      </c>
      <c r="L559" t="s">
        <v>779</v>
      </c>
      <c r="M559" t="s">
        <v>76</v>
      </c>
    </row>
    <row r="560" spans="2:13" x14ac:dyDescent="0.25">
      <c r="B560" t="s">
        <v>67</v>
      </c>
      <c r="C560" t="s">
        <v>850</v>
      </c>
      <c r="D560" t="s">
        <v>68</v>
      </c>
      <c r="E560" t="s">
        <v>69</v>
      </c>
      <c r="F560" t="s">
        <v>70</v>
      </c>
      <c r="G560" t="s">
        <v>71</v>
      </c>
      <c r="H560" t="s">
        <v>72</v>
      </c>
      <c r="I560" t="s">
        <v>73</v>
      </c>
      <c r="J560" t="str">
        <f>"46713"</f>
        <v>46713</v>
      </c>
      <c r="K560" t="s">
        <v>851</v>
      </c>
      <c r="L560" t="s">
        <v>779</v>
      </c>
      <c r="M560" t="s">
        <v>76</v>
      </c>
    </row>
    <row r="561" spans="2:13" x14ac:dyDescent="0.25">
      <c r="B561" t="s">
        <v>67</v>
      </c>
      <c r="C561" t="s">
        <v>852</v>
      </c>
      <c r="D561" t="s">
        <v>68</v>
      </c>
      <c r="E561" t="s">
        <v>69</v>
      </c>
      <c r="F561" t="s">
        <v>70</v>
      </c>
      <c r="G561" t="s">
        <v>71</v>
      </c>
      <c r="H561" t="s">
        <v>72</v>
      </c>
      <c r="I561" t="s">
        <v>73</v>
      </c>
      <c r="J561" t="str">
        <f>"46714"</f>
        <v>46714</v>
      </c>
      <c r="K561" t="s">
        <v>853</v>
      </c>
      <c r="L561" t="s">
        <v>779</v>
      </c>
      <c r="M561" t="s">
        <v>76</v>
      </c>
    </row>
    <row r="562" spans="2:13" x14ac:dyDescent="0.25">
      <c r="B562" t="s">
        <v>67</v>
      </c>
      <c r="C562" t="s">
        <v>854</v>
      </c>
      <c r="D562" t="s">
        <v>68</v>
      </c>
      <c r="E562" t="s">
        <v>69</v>
      </c>
      <c r="F562" t="s">
        <v>70</v>
      </c>
      <c r="G562" t="s">
        <v>71</v>
      </c>
      <c r="H562" t="s">
        <v>72</v>
      </c>
      <c r="I562" t="s">
        <v>73</v>
      </c>
      <c r="J562" t="str">
        <f>"46715"</f>
        <v>46715</v>
      </c>
      <c r="K562" t="s">
        <v>855</v>
      </c>
      <c r="L562" t="s">
        <v>779</v>
      </c>
      <c r="M562" t="s">
        <v>76</v>
      </c>
    </row>
    <row r="563" spans="2:13" x14ac:dyDescent="0.25">
      <c r="B563" t="s">
        <v>67</v>
      </c>
      <c r="C563" t="s">
        <v>856</v>
      </c>
      <c r="D563" t="s">
        <v>68</v>
      </c>
      <c r="E563" t="s">
        <v>69</v>
      </c>
      <c r="F563" t="s">
        <v>70</v>
      </c>
      <c r="G563" t="s">
        <v>71</v>
      </c>
      <c r="H563" t="s">
        <v>72</v>
      </c>
      <c r="I563" t="s">
        <v>73</v>
      </c>
      <c r="J563" t="str">
        <f>"46716"</f>
        <v>46716</v>
      </c>
      <c r="K563" t="s">
        <v>857</v>
      </c>
      <c r="L563" t="s">
        <v>779</v>
      </c>
      <c r="M563" t="s">
        <v>76</v>
      </c>
    </row>
    <row r="564" spans="2:13" x14ac:dyDescent="0.25">
      <c r="B564" t="s">
        <v>67</v>
      </c>
      <c r="C564" t="s">
        <v>858</v>
      </c>
      <c r="D564" t="s">
        <v>68</v>
      </c>
      <c r="E564" t="s">
        <v>69</v>
      </c>
      <c r="F564" t="s">
        <v>70</v>
      </c>
      <c r="G564" t="s">
        <v>71</v>
      </c>
      <c r="H564" t="s">
        <v>72</v>
      </c>
      <c r="I564" t="s">
        <v>73</v>
      </c>
      <c r="J564" t="str">
        <f>"46717"</f>
        <v>46717</v>
      </c>
      <c r="K564" t="s">
        <v>859</v>
      </c>
      <c r="L564" t="s">
        <v>779</v>
      </c>
      <c r="M564" t="s">
        <v>76</v>
      </c>
    </row>
    <row r="565" spans="2:13" x14ac:dyDescent="0.25">
      <c r="B565" t="s">
        <v>67</v>
      </c>
      <c r="C565" t="s">
        <v>860</v>
      </c>
      <c r="D565" t="s">
        <v>68</v>
      </c>
      <c r="E565" t="s">
        <v>69</v>
      </c>
      <c r="F565" t="s">
        <v>70</v>
      </c>
      <c r="G565" t="s">
        <v>71</v>
      </c>
      <c r="H565" t="s">
        <v>72</v>
      </c>
      <c r="I565" t="s">
        <v>73</v>
      </c>
      <c r="J565" t="str">
        <f>"46718"</f>
        <v>46718</v>
      </c>
      <c r="K565" t="s">
        <v>861</v>
      </c>
      <c r="L565" t="s">
        <v>779</v>
      </c>
      <c r="M565" t="s">
        <v>76</v>
      </c>
    </row>
    <row r="566" spans="2:13" x14ac:dyDescent="0.25">
      <c r="B566" t="s">
        <v>67</v>
      </c>
      <c r="C566" t="s">
        <v>862</v>
      </c>
      <c r="D566" t="s">
        <v>68</v>
      </c>
      <c r="E566" t="s">
        <v>69</v>
      </c>
      <c r="F566" t="s">
        <v>70</v>
      </c>
      <c r="G566" t="s">
        <v>71</v>
      </c>
      <c r="H566" t="s">
        <v>72</v>
      </c>
      <c r="I566" t="s">
        <v>73</v>
      </c>
      <c r="J566" t="str">
        <f>"46719"</f>
        <v>46719</v>
      </c>
      <c r="K566" t="s">
        <v>863</v>
      </c>
      <c r="L566" t="s">
        <v>779</v>
      </c>
      <c r="M566" t="s">
        <v>76</v>
      </c>
    </row>
    <row r="567" spans="2:13" x14ac:dyDescent="0.25">
      <c r="B567" t="s">
        <v>67</v>
      </c>
      <c r="C567" t="s">
        <v>864</v>
      </c>
      <c r="D567" t="s">
        <v>68</v>
      </c>
      <c r="E567" t="s">
        <v>69</v>
      </c>
      <c r="F567" t="s">
        <v>70</v>
      </c>
      <c r="G567" t="s">
        <v>71</v>
      </c>
      <c r="H567" t="s">
        <v>72</v>
      </c>
      <c r="I567" t="s">
        <v>73</v>
      </c>
      <c r="J567" t="str">
        <f>"46720"</f>
        <v>46720</v>
      </c>
      <c r="K567" t="s">
        <v>865</v>
      </c>
      <c r="L567" t="s">
        <v>779</v>
      </c>
      <c r="M567" t="s">
        <v>76</v>
      </c>
    </row>
    <row r="568" spans="2:13" x14ac:dyDescent="0.25">
      <c r="B568" t="s">
        <v>67</v>
      </c>
      <c r="C568" t="s">
        <v>866</v>
      </c>
      <c r="D568" t="s">
        <v>68</v>
      </c>
      <c r="E568" t="s">
        <v>69</v>
      </c>
      <c r="F568" t="s">
        <v>70</v>
      </c>
      <c r="G568" t="s">
        <v>71</v>
      </c>
      <c r="H568" t="s">
        <v>72</v>
      </c>
      <c r="I568" t="s">
        <v>73</v>
      </c>
      <c r="J568" t="str">
        <f>"46721"</f>
        <v>46721</v>
      </c>
      <c r="K568" t="s">
        <v>867</v>
      </c>
      <c r="L568" t="s">
        <v>779</v>
      </c>
      <c r="M568" t="s">
        <v>76</v>
      </c>
    </row>
    <row r="569" spans="2:13" x14ac:dyDescent="0.25">
      <c r="B569" t="s">
        <v>67</v>
      </c>
      <c r="C569" t="s">
        <v>868</v>
      </c>
      <c r="D569" t="s">
        <v>68</v>
      </c>
      <c r="E569" t="s">
        <v>69</v>
      </c>
      <c r="F569" t="s">
        <v>70</v>
      </c>
      <c r="G569" t="s">
        <v>71</v>
      </c>
      <c r="H569" t="s">
        <v>72</v>
      </c>
      <c r="I569" t="s">
        <v>73</v>
      </c>
      <c r="J569" t="str">
        <f>"46722"</f>
        <v>46722</v>
      </c>
      <c r="K569" t="s">
        <v>869</v>
      </c>
      <c r="L569" t="s">
        <v>779</v>
      </c>
      <c r="M569" t="s">
        <v>76</v>
      </c>
    </row>
    <row r="570" spans="2:13" x14ac:dyDescent="0.25">
      <c r="B570" t="s">
        <v>67</v>
      </c>
      <c r="C570" t="s">
        <v>870</v>
      </c>
      <c r="D570" t="s">
        <v>68</v>
      </c>
      <c r="E570" t="s">
        <v>69</v>
      </c>
      <c r="F570" t="s">
        <v>70</v>
      </c>
      <c r="G570" t="s">
        <v>71</v>
      </c>
      <c r="H570" t="s">
        <v>72</v>
      </c>
      <c r="I570" t="s">
        <v>73</v>
      </c>
      <c r="J570" t="str">
        <f>"46723"</f>
        <v>46723</v>
      </c>
      <c r="K570" t="s">
        <v>871</v>
      </c>
      <c r="L570" t="s">
        <v>779</v>
      </c>
      <c r="M570" t="s">
        <v>76</v>
      </c>
    </row>
    <row r="571" spans="2:13" x14ac:dyDescent="0.25">
      <c r="B571" t="s">
        <v>67</v>
      </c>
      <c r="C571" t="s">
        <v>872</v>
      </c>
      <c r="D571" t="s">
        <v>68</v>
      </c>
      <c r="E571" t="s">
        <v>69</v>
      </c>
      <c r="F571" t="s">
        <v>70</v>
      </c>
      <c r="G571" t="s">
        <v>71</v>
      </c>
      <c r="H571" t="s">
        <v>72</v>
      </c>
      <c r="I571" t="s">
        <v>73</v>
      </c>
      <c r="J571" t="str">
        <f>"46724"</f>
        <v>46724</v>
      </c>
      <c r="K571" t="s">
        <v>873</v>
      </c>
      <c r="L571" t="s">
        <v>779</v>
      </c>
      <c r="M571" t="s">
        <v>76</v>
      </c>
    </row>
    <row r="572" spans="2:13" x14ac:dyDescent="0.25">
      <c r="B572" t="s">
        <v>67</v>
      </c>
      <c r="C572" t="s">
        <v>874</v>
      </c>
      <c r="D572" t="s">
        <v>68</v>
      </c>
      <c r="E572" t="s">
        <v>69</v>
      </c>
      <c r="F572" t="s">
        <v>70</v>
      </c>
      <c r="G572" t="s">
        <v>71</v>
      </c>
      <c r="H572" t="s">
        <v>72</v>
      </c>
      <c r="I572" t="s">
        <v>73</v>
      </c>
      <c r="J572" t="str">
        <f>"46725"</f>
        <v>46725</v>
      </c>
      <c r="K572" t="s">
        <v>875</v>
      </c>
      <c r="L572" t="s">
        <v>779</v>
      </c>
      <c r="M572" t="s">
        <v>76</v>
      </c>
    </row>
    <row r="573" spans="2:13" x14ac:dyDescent="0.25">
      <c r="B573" t="s">
        <v>67</v>
      </c>
      <c r="C573" t="s">
        <v>876</v>
      </c>
      <c r="D573" t="s">
        <v>68</v>
      </c>
      <c r="E573" t="s">
        <v>69</v>
      </c>
      <c r="F573" t="s">
        <v>70</v>
      </c>
      <c r="G573" t="s">
        <v>71</v>
      </c>
      <c r="H573" t="s">
        <v>72</v>
      </c>
      <c r="I573" t="s">
        <v>73</v>
      </c>
      <c r="J573" t="str">
        <f>"46726"</f>
        <v>46726</v>
      </c>
      <c r="K573" t="s">
        <v>877</v>
      </c>
      <c r="L573" t="s">
        <v>779</v>
      </c>
      <c r="M573" t="s">
        <v>76</v>
      </c>
    </row>
    <row r="574" spans="2:13" x14ac:dyDescent="0.25">
      <c r="B574" t="s">
        <v>67</v>
      </c>
      <c r="C574" t="s">
        <v>878</v>
      </c>
      <c r="D574" t="s">
        <v>68</v>
      </c>
      <c r="E574" t="s">
        <v>69</v>
      </c>
      <c r="F574" t="s">
        <v>70</v>
      </c>
      <c r="G574" t="s">
        <v>71</v>
      </c>
      <c r="H574" t="s">
        <v>72</v>
      </c>
      <c r="I574" t="s">
        <v>73</v>
      </c>
      <c r="J574" t="str">
        <f>"46727"</f>
        <v>46727</v>
      </c>
      <c r="K574" t="s">
        <v>879</v>
      </c>
      <c r="L574" t="s">
        <v>779</v>
      </c>
      <c r="M574" t="s">
        <v>76</v>
      </c>
    </row>
    <row r="575" spans="2:13" x14ac:dyDescent="0.25">
      <c r="B575" t="s">
        <v>67</v>
      </c>
      <c r="C575" t="s">
        <v>880</v>
      </c>
      <c r="D575" t="s">
        <v>68</v>
      </c>
      <c r="E575" t="s">
        <v>69</v>
      </c>
      <c r="F575" t="s">
        <v>70</v>
      </c>
      <c r="G575" t="s">
        <v>71</v>
      </c>
      <c r="H575" t="s">
        <v>72</v>
      </c>
      <c r="I575" t="s">
        <v>73</v>
      </c>
      <c r="J575" t="str">
        <f>"46728"</f>
        <v>46728</v>
      </c>
      <c r="K575" t="s">
        <v>881</v>
      </c>
      <c r="L575" t="s">
        <v>779</v>
      </c>
      <c r="M575" t="s">
        <v>76</v>
      </c>
    </row>
    <row r="576" spans="2:13" x14ac:dyDescent="0.25">
      <c r="B576" t="s">
        <v>67</v>
      </c>
      <c r="C576" t="s">
        <v>882</v>
      </c>
      <c r="D576" t="s">
        <v>68</v>
      </c>
      <c r="E576" t="s">
        <v>69</v>
      </c>
      <c r="F576" t="s">
        <v>70</v>
      </c>
      <c r="G576" t="s">
        <v>71</v>
      </c>
      <c r="H576" t="s">
        <v>72</v>
      </c>
      <c r="I576" t="s">
        <v>73</v>
      </c>
      <c r="J576" t="str">
        <f>"46729"</f>
        <v>46729</v>
      </c>
      <c r="K576" t="s">
        <v>883</v>
      </c>
      <c r="L576" t="s">
        <v>779</v>
      </c>
      <c r="M576" t="s">
        <v>76</v>
      </c>
    </row>
    <row r="577" spans="2:13" x14ac:dyDescent="0.25">
      <c r="B577" t="s">
        <v>67</v>
      </c>
      <c r="C577" t="s">
        <v>884</v>
      </c>
      <c r="D577" t="s">
        <v>68</v>
      </c>
      <c r="E577" t="s">
        <v>69</v>
      </c>
      <c r="F577" t="s">
        <v>70</v>
      </c>
      <c r="G577" t="s">
        <v>71</v>
      </c>
      <c r="H577" t="s">
        <v>72</v>
      </c>
      <c r="I577" t="s">
        <v>73</v>
      </c>
      <c r="J577" t="str">
        <f>"46730"</f>
        <v>46730</v>
      </c>
      <c r="K577" t="s">
        <v>885</v>
      </c>
      <c r="L577" t="s">
        <v>779</v>
      </c>
      <c r="M577" t="s">
        <v>76</v>
      </c>
    </row>
    <row r="578" spans="2:13" x14ac:dyDescent="0.25">
      <c r="B578" t="s">
        <v>67</v>
      </c>
      <c r="C578" t="s">
        <v>886</v>
      </c>
      <c r="D578" t="s">
        <v>68</v>
      </c>
      <c r="E578" t="s">
        <v>69</v>
      </c>
      <c r="F578" t="s">
        <v>70</v>
      </c>
      <c r="G578" t="s">
        <v>71</v>
      </c>
      <c r="H578" t="s">
        <v>72</v>
      </c>
      <c r="I578" t="s">
        <v>73</v>
      </c>
      <c r="J578" t="str">
        <f>"46731"</f>
        <v>46731</v>
      </c>
      <c r="K578" t="s">
        <v>887</v>
      </c>
      <c r="L578" t="s">
        <v>779</v>
      </c>
      <c r="M578" t="s">
        <v>76</v>
      </c>
    </row>
    <row r="579" spans="2:13" x14ac:dyDescent="0.25">
      <c r="B579" t="s">
        <v>67</v>
      </c>
      <c r="C579" t="s">
        <v>888</v>
      </c>
      <c r="D579" t="s">
        <v>68</v>
      </c>
      <c r="E579" t="s">
        <v>69</v>
      </c>
      <c r="F579" t="s">
        <v>70</v>
      </c>
      <c r="G579" t="s">
        <v>71</v>
      </c>
      <c r="H579" t="s">
        <v>72</v>
      </c>
      <c r="I579" t="s">
        <v>73</v>
      </c>
      <c r="J579" t="str">
        <f>"46732"</f>
        <v>46732</v>
      </c>
      <c r="K579" t="s">
        <v>889</v>
      </c>
      <c r="L579" t="s">
        <v>779</v>
      </c>
      <c r="M579" t="s">
        <v>76</v>
      </c>
    </row>
    <row r="580" spans="2:13" x14ac:dyDescent="0.25">
      <c r="B580" t="s">
        <v>67</v>
      </c>
      <c r="C580" t="s">
        <v>890</v>
      </c>
      <c r="D580" t="s">
        <v>68</v>
      </c>
      <c r="E580" t="s">
        <v>69</v>
      </c>
      <c r="F580" t="s">
        <v>70</v>
      </c>
      <c r="G580" t="s">
        <v>71</v>
      </c>
      <c r="H580" t="s">
        <v>72</v>
      </c>
      <c r="I580" t="s">
        <v>73</v>
      </c>
      <c r="J580" t="str">
        <f>"46733"</f>
        <v>46733</v>
      </c>
      <c r="K580" t="s">
        <v>891</v>
      </c>
      <c r="L580" t="s">
        <v>779</v>
      </c>
      <c r="M580" t="s">
        <v>76</v>
      </c>
    </row>
    <row r="581" spans="2:13" x14ac:dyDescent="0.25">
      <c r="B581" t="s">
        <v>67</v>
      </c>
      <c r="C581" t="s">
        <v>892</v>
      </c>
      <c r="D581" t="s">
        <v>68</v>
      </c>
      <c r="E581" t="s">
        <v>69</v>
      </c>
      <c r="F581" t="s">
        <v>70</v>
      </c>
      <c r="G581" t="s">
        <v>71</v>
      </c>
      <c r="H581" t="s">
        <v>72</v>
      </c>
      <c r="I581" t="s">
        <v>73</v>
      </c>
      <c r="J581" t="str">
        <f>"46734"</f>
        <v>46734</v>
      </c>
      <c r="K581" t="s">
        <v>893</v>
      </c>
      <c r="L581" t="s">
        <v>779</v>
      </c>
      <c r="M581" t="s">
        <v>76</v>
      </c>
    </row>
    <row r="582" spans="2:13" x14ac:dyDescent="0.25">
      <c r="B582" t="s">
        <v>67</v>
      </c>
      <c r="C582" t="s">
        <v>894</v>
      </c>
      <c r="D582" t="s">
        <v>68</v>
      </c>
      <c r="E582" t="s">
        <v>69</v>
      </c>
      <c r="F582" t="s">
        <v>70</v>
      </c>
      <c r="G582" t="s">
        <v>71</v>
      </c>
      <c r="H582" t="s">
        <v>72</v>
      </c>
      <c r="I582" t="s">
        <v>73</v>
      </c>
      <c r="J582" t="str">
        <f>"46735"</f>
        <v>46735</v>
      </c>
      <c r="K582" t="s">
        <v>895</v>
      </c>
      <c r="L582" t="s">
        <v>779</v>
      </c>
      <c r="M582" t="s">
        <v>76</v>
      </c>
    </row>
    <row r="583" spans="2:13" x14ac:dyDescent="0.25">
      <c r="B583" t="s">
        <v>67</v>
      </c>
      <c r="C583" t="s">
        <v>896</v>
      </c>
      <c r="D583" t="s">
        <v>68</v>
      </c>
      <c r="E583" t="s">
        <v>69</v>
      </c>
      <c r="F583" t="s">
        <v>70</v>
      </c>
      <c r="G583" t="s">
        <v>71</v>
      </c>
      <c r="H583" t="s">
        <v>72</v>
      </c>
      <c r="I583" t="s">
        <v>73</v>
      </c>
      <c r="J583" t="str">
        <f>"46736"</f>
        <v>46736</v>
      </c>
      <c r="K583" t="s">
        <v>897</v>
      </c>
      <c r="L583" t="s">
        <v>779</v>
      </c>
      <c r="M583" t="s">
        <v>76</v>
      </c>
    </row>
    <row r="584" spans="2:13" x14ac:dyDescent="0.25">
      <c r="B584" t="s">
        <v>67</v>
      </c>
      <c r="C584" t="s">
        <v>898</v>
      </c>
      <c r="D584" t="s">
        <v>68</v>
      </c>
      <c r="E584" t="s">
        <v>69</v>
      </c>
      <c r="F584" t="s">
        <v>70</v>
      </c>
      <c r="G584" t="s">
        <v>71</v>
      </c>
      <c r="H584" t="s">
        <v>72</v>
      </c>
      <c r="I584" t="s">
        <v>73</v>
      </c>
      <c r="J584" t="str">
        <f>"46737"</f>
        <v>46737</v>
      </c>
      <c r="K584" t="s">
        <v>899</v>
      </c>
      <c r="L584" t="s">
        <v>779</v>
      </c>
      <c r="M584" t="s">
        <v>76</v>
      </c>
    </row>
    <row r="585" spans="2:13" x14ac:dyDescent="0.25">
      <c r="B585" t="s">
        <v>67</v>
      </c>
      <c r="C585" t="s">
        <v>900</v>
      </c>
      <c r="D585" t="s">
        <v>68</v>
      </c>
      <c r="E585" t="s">
        <v>69</v>
      </c>
      <c r="F585" t="s">
        <v>70</v>
      </c>
      <c r="G585" t="s">
        <v>71</v>
      </c>
      <c r="H585" t="s">
        <v>72</v>
      </c>
      <c r="I585" t="s">
        <v>73</v>
      </c>
      <c r="J585" t="str">
        <f>"46738"</f>
        <v>46738</v>
      </c>
      <c r="K585" t="s">
        <v>901</v>
      </c>
      <c r="L585" t="s">
        <v>779</v>
      </c>
      <c r="M585" t="s">
        <v>76</v>
      </c>
    </row>
    <row r="586" spans="2:13" x14ac:dyDescent="0.25">
      <c r="B586" t="s">
        <v>67</v>
      </c>
      <c r="C586" t="s">
        <v>902</v>
      </c>
      <c r="D586" t="s">
        <v>68</v>
      </c>
      <c r="E586" t="s">
        <v>69</v>
      </c>
      <c r="F586" t="s">
        <v>70</v>
      </c>
      <c r="G586" t="s">
        <v>71</v>
      </c>
      <c r="H586" t="s">
        <v>72</v>
      </c>
      <c r="I586" t="s">
        <v>73</v>
      </c>
      <c r="J586" t="str">
        <f>"46739"</f>
        <v>46739</v>
      </c>
      <c r="K586" t="s">
        <v>903</v>
      </c>
      <c r="L586" t="s">
        <v>779</v>
      </c>
      <c r="M586" t="s">
        <v>76</v>
      </c>
    </row>
    <row r="587" spans="2:13" x14ac:dyDescent="0.25">
      <c r="B587" t="s">
        <v>67</v>
      </c>
      <c r="C587" t="s">
        <v>904</v>
      </c>
      <c r="D587" t="s">
        <v>68</v>
      </c>
      <c r="E587" t="s">
        <v>69</v>
      </c>
      <c r="F587" t="s">
        <v>70</v>
      </c>
      <c r="G587" t="s">
        <v>71</v>
      </c>
      <c r="H587" t="s">
        <v>72</v>
      </c>
      <c r="I587" t="s">
        <v>73</v>
      </c>
      <c r="J587" t="str">
        <f>"46740"</f>
        <v>46740</v>
      </c>
      <c r="K587" t="s">
        <v>905</v>
      </c>
      <c r="L587" t="s">
        <v>779</v>
      </c>
      <c r="M587" t="s">
        <v>76</v>
      </c>
    </row>
    <row r="588" spans="2:13" x14ac:dyDescent="0.25">
      <c r="B588" t="s">
        <v>67</v>
      </c>
      <c r="C588" t="s">
        <v>906</v>
      </c>
      <c r="D588" t="s">
        <v>68</v>
      </c>
      <c r="E588" t="s">
        <v>69</v>
      </c>
      <c r="F588" t="s">
        <v>70</v>
      </c>
      <c r="G588" t="s">
        <v>71</v>
      </c>
      <c r="H588" t="s">
        <v>72</v>
      </c>
      <c r="I588" t="s">
        <v>73</v>
      </c>
      <c r="J588" t="str">
        <f>"46741"</f>
        <v>46741</v>
      </c>
      <c r="K588" t="s">
        <v>907</v>
      </c>
      <c r="L588" t="s">
        <v>779</v>
      </c>
      <c r="M588" t="s">
        <v>76</v>
      </c>
    </row>
    <row r="589" spans="2:13" x14ac:dyDescent="0.25">
      <c r="B589" t="s">
        <v>67</v>
      </c>
      <c r="C589" t="s">
        <v>908</v>
      </c>
      <c r="D589" t="s">
        <v>68</v>
      </c>
      <c r="E589" t="s">
        <v>69</v>
      </c>
      <c r="F589" t="s">
        <v>70</v>
      </c>
      <c r="G589" t="s">
        <v>71</v>
      </c>
      <c r="H589" t="s">
        <v>72</v>
      </c>
      <c r="I589" t="s">
        <v>73</v>
      </c>
      <c r="J589" t="str">
        <f>"46742"</f>
        <v>46742</v>
      </c>
      <c r="K589" t="s">
        <v>909</v>
      </c>
      <c r="L589" t="s">
        <v>779</v>
      </c>
      <c r="M589" t="s">
        <v>76</v>
      </c>
    </row>
    <row r="590" spans="2:13" x14ac:dyDescent="0.25">
      <c r="B590" t="s">
        <v>67</v>
      </c>
      <c r="C590" t="s">
        <v>910</v>
      </c>
      <c r="D590" t="s">
        <v>68</v>
      </c>
      <c r="E590" t="s">
        <v>69</v>
      </c>
      <c r="F590" t="s">
        <v>70</v>
      </c>
      <c r="G590" t="s">
        <v>71</v>
      </c>
      <c r="H590" t="s">
        <v>72</v>
      </c>
      <c r="I590" t="s">
        <v>73</v>
      </c>
      <c r="J590" t="str">
        <f>"46743"</f>
        <v>46743</v>
      </c>
      <c r="K590" t="s">
        <v>911</v>
      </c>
      <c r="L590" t="s">
        <v>779</v>
      </c>
      <c r="M590" t="s">
        <v>76</v>
      </c>
    </row>
    <row r="591" spans="2:13" x14ac:dyDescent="0.25">
      <c r="B591" t="s">
        <v>67</v>
      </c>
      <c r="C591" t="s">
        <v>912</v>
      </c>
      <c r="D591" t="s">
        <v>68</v>
      </c>
      <c r="E591" t="s">
        <v>69</v>
      </c>
      <c r="F591" t="s">
        <v>70</v>
      </c>
      <c r="G591" t="s">
        <v>71</v>
      </c>
      <c r="H591" t="s">
        <v>72</v>
      </c>
      <c r="I591" t="s">
        <v>73</v>
      </c>
      <c r="J591" t="str">
        <f>"46744"</f>
        <v>46744</v>
      </c>
      <c r="K591" t="s">
        <v>913</v>
      </c>
      <c r="L591" t="s">
        <v>779</v>
      </c>
      <c r="M591" t="s">
        <v>76</v>
      </c>
    </row>
    <row r="592" spans="2:13" x14ac:dyDescent="0.25">
      <c r="B592" t="s">
        <v>67</v>
      </c>
      <c r="C592" t="s">
        <v>914</v>
      </c>
      <c r="D592" t="s">
        <v>68</v>
      </c>
      <c r="E592" t="s">
        <v>69</v>
      </c>
      <c r="F592" t="s">
        <v>70</v>
      </c>
      <c r="G592" t="s">
        <v>71</v>
      </c>
      <c r="H592" t="s">
        <v>72</v>
      </c>
      <c r="I592" t="s">
        <v>73</v>
      </c>
      <c r="J592" t="str">
        <f>"46745"</f>
        <v>46745</v>
      </c>
      <c r="K592" t="s">
        <v>915</v>
      </c>
      <c r="L592" t="s">
        <v>779</v>
      </c>
      <c r="M592" t="s">
        <v>76</v>
      </c>
    </row>
    <row r="593" spans="2:13" x14ac:dyDescent="0.25">
      <c r="B593" t="s">
        <v>67</v>
      </c>
      <c r="C593" t="s">
        <v>916</v>
      </c>
      <c r="D593" t="s">
        <v>68</v>
      </c>
      <c r="E593" t="s">
        <v>69</v>
      </c>
      <c r="F593" t="s">
        <v>70</v>
      </c>
      <c r="G593" t="s">
        <v>71</v>
      </c>
      <c r="H593" t="s">
        <v>72</v>
      </c>
      <c r="I593" t="s">
        <v>73</v>
      </c>
      <c r="J593" t="str">
        <f>"46746"</f>
        <v>46746</v>
      </c>
      <c r="K593" t="s">
        <v>917</v>
      </c>
      <c r="L593" t="s">
        <v>779</v>
      </c>
      <c r="M593" t="s">
        <v>76</v>
      </c>
    </row>
    <row r="594" spans="2:13" x14ac:dyDescent="0.25">
      <c r="B594" t="s">
        <v>67</v>
      </c>
      <c r="C594" t="s">
        <v>918</v>
      </c>
      <c r="D594" t="s">
        <v>68</v>
      </c>
      <c r="E594" t="s">
        <v>69</v>
      </c>
      <c r="F594" t="s">
        <v>70</v>
      </c>
      <c r="G594" t="s">
        <v>71</v>
      </c>
      <c r="H594" t="s">
        <v>72</v>
      </c>
      <c r="I594" t="s">
        <v>73</v>
      </c>
      <c r="J594" t="str">
        <f>"46747"</f>
        <v>46747</v>
      </c>
      <c r="K594" t="s">
        <v>919</v>
      </c>
      <c r="L594" t="s">
        <v>779</v>
      </c>
      <c r="M594" t="s">
        <v>76</v>
      </c>
    </row>
    <row r="595" spans="2:13" x14ac:dyDescent="0.25">
      <c r="B595" t="s">
        <v>67</v>
      </c>
      <c r="C595" t="s">
        <v>920</v>
      </c>
      <c r="D595" t="s">
        <v>68</v>
      </c>
      <c r="E595" t="s">
        <v>69</v>
      </c>
      <c r="F595" t="s">
        <v>70</v>
      </c>
      <c r="G595" t="s">
        <v>71</v>
      </c>
      <c r="H595" t="s">
        <v>72</v>
      </c>
      <c r="I595" t="s">
        <v>73</v>
      </c>
      <c r="J595" t="str">
        <f>"46748"</f>
        <v>46748</v>
      </c>
      <c r="K595" t="s">
        <v>921</v>
      </c>
      <c r="L595" t="s">
        <v>779</v>
      </c>
      <c r="M595" t="s">
        <v>76</v>
      </c>
    </row>
    <row r="596" spans="2:13" x14ac:dyDescent="0.25">
      <c r="B596" t="s">
        <v>67</v>
      </c>
      <c r="C596" t="s">
        <v>922</v>
      </c>
      <c r="D596" t="s">
        <v>68</v>
      </c>
      <c r="E596" t="s">
        <v>69</v>
      </c>
      <c r="F596" t="s">
        <v>70</v>
      </c>
      <c r="G596" t="s">
        <v>71</v>
      </c>
      <c r="H596" t="s">
        <v>72</v>
      </c>
      <c r="I596" t="s">
        <v>73</v>
      </c>
      <c r="J596" t="str">
        <f>"46749"</f>
        <v>46749</v>
      </c>
      <c r="K596" t="s">
        <v>923</v>
      </c>
      <c r="L596" t="s">
        <v>779</v>
      </c>
      <c r="M596" t="s">
        <v>76</v>
      </c>
    </row>
    <row r="597" spans="2:13" x14ac:dyDescent="0.25">
      <c r="B597" t="s">
        <v>67</v>
      </c>
      <c r="C597" t="s">
        <v>924</v>
      </c>
      <c r="D597" t="s">
        <v>68</v>
      </c>
      <c r="E597" t="s">
        <v>69</v>
      </c>
      <c r="F597" t="s">
        <v>70</v>
      </c>
      <c r="G597" t="s">
        <v>71</v>
      </c>
      <c r="H597" t="s">
        <v>72</v>
      </c>
      <c r="I597" t="s">
        <v>73</v>
      </c>
      <c r="J597" t="str">
        <f>"46750"</f>
        <v>46750</v>
      </c>
      <c r="K597" t="s">
        <v>925</v>
      </c>
      <c r="L597" t="s">
        <v>779</v>
      </c>
      <c r="M597" t="s">
        <v>76</v>
      </c>
    </row>
    <row r="598" spans="2:13" x14ac:dyDescent="0.25">
      <c r="B598" t="s">
        <v>67</v>
      </c>
      <c r="C598" t="s">
        <v>926</v>
      </c>
      <c r="D598" t="s">
        <v>68</v>
      </c>
      <c r="E598" t="s">
        <v>69</v>
      </c>
      <c r="F598" t="s">
        <v>70</v>
      </c>
      <c r="G598" t="s">
        <v>71</v>
      </c>
      <c r="H598" t="s">
        <v>72</v>
      </c>
      <c r="I598" t="s">
        <v>73</v>
      </c>
      <c r="J598" t="str">
        <f>"46751"</f>
        <v>46751</v>
      </c>
      <c r="K598" t="s">
        <v>927</v>
      </c>
      <c r="L598" t="s">
        <v>779</v>
      </c>
      <c r="M598" t="s">
        <v>76</v>
      </c>
    </row>
    <row r="599" spans="2:13" x14ac:dyDescent="0.25">
      <c r="B599" t="s">
        <v>67</v>
      </c>
      <c r="C599" t="s">
        <v>928</v>
      </c>
      <c r="D599" t="s">
        <v>68</v>
      </c>
      <c r="E599" t="s">
        <v>69</v>
      </c>
      <c r="F599" t="s">
        <v>70</v>
      </c>
      <c r="G599" t="s">
        <v>71</v>
      </c>
      <c r="H599" t="s">
        <v>72</v>
      </c>
      <c r="I599" t="s">
        <v>73</v>
      </c>
      <c r="J599" t="str">
        <f>"46752"</f>
        <v>46752</v>
      </c>
      <c r="K599" t="s">
        <v>929</v>
      </c>
      <c r="L599" t="s">
        <v>779</v>
      </c>
      <c r="M599" t="s">
        <v>76</v>
      </c>
    </row>
    <row r="600" spans="2:13" x14ac:dyDescent="0.25">
      <c r="B600" t="s">
        <v>67</v>
      </c>
      <c r="C600" t="s">
        <v>930</v>
      </c>
      <c r="D600" t="s">
        <v>68</v>
      </c>
      <c r="E600" t="s">
        <v>69</v>
      </c>
      <c r="F600" t="s">
        <v>70</v>
      </c>
      <c r="G600" t="s">
        <v>71</v>
      </c>
      <c r="H600" t="s">
        <v>72</v>
      </c>
      <c r="I600" t="s">
        <v>73</v>
      </c>
      <c r="J600" t="str">
        <f>"46753"</f>
        <v>46753</v>
      </c>
      <c r="K600" t="s">
        <v>931</v>
      </c>
      <c r="L600" t="s">
        <v>779</v>
      </c>
      <c r="M600" t="s">
        <v>76</v>
      </c>
    </row>
    <row r="601" spans="2:13" x14ac:dyDescent="0.25">
      <c r="B601" t="s">
        <v>67</v>
      </c>
      <c r="C601" t="s">
        <v>932</v>
      </c>
      <c r="D601" t="s">
        <v>68</v>
      </c>
      <c r="E601" t="s">
        <v>69</v>
      </c>
      <c r="F601" t="s">
        <v>70</v>
      </c>
      <c r="G601" t="s">
        <v>71</v>
      </c>
      <c r="H601" t="s">
        <v>72</v>
      </c>
      <c r="I601" t="s">
        <v>73</v>
      </c>
      <c r="J601" t="str">
        <f>"46754"</f>
        <v>46754</v>
      </c>
      <c r="K601" t="s">
        <v>933</v>
      </c>
      <c r="L601" t="s">
        <v>779</v>
      </c>
      <c r="M601" t="s">
        <v>76</v>
      </c>
    </row>
    <row r="602" spans="2:13" x14ac:dyDescent="0.25">
      <c r="B602" t="s">
        <v>67</v>
      </c>
      <c r="C602" t="s">
        <v>934</v>
      </c>
      <c r="D602" t="s">
        <v>68</v>
      </c>
      <c r="E602" t="s">
        <v>69</v>
      </c>
      <c r="F602" t="s">
        <v>70</v>
      </c>
      <c r="G602" t="s">
        <v>71</v>
      </c>
      <c r="H602" t="s">
        <v>72</v>
      </c>
      <c r="I602" t="s">
        <v>73</v>
      </c>
      <c r="J602" t="str">
        <f>"46755"</f>
        <v>46755</v>
      </c>
      <c r="K602" t="s">
        <v>935</v>
      </c>
      <c r="L602" t="s">
        <v>779</v>
      </c>
      <c r="M602" t="s">
        <v>76</v>
      </c>
    </row>
    <row r="603" spans="2:13" x14ac:dyDescent="0.25">
      <c r="B603" t="s">
        <v>67</v>
      </c>
      <c r="C603" t="s">
        <v>936</v>
      </c>
      <c r="D603" t="s">
        <v>68</v>
      </c>
      <c r="E603" t="s">
        <v>69</v>
      </c>
      <c r="F603" t="s">
        <v>70</v>
      </c>
      <c r="G603" t="s">
        <v>71</v>
      </c>
      <c r="H603" t="s">
        <v>72</v>
      </c>
      <c r="I603" t="s">
        <v>73</v>
      </c>
      <c r="J603" t="str">
        <f>"46756"</f>
        <v>46756</v>
      </c>
      <c r="K603" t="s">
        <v>937</v>
      </c>
      <c r="L603" t="s">
        <v>779</v>
      </c>
      <c r="M603" t="s">
        <v>76</v>
      </c>
    </row>
    <row r="604" spans="2:13" x14ac:dyDescent="0.25">
      <c r="B604" t="s">
        <v>67</v>
      </c>
      <c r="C604" t="s">
        <v>938</v>
      </c>
      <c r="D604" t="s">
        <v>68</v>
      </c>
      <c r="E604" t="s">
        <v>69</v>
      </c>
      <c r="F604" t="s">
        <v>70</v>
      </c>
      <c r="G604" t="s">
        <v>71</v>
      </c>
      <c r="H604" t="s">
        <v>72</v>
      </c>
      <c r="I604" t="s">
        <v>73</v>
      </c>
      <c r="J604" t="str">
        <f>"46757"</f>
        <v>46757</v>
      </c>
      <c r="K604" t="s">
        <v>939</v>
      </c>
      <c r="L604" t="s">
        <v>779</v>
      </c>
      <c r="M604" t="s">
        <v>76</v>
      </c>
    </row>
    <row r="605" spans="2:13" x14ac:dyDescent="0.25">
      <c r="B605" t="s">
        <v>67</v>
      </c>
      <c r="C605" t="s">
        <v>940</v>
      </c>
      <c r="D605" t="s">
        <v>68</v>
      </c>
      <c r="E605" t="s">
        <v>69</v>
      </c>
      <c r="F605" t="s">
        <v>70</v>
      </c>
      <c r="G605" t="s">
        <v>71</v>
      </c>
      <c r="H605" t="s">
        <v>72</v>
      </c>
      <c r="I605" t="s">
        <v>73</v>
      </c>
      <c r="J605" t="str">
        <f>"46758"</f>
        <v>46758</v>
      </c>
      <c r="K605" t="s">
        <v>941</v>
      </c>
      <c r="L605" t="s">
        <v>779</v>
      </c>
      <c r="M605" t="s">
        <v>76</v>
      </c>
    </row>
    <row r="606" spans="2:13" x14ac:dyDescent="0.25">
      <c r="B606" t="s">
        <v>67</v>
      </c>
      <c r="C606" t="s">
        <v>942</v>
      </c>
      <c r="D606" t="s">
        <v>68</v>
      </c>
      <c r="E606" t="s">
        <v>69</v>
      </c>
      <c r="F606" t="s">
        <v>70</v>
      </c>
      <c r="G606" t="s">
        <v>71</v>
      </c>
      <c r="H606" t="s">
        <v>72</v>
      </c>
      <c r="I606" t="s">
        <v>73</v>
      </c>
      <c r="J606" t="str">
        <f>"46759"</f>
        <v>46759</v>
      </c>
      <c r="K606" t="s">
        <v>943</v>
      </c>
      <c r="L606" t="s">
        <v>779</v>
      </c>
      <c r="M606" t="s">
        <v>76</v>
      </c>
    </row>
    <row r="607" spans="2:13" x14ac:dyDescent="0.25">
      <c r="B607" t="s">
        <v>67</v>
      </c>
      <c r="C607" t="s">
        <v>944</v>
      </c>
      <c r="D607" t="s">
        <v>68</v>
      </c>
      <c r="E607" t="s">
        <v>69</v>
      </c>
      <c r="F607" t="s">
        <v>70</v>
      </c>
      <c r="G607" t="s">
        <v>71</v>
      </c>
      <c r="H607" t="s">
        <v>72</v>
      </c>
      <c r="I607" t="s">
        <v>73</v>
      </c>
      <c r="J607" t="str">
        <f>"46760"</f>
        <v>46760</v>
      </c>
      <c r="K607" t="s">
        <v>945</v>
      </c>
      <c r="L607" t="s">
        <v>779</v>
      </c>
      <c r="M607" t="s">
        <v>76</v>
      </c>
    </row>
    <row r="608" spans="2:13" x14ac:dyDescent="0.25">
      <c r="B608" t="s">
        <v>67</v>
      </c>
      <c r="C608" t="s">
        <v>946</v>
      </c>
      <c r="D608" t="s">
        <v>68</v>
      </c>
      <c r="E608" t="s">
        <v>69</v>
      </c>
      <c r="F608" t="s">
        <v>70</v>
      </c>
      <c r="G608" t="s">
        <v>71</v>
      </c>
      <c r="H608" t="s">
        <v>72</v>
      </c>
      <c r="I608" t="s">
        <v>73</v>
      </c>
      <c r="J608" t="str">
        <f>"46761"</f>
        <v>46761</v>
      </c>
      <c r="K608" t="s">
        <v>947</v>
      </c>
      <c r="L608" t="s">
        <v>779</v>
      </c>
      <c r="M608" t="s">
        <v>76</v>
      </c>
    </row>
    <row r="609" spans="2:13" x14ac:dyDescent="0.25">
      <c r="B609" t="s">
        <v>67</v>
      </c>
      <c r="C609" t="s">
        <v>948</v>
      </c>
      <c r="D609" t="s">
        <v>68</v>
      </c>
      <c r="E609" t="s">
        <v>69</v>
      </c>
      <c r="F609" t="s">
        <v>70</v>
      </c>
      <c r="G609" t="s">
        <v>71</v>
      </c>
      <c r="H609" t="s">
        <v>72</v>
      </c>
      <c r="I609" t="s">
        <v>73</v>
      </c>
      <c r="J609" t="str">
        <f>"46762"</f>
        <v>46762</v>
      </c>
      <c r="K609" t="s">
        <v>949</v>
      </c>
      <c r="L609" t="s">
        <v>779</v>
      </c>
      <c r="M609" t="s">
        <v>76</v>
      </c>
    </row>
    <row r="610" spans="2:13" x14ac:dyDescent="0.25">
      <c r="B610" t="s">
        <v>67</v>
      </c>
      <c r="C610" t="s">
        <v>950</v>
      </c>
      <c r="D610" t="s">
        <v>68</v>
      </c>
      <c r="E610" t="s">
        <v>69</v>
      </c>
      <c r="F610" t="s">
        <v>70</v>
      </c>
      <c r="G610" t="s">
        <v>71</v>
      </c>
      <c r="H610" t="s">
        <v>72</v>
      </c>
      <c r="I610" t="s">
        <v>73</v>
      </c>
      <c r="J610" t="str">
        <f>"46763"</f>
        <v>46763</v>
      </c>
      <c r="K610" t="s">
        <v>951</v>
      </c>
      <c r="L610" t="s">
        <v>779</v>
      </c>
      <c r="M610" t="s">
        <v>76</v>
      </c>
    </row>
    <row r="611" spans="2:13" x14ac:dyDescent="0.25">
      <c r="B611" t="s">
        <v>67</v>
      </c>
      <c r="C611" t="s">
        <v>952</v>
      </c>
      <c r="D611" t="s">
        <v>68</v>
      </c>
      <c r="E611" t="s">
        <v>69</v>
      </c>
      <c r="F611" t="s">
        <v>70</v>
      </c>
      <c r="G611" t="s">
        <v>71</v>
      </c>
      <c r="H611" t="s">
        <v>72</v>
      </c>
      <c r="I611" t="s">
        <v>73</v>
      </c>
      <c r="J611" t="str">
        <f>"46764"</f>
        <v>46764</v>
      </c>
      <c r="K611" t="s">
        <v>953</v>
      </c>
      <c r="L611" t="s">
        <v>779</v>
      </c>
      <c r="M611" t="s">
        <v>76</v>
      </c>
    </row>
    <row r="612" spans="2:13" x14ac:dyDescent="0.25">
      <c r="B612" t="s">
        <v>67</v>
      </c>
      <c r="C612" t="s">
        <v>954</v>
      </c>
      <c r="D612" t="s">
        <v>68</v>
      </c>
      <c r="E612" t="s">
        <v>69</v>
      </c>
      <c r="F612" t="s">
        <v>70</v>
      </c>
      <c r="G612" t="s">
        <v>71</v>
      </c>
      <c r="H612" t="s">
        <v>72</v>
      </c>
      <c r="I612" t="s">
        <v>73</v>
      </c>
      <c r="J612" t="str">
        <f>"46765"</f>
        <v>46765</v>
      </c>
      <c r="K612" t="s">
        <v>955</v>
      </c>
      <c r="L612" t="s">
        <v>779</v>
      </c>
      <c r="M612" t="s">
        <v>76</v>
      </c>
    </row>
    <row r="613" spans="2:13" x14ac:dyDescent="0.25">
      <c r="B613" t="s">
        <v>67</v>
      </c>
      <c r="C613" t="s">
        <v>956</v>
      </c>
      <c r="D613" t="s">
        <v>68</v>
      </c>
      <c r="E613" t="s">
        <v>69</v>
      </c>
      <c r="F613" t="s">
        <v>70</v>
      </c>
      <c r="G613" t="s">
        <v>71</v>
      </c>
      <c r="H613" t="s">
        <v>72</v>
      </c>
      <c r="I613" t="s">
        <v>73</v>
      </c>
      <c r="J613" t="str">
        <f>"46766"</f>
        <v>46766</v>
      </c>
      <c r="K613" t="s">
        <v>957</v>
      </c>
      <c r="L613" t="s">
        <v>779</v>
      </c>
      <c r="M613" t="s">
        <v>76</v>
      </c>
    </row>
    <row r="614" spans="2:13" x14ac:dyDescent="0.25">
      <c r="B614" t="s">
        <v>67</v>
      </c>
      <c r="C614" t="s">
        <v>958</v>
      </c>
      <c r="D614" t="s">
        <v>68</v>
      </c>
      <c r="E614" t="s">
        <v>69</v>
      </c>
      <c r="F614" t="s">
        <v>70</v>
      </c>
      <c r="G614" t="s">
        <v>71</v>
      </c>
      <c r="H614" t="s">
        <v>72</v>
      </c>
      <c r="I614" t="s">
        <v>73</v>
      </c>
      <c r="J614" t="str">
        <f>"46767"</f>
        <v>46767</v>
      </c>
      <c r="K614" t="s">
        <v>959</v>
      </c>
      <c r="L614" t="s">
        <v>779</v>
      </c>
      <c r="M614" t="s">
        <v>76</v>
      </c>
    </row>
    <row r="615" spans="2:13" x14ac:dyDescent="0.25">
      <c r="B615" t="s">
        <v>67</v>
      </c>
      <c r="C615" t="s">
        <v>960</v>
      </c>
      <c r="D615" t="s">
        <v>68</v>
      </c>
      <c r="E615" t="s">
        <v>69</v>
      </c>
      <c r="F615" t="s">
        <v>70</v>
      </c>
      <c r="G615" t="s">
        <v>71</v>
      </c>
      <c r="H615" t="s">
        <v>72</v>
      </c>
      <c r="I615" t="s">
        <v>73</v>
      </c>
      <c r="J615" t="str">
        <f>"46768"</f>
        <v>46768</v>
      </c>
      <c r="K615" t="s">
        <v>961</v>
      </c>
      <c r="L615" t="s">
        <v>779</v>
      </c>
      <c r="M615" t="s">
        <v>76</v>
      </c>
    </row>
    <row r="616" spans="2:13" x14ac:dyDescent="0.25">
      <c r="B616" t="s">
        <v>67</v>
      </c>
      <c r="C616" t="s">
        <v>962</v>
      </c>
      <c r="D616" t="s">
        <v>68</v>
      </c>
      <c r="E616" t="s">
        <v>69</v>
      </c>
      <c r="F616" t="s">
        <v>70</v>
      </c>
      <c r="G616" t="s">
        <v>71</v>
      </c>
      <c r="H616" t="s">
        <v>72</v>
      </c>
      <c r="I616" t="s">
        <v>73</v>
      </c>
      <c r="J616" t="str">
        <f>"46769"</f>
        <v>46769</v>
      </c>
      <c r="K616" t="s">
        <v>963</v>
      </c>
      <c r="L616" t="s">
        <v>779</v>
      </c>
      <c r="M616" t="s">
        <v>76</v>
      </c>
    </row>
    <row r="617" spans="2:13" x14ac:dyDescent="0.25">
      <c r="B617" t="s">
        <v>67</v>
      </c>
      <c r="C617" t="s">
        <v>964</v>
      </c>
      <c r="D617" t="s">
        <v>68</v>
      </c>
      <c r="E617" t="s">
        <v>69</v>
      </c>
      <c r="F617" t="s">
        <v>70</v>
      </c>
      <c r="G617" t="s">
        <v>71</v>
      </c>
      <c r="H617" t="s">
        <v>72</v>
      </c>
      <c r="I617" t="s">
        <v>73</v>
      </c>
      <c r="J617" t="str">
        <f>"46770"</f>
        <v>46770</v>
      </c>
      <c r="K617" t="s">
        <v>965</v>
      </c>
      <c r="L617" t="s">
        <v>779</v>
      </c>
      <c r="M617" t="s">
        <v>76</v>
      </c>
    </row>
    <row r="618" spans="2:13" x14ac:dyDescent="0.25">
      <c r="B618" t="s">
        <v>67</v>
      </c>
      <c r="C618" t="s">
        <v>966</v>
      </c>
      <c r="D618" t="s">
        <v>68</v>
      </c>
      <c r="E618" t="s">
        <v>69</v>
      </c>
      <c r="F618" t="s">
        <v>70</v>
      </c>
      <c r="G618" t="s">
        <v>71</v>
      </c>
      <c r="H618" t="s">
        <v>72</v>
      </c>
      <c r="I618" t="s">
        <v>73</v>
      </c>
      <c r="J618" t="str">
        <f>"46771"</f>
        <v>46771</v>
      </c>
      <c r="K618" t="s">
        <v>967</v>
      </c>
      <c r="L618" t="s">
        <v>779</v>
      </c>
      <c r="M618" t="s">
        <v>76</v>
      </c>
    </row>
    <row r="619" spans="2:13" x14ac:dyDescent="0.25">
      <c r="B619" t="s">
        <v>67</v>
      </c>
      <c r="C619" t="s">
        <v>968</v>
      </c>
      <c r="D619" t="s">
        <v>68</v>
      </c>
      <c r="E619" t="s">
        <v>69</v>
      </c>
      <c r="F619" t="s">
        <v>70</v>
      </c>
      <c r="G619" t="s">
        <v>71</v>
      </c>
      <c r="H619" t="s">
        <v>72</v>
      </c>
      <c r="I619" t="s">
        <v>73</v>
      </c>
      <c r="J619" t="str">
        <f>"46772"</f>
        <v>46772</v>
      </c>
      <c r="K619" t="s">
        <v>969</v>
      </c>
      <c r="L619" t="s">
        <v>779</v>
      </c>
      <c r="M619" t="s">
        <v>76</v>
      </c>
    </row>
    <row r="620" spans="2:13" x14ac:dyDescent="0.25">
      <c r="B620" t="s">
        <v>67</v>
      </c>
      <c r="C620" t="s">
        <v>970</v>
      </c>
      <c r="D620" t="s">
        <v>68</v>
      </c>
      <c r="E620" t="s">
        <v>69</v>
      </c>
      <c r="F620" t="s">
        <v>70</v>
      </c>
      <c r="G620" t="s">
        <v>71</v>
      </c>
      <c r="H620" t="s">
        <v>72</v>
      </c>
      <c r="I620" t="s">
        <v>73</v>
      </c>
      <c r="J620" t="str">
        <f>"46773"</f>
        <v>46773</v>
      </c>
      <c r="K620" t="s">
        <v>971</v>
      </c>
      <c r="L620" t="s">
        <v>779</v>
      </c>
      <c r="M620" t="s">
        <v>76</v>
      </c>
    </row>
    <row r="621" spans="2:13" x14ac:dyDescent="0.25">
      <c r="B621" t="s">
        <v>67</v>
      </c>
      <c r="C621" t="s">
        <v>972</v>
      </c>
      <c r="D621" t="s">
        <v>68</v>
      </c>
      <c r="E621" t="s">
        <v>69</v>
      </c>
      <c r="F621" t="s">
        <v>70</v>
      </c>
      <c r="G621" t="s">
        <v>71</v>
      </c>
      <c r="H621" t="s">
        <v>72</v>
      </c>
      <c r="I621" t="s">
        <v>73</v>
      </c>
      <c r="J621" t="str">
        <f>"46774"</f>
        <v>46774</v>
      </c>
      <c r="K621" t="s">
        <v>973</v>
      </c>
      <c r="L621" t="s">
        <v>779</v>
      </c>
      <c r="M621" t="s">
        <v>76</v>
      </c>
    </row>
    <row r="622" spans="2:13" x14ac:dyDescent="0.25">
      <c r="B622" t="s">
        <v>67</v>
      </c>
      <c r="C622" t="s">
        <v>974</v>
      </c>
      <c r="D622" t="s">
        <v>68</v>
      </c>
      <c r="E622" t="s">
        <v>69</v>
      </c>
      <c r="F622" t="s">
        <v>70</v>
      </c>
      <c r="G622" t="s">
        <v>71</v>
      </c>
      <c r="H622" t="s">
        <v>72</v>
      </c>
      <c r="I622" t="s">
        <v>73</v>
      </c>
      <c r="J622" t="str">
        <f>"46775"</f>
        <v>46775</v>
      </c>
      <c r="K622" t="s">
        <v>975</v>
      </c>
      <c r="L622" t="s">
        <v>779</v>
      </c>
      <c r="M622" t="s">
        <v>76</v>
      </c>
    </row>
    <row r="623" spans="2:13" x14ac:dyDescent="0.25">
      <c r="B623" t="s">
        <v>67</v>
      </c>
      <c r="C623" t="s">
        <v>976</v>
      </c>
      <c r="D623" t="s">
        <v>68</v>
      </c>
      <c r="E623" t="s">
        <v>69</v>
      </c>
      <c r="F623" t="s">
        <v>70</v>
      </c>
      <c r="G623" t="s">
        <v>71</v>
      </c>
      <c r="H623" t="s">
        <v>72</v>
      </c>
      <c r="I623" t="s">
        <v>73</v>
      </c>
      <c r="J623" t="str">
        <f>"46776"</f>
        <v>46776</v>
      </c>
      <c r="K623" t="s">
        <v>977</v>
      </c>
      <c r="L623" t="s">
        <v>779</v>
      </c>
      <c r="M623" t="s">
        <v>76</v>
      </c>
    </row>
    <row r="624" spans="2:13" x14ac:dyDescent="0.25">
      <c r="B624" t="s">
        <v>67</v>
      </c>
      <c r="C624" t="s">
        <v>978</v>
      </c>
      <c r="D624" t="s">
        <v>68</v>
      </c>
      <c r="E624" t="s">
        <v>69</v>
      </c>
      <c r="F624" t="s">
        <v>70</v>
      </c>
      <c r="G624" t="s">
        <v>71</v>
      </c>
      <c r="H624" t="s">
        <v>72</v>
      </c>
      <c r="I624" t="s">
        <v>73</v>
      </c>
      <c r="J624" t="str">
        <f>"46777"</f>
        <v>46777</v>
      </c>
      <c r="K624" t="s">
        <v>979</v>
      </c>
      <c r="L624" t="s">
        <v>779</v>
      </c>
      <c r="M624" t="s">
        <v>76</v>
      </c>
    </row>
    <row r="625" spans="2:13" x14ac:dyDescent="0.25">
      <c r="B625" t="s">
        <v>67</v>
      </c>
      <c r="C625" t="s">
        <v>980</v>
      </c>
      <c r="D625" t="s">
        <v>68</v>
      </c>
      <c r="E625" t="s">
        <v>69</v>
      </c>
      <c r="F625" t="s">
        <v>70</v>
      </c>
      <c r="G625" t="s">
        <v>71</v>
      </c>
      <c r="H625" t="s">
        <v>72</v>
      </c>
      <c r="I625" t="s">
        <v>73</v>
      </c>
      <c r="J625" t="str">
        <f>"46778"</f>
        <v>46778</v>
      </c>
      <c r="K625" t="s">
        <v>981</v>
      </c>
      <c r="L625" t="s">
        <v>779</v>
      </c>
      <c r="M625" t="s">
        <v>76</v>
      </c>
    </row>
    <row r="626" spans="2:13" x14ac:dyDescent="0.25">
      <c r="B626" t="s">
        <v>67</v>
      </c>
      <c r="C626" t="s">
        <v>982</v>
      </c>
      <c r="D626" t="s">
        <v>68</v>
      </c>
      <c r="E626" t="s">
        <v>69</v>
      </c>
      <c r="F626" t="s">
        <v>70</v>
      </c>
      <c r="G626" t="s">
        <v>71</v>
      </c>
      <c r="H626" t="s">
        <v>72</v>
      </c>
      <c r="I626" t="s">
        <v>73</v>
      </c>
      <c r="J626" t="str">
        <f>"46779"</f>
        <v>46779</v>
      </c>
      <c r="K626" t="s">
        <v>983</v>
      </c>
      <c r="L626" t="s">
        <v>779</v>
      </c>
      <c r="M626" t="s">
        <v>76</v>
      </c>
    </row>
    <row r="627" spans="2:13" x14ac:dyDescent="0.25">
      <c r="B627" t="s">
        <v>67</v>
      </c>
      <c r="C627" t="s">
        <v>984</v>
      </c>
      <c r="D627" t="s">
        <v>68</v>
      </c>
      <c r="E627" t="s">
        <v>69</v>
      </c>
      <c r="F627" t="s">
        <v>70</v>
      </c>
      <c r="G627" t="s">
        <v>71</v>
      </c>
      <c r="H627" t="s">
        <v>72</v>
      </c>
      <c r="I627" t="s">
        <v>73</v>
      </c>
      <c r="J627" t="str">
        <f>"46780"</f>
        <v>46780</v>
      </c>
      <c r="K627" t="s">
        <v>985</v>
      </c>
      <c r="L627" t="s">
        <v>779</v>
      </c>
      <c r="M627" t="s">
        <v>76</v>
      </c>
    </row>
    <row r="628" spans="2:13" x14ac:dyDescent="0.25">
      <c r="B628" t="s">
        <v>67</v>
      </c>
      <c r="C628" t="s">
        <v>986</v>
      </c>
      <c r="D628" t="s">
        <v>68</v>
      </c>
      <c r="E628" t="s">
        <v>69</v>
      </c>
      <c r="F628" t="s">
        <v>70</v>
      </c>
      <c r="G628" t="s">
        <v>71</v>
      </c>
      <c r="H628" t="s">
        <v>72</v>
      </c>
      <c r="I628" t="s">
        <v>73</v>
      </c>
      <c r="J628" t="str">
        <f>"46781"</f>
        <v>46781</v>
      </c>
      <c r="K628" t="s">
        <v>987</v>
      </c>
      <c r="L628" t="s">
        <v>779</v>
      </c>
      <c r="M628" t="s">
        <v>76</v>
      </c>
    </row>
    <row r="629" spans="2:13" x14ac:dyDescent="0.25">
      <c r="B629" t="s">
        <v>67</v>
      </c>
      <c r="C629" t="s">
        <v>988</v>
      </c>
      <c r="D629" t="s">
        <v>68</v>
      </c>
      <c r="E629" t="s">
        <v>69</v>
      </c>
      <c r="F629" t="s">
        <v>70</v>
      </c>
      <c r="G629" t="s">
        <v>71</v>
      </c>
      <c r="H629" t="s">
        <v>72</v>
      </c>
      <c r="I629" t="s">
        <v>73</v>
      </c>
      <c r="J629" t="str">
        <f>"46782"</f>
        <v>46782</v>
      </c>
      <c r="K629" t="s">
        <v>989</v>
      </c>
      <c r="L629" t="s">
        <v>779</v>
      </c>
      <c r="M629" t="s">
        <v>76</v>
      </c>
    </row>
    <row r="630" spans="2:13" x14ac:dyDescent="0.25">
      <c r="B630" t="s">
        <v>67</v>
      </c>
      <c r="C630" t="s">
        <v>990</v>
      </c>
      <c r="D630" t="s">
        <v>68</v>
      </c>
      <c r="E630" t="s">
        <v>69</v>
      </c>
      <c r="F630" t="s">
        <v>70</v>
      </c>
      <c r="G630" t="s">
        <v>71</v>
      </c>
      <c r="H630" t="s">
        <v>72</v>
      </c>
      <c r="I630" t="s">
        <v>73</v>
      </c>
      <c r="J630" t="str">
        <f>"46783"</f>
        <v>46783</v>
      </c>
      <c r="K630" t="s">
        <v>991</v>
      </c>
      <c r="L630" t="s">
        <v>779</v>
      </c>
      <c r="M630" t="s">
        <v>76</v>
      </c>
    </row>
    <row r="631" spans="2:13" x14ac:dyDescent="0.25">
      <c r="B631" t="s">
        <v>67</v>
      </c>
      <c r="C631" t="s">
        <v>992</v>
      </c>
      <c r="D631" t="s">
        <v>68</v>
      </c>
      <c r="E631" t="s">
        <v>69</v>
      </c>
      <c r="F631" t="s">
        <v>70</v>
      </c>
      <c r="G631" t="s">
        <v>71</v>
      </c>
      <c r="H631" t="s">
        <v>72</v>
      </c>
      <c r="I631" t="s">
        <v>73</v>
      </c>
      <c r="J631" t="str">
        <f>"46784"</f>
        <v>46784</v>
      </c>
      <c r="K631" t="s">
        <v>993</v>
      </c>
      <c r="L631" t="s">
        <v>779</v>
      </c>
      <c r="M631" t="s">
        <v>76</v>
      </c>
    </row>
    <row r="632" spans="2:13" x14ac:dyDescent="0.25">
      <c r="B632" t="s">
        <v>67</v>
      </c>
      <c r="C632" t="s">
        <v>994</v>
      </c>
      <c r="D632" t="s">
        <v>68</v>
      </c>
      <c r="E632" t="s">
        <v>69</v>
      </c>
      <c r="F632" t="s">
        <v>70</v>
      </c>
      <c r="G632" t="s">
        <v>71</v>
      </c>
      <c r="H632" t="s">
        <v>72</v>
      </c>
      <c r="I632" t="s">
        <v>73</v>
      </c>
      <c r="J632" t="str">
        <f>"46785"</f>
        <v>46785</v>
      </c>
      <c r="K632" t="s">
        <v>995</v>
      </c>
      <c r="L632" t="s">
        <v>779</v>
      </c>
      <c r="M632" t="s">
        <v>76</v>
      </c>
    </row>
    <row r="633" spans="2:13" x14ac:dyDescent="0.25">
      <c r="B633" t="s">
        <v>67</v>
      </c>
      <c r="C633" t="s">
        <v>996</v>
      </c>
      <c r="D633" t="s">
        <v>68</v>
      </c>
      <c r="E633" t="s">
        <v>69</v>
      </c>
      <c r="F633" t="s">
        <v>70</v>
      </c>
      <c r="G633" t="s">
        <v>71</v>
      </c>
      <c r="H633" t="s">
        <v>72</v>
      </c>
      <c r="I633" t="s">
        <v>73</v>
      </c>
      <c r="J633" t="str">
        <f>"46786"</f>
        <v>46786</v>
      </c>
      <c r="K633" t="s">
        <v>997</v>
      </c>
      <c r="L633" t="s">
        <v>779</v>
      </c>
      <c r="M633" t="s">
        <v>76</v>
      </c>
    </row>
    <row r="634" spans="2:13" x14ac:dyDescent="0.25">
      <c r="B634" t="s">
        <v>67</v>
      </c>
      <c r="C634" t="s">
        <v>998</v>
      </c>
      <c r="D634" t="s">
        <v>68</v>
      </c>
      <c r="E634" t="s">
        <v>69</v>
      </c>
      <c r="F634" t="s">
        <v>70</v>
      </c>
      <c r="G634" t="s">
        <v>71</v>
      </c>
      <c r="H634" t="s">
        <v>72</v>
      </c>
      <c r="I634" t="s">
        <v>73</v>
      </c>
      <c r="J634" t="str">
        <f>"46787"</f>
        <v>46787</v>
      </c>
      <c r="K634" t="s">
        <v>999</v>
      </c>
      <c r="L634" t="s">
        <v>779</v>
      </c>
      <c r="M634" t="s">
        <v>76</v>
      </c>
    </row>
    <row r="635" spans="2:13" x14ac:dyDescent="0.25">
      <c r="B635" t="s">
        <v>67</v>
      </c>
      <c r="C635" t="s">
        <v>1000</v>
      </c>
      <c r="D635" t="s">
        <v>68</v>
      </c>
      <c r="E635" t="s">
        <v>69</v>
      </c>
      <c r="F635" t="s">
        <v>70</v>
      </c>
      <c r="G635" t="s">
        <v>71</v>
      </c>
      <c r="H635" t="s">
        <v>72</v>
      </c>
      <c r="I635" t="s">
        <v>73</v>
      </c>
      <c r="J635" t="str">
        <f>"46788"</f>
        <v>46788</v>
      </c>
      <c r="K635" t="s">
        <v>1001</v>
      </c>
      <c r="L635" t="s">
        <v>779</v>
      </c>
      <c r="M635" t="s">
        <v>76</v>
      </c>
    </row>
    <row r="636" spans="2:13" x14ac:dyDescent="0.25">
      <c r="B636" t="s">
        <v>67</v>
      </c>
      <c r="C636" t="s">
        <v>1002</v>
      </c>
      <c r="D636" t="s">
        <v>68</v>
      </c>
      <c r="E636" t="s">
        <v>69</v>
      </c>
      <c r="F636" t="s">
        <v>70</v>
      </c>
      <c r="G636" t="s">
        <v>71</v>
      </c>
      <c r="H636" t="s">
        <v>72</v>
      </c>
      <c r="I636" t="s">
        <v>73</v>
      </c>
      <c r="J636" t="str">
        <f>"46789"</f>
        <v>46789</v>
      </c>
      <c r="K636" t="s">
        <v>1003</v>
      </c>
      <c r="L636" t="s">
        <v>779</v>
      </c>
      <c r="M636" t="s">
        <v>76</v>
      </c>
    </row>
    <row r="637" spans="2:13" x14ac:dyDescent="0.25">
      <c r="B637" t="s">
        <v>67</v>
      </c>
      <c r="C637" t="s">
        <v>1004</v>
      </c>
      <c r="D637" t="s">
        <v>68</v>
      </c>
      <c r="E637" t="s">
        <v>69</v>
      </c>
      <c r="F637" t="s">
        <v>70</v>
      </c>
      <c r="G637" t="s">
        <v>71</v>
      </c>
      <c r="H637" t="s">
        <v>72</v>
      </c>
      <c r="I637" t="s">
        <v>73</v>
      </c>
      <c r="J637" t="str">
        <f>"46790"</f>
        <v>46790</v>
      </c>
      <c r="K637" t="s">
        <v>1005</v>
      </c>
      <c r="L637" t="s">
        <v>779</v>
      </c>
      <c r="M637" t="s">
        <v>76</v>
      </c>
    </row>
    <row r="638" spans="2:13" x14ac:dyDescent="0.25">
      <c r="B638" t="s">
        <v>67</v>
      </c>
      <c r="C638" t="s">
        <v>1006</v>
      </c>
      <c r="D638" t="s">
        <v>68</v>
      </c>
      <c r="E638" t="s">
        <v>69</v>
      </c>
      <c r="F638" t="s">
        <v>70</v>
      </c>
      <c r="G638" t="s">
        <v>71</v>
      </c>
      <c r="H638" t="s">
        <v>72</v>
      </c>
      <c r="I638" t="s">
        <v>73</v>
      </c>
      <c r="J638" t="str">
        <f>"46791"</f>
        <v>46791</v>
      </c>
      <c r="K638" t="s">
        <v>1007</v>
      </c>
      <c r="L638" t="s">
        <v>779</v>
      </c>
      <c r="M638" t="s">
        <v>76</v>
      </c>
    </row>
    <row r="639" spans="2:13" x14ac:dyDescent="0.25">
      <c r="B639" t="s">
        <v>67</v>
      </c>
      <c r="C639" t="s">
        <v>1008</v>
      </c>
      <c r="D639" t="s">
        <v>68</v>
      </c>
      <c r="E639" t="s">
        <v>69</v>
      </c>
      <c r="F639" t="s">
        <v>70</v>
      </c>
      <c r="G639" t="s">
        <v>71</v>
      </c>
      <c r="H639" t="s">
        <v>72</v>
      </c>
      <c r="I639" t="s">
        <v>73</v>
      </c>
      <c r="J639" t="str">
        <f>"46792"</f>
        <v>46792</v>
      </c>
      <c r="K639" t="s">
        <v>1009</v>
      </c>
      <c r="L639" t="s">
        <v>779</v>
      </c>
      <c r="M639" t="s">
        <v>76</v>
      </c>
    </row>
    <row r="640" spans="2:13" x14ac:dyDescent="0.25">
      <c r="B640" t="s">
        <v>67</v>
      </c>
      <c r="C640" t="s">
        <v>1010</v>
      </c>
      <c r="D640" t="s">
        <v>68</v>
      </c>
      <c r="E640" t="s">
        <v>69</v>
      </c>
      <c r="F640" t="s">
        <v>70</v>
      </c>
      <c r="G640" t="s">
        <v>71</v>
      </c>
      <c r="H640" t="s">
        <v>72</v>
      </c>
      <c r="I640" t="s">
        <v>73</v>
      </c>
      <c r="J640" t="str">
        <f>"46793"</f>
        <v>46793</v>
      </c>
      <c r="K640" t="s">
        <v>1011</v>
      </c>
      <c r="L640" t="s">
        <v>779</v>
      </c>
      <c r="M640" t="s">
        <v>76</v>
      </c>
    </row>
    <row r="641" spans="2:13" x14ac:dyDescent="0.25">
      <c r="B641" t="s">
        <v>67</v>
      </c>
      <c r="C641" t="s">
        <v>1012</v>
      </c>
      <c r="D641" t="s">
        <v>68</v>
      </c>
      <c r="E641" t="s">
        <v>69</v>
      </c>
      <c r="F641" t="s">
        <v>70</v>
      </c>
      <c r="G641" t="s">
        <v>71</v>
      </c>
      <c r="H641" t="s">
        <v>72</v>
      </c>
      <c r="I641" t="s">
        <v>73</v>
      </c>
      <c r="J641" t="str">
        <f>"46794"</f>
        <v>46794</v>
      </c>
      <c r="K641" t="s">
        <v>1013</v>
      </c>
      <c r="L641" t="s">
        <v>779</v>
      </c>
      <c r="M641" t="s">
        <v>76</v>
      </c>
    </row>
    <row r="642" spans="2:13" x14ac:dyDescent="0.25">
      <c r="B642" t="s">
        <v>67</v>
      </c>
      <c r="C642" t="s">
        <v>1014</v>
      </c>
      <c r="D642" t="s">
        <v>68</v>
      </c>
      <c r="E642" t="s">
        <v>69</v>
      </c>
      <c r="F642" t="s">
        <v>70</v>
      </c>
      <c r="G642" t="s">
        <v>71</v>
      </c>
      <c r="H642" t="s">
        <v>72</v>
      </c>
      <c r="I642" t="s">
        <v>73</v>
      </c>
      <c r="J642" t="str">
        <f>"46795"</f>
        <v>46795</v>
      </c>
      <c r="K642" t="s">
        <v>1015</v>
      </c>
      <c r="L642" t="s">
        <v>779</v>
      </c>
      <c r="M642" t="s">
        <v>76</v>
      </c>
    </row>
    <row r="643" spans="2:13" x14ac:dyDescent="0.25">
      <c r="B643" t="s">
        <v>67</v>
      </c>
      <c r="C643" t="s">
        <v>1016</v>
      </c>
      <c r="D643" t="s">
        <v>68</v>
      </c>
      <c r="E643" t="s">
        <v>69</v>
      </c>
      <c r="F643" t="s">
        <v>70</v>
      </c>
      <c r="G643" t="s">
        <v>71</v>
      </c>
      <c r="H643" t="s">
        <v>72</v>
      </c>
      <c r="I643" t="s">
        <v>73</v>
      </c>
      <c r="J643" t="str">
        <f>"46796"</f>
        <v>46796</v>
      </c>
      <c r="K643" t="s">
        <v>1017</v>
      </c>
      <c r="L643" t="s">
        <v>779</v>
      </c>
      <c r="M643" t="s">
        <v>76</v>
      </c>
    </row>
    <row r="644" spans="2:13" x14ac:dyDescent="0.25">
      <c r="B644" t="s">
        <v>67</v>
      </c>
      <c r="C644" t="s">
        <v>1018</v>
      </c>
      <c r="D644" t="s">
        <v>68</v>
      </c>
      <c r="E644" t="s">
        <v>69</v>
      </c>
      <c r="F644" t="s">
        <v>70</v>
      </c>
      <c r="G644" t="s">
        <v>71</v>
      </c>
      <c r="H644" t="s">
        <v>72</v>
      </c>
      <c r="I644" t="s">
        <v>73</v>
      </c>
      <c r="J644" t="str">
        <f>"46797"</f>
        <v>46797</v>
      </c>
      <c r="K644" t="s">
        <v>1019</v>
      </c>
      <c r="L644" t="s">
        <v>779</v>
      </c>
      <c r="M644" t="s">
        <v>76</v>
      </c>
    </row>
    <row r="645" spans="2:13" x14ac:dyDescent="0.25">
      <c r="B645" t="s">
        <v>67</v>
      </c>
      <c r="C645" t="s">
        <v>1020</v>
      </c>
      <c r="D645" t="s">
        <v>68</v>
      </c>
      <c r="E645" t="s">
        <v>69</v>
      </c>
      <c r="F645" t="s">
        <v>70</v>
      </c>
      <c r="G645" t="s">
        <v>71</v>
      </c>
      <c r="H645" t="s">
        <v>72</v>
      </c>
      <c r="I645" t="s">
        <v>73</v>
      </c>
      <c r="J645" t="str">
        <f>"46798"</f>
        <v>46798</v>
      </c>
      <c r="K645" t="s">
        <v>1021</v>
      </c>
      <c r="L645" t="s">
        <v>779</v>
      </c>
      <c r="M645" t="s">
        <v>76</v>
      </c>
    </row>
    <row r="646" spans="2:13" x14ac:dyDescent="0.25">
      <c r="B646" t="s">
        <v>67</v>
      </c>
      <c r="C646" t="s">
        <v>1022</v>
      </c>
      <c r="D646" t="s">
        <v>68</v>
      </c>
      <c r="E646" t="s">
        <v>69</v>
      </c>
      <c r="F646" t="s">
        <v>70</v>
      </c>
      <c r="G646" t="s">
        <v>71</v>
      </c>
      <c r="H646" t="s">
        <v>72</v>
      </c>
      <c r="I646" t="s">
        <v>73</v>
      </c>
      <c r="J646" t="str">
        <f>"46799"</f>
        <v>46799</v>
      </c>
      <c r="K646" t="s">
        <v>1023</v>
      </c>
      <c r="L646" t="s">
        <v>779</v>
      </c>
      <c r="M646" t="s">
        <v>76</v>
      </c>
    </row>
    <row r="647" spans="2:13" x14ac:dyDescent="0.25">
      <c r="B647" t="s">
        <v>67</v>
      </c>
      <c r="C647" t="s">
        <v>1024</v>
      </c>
      <c r="D647" t="s">
        <v>68</v>
      </c>
      <c r="E647" t="s">
        <v>69</v>
      </c>
      <c r="F647" t="s">
        <v>70</v>
      </c>
      <c r="G647" t="s">
        <v>71</v>
      </c>
      <c r="H647" t="s">
        <v>72</v>
      </c>
      <c r="I647" t="s">
        <v>73</v>
      </c>
      <c r="J647" t="str">
        <f>"46800"</f>
        <v>46800</v>
      </c>
      <c r="K647" t="s">
        <v>1025</v>
      </c>
      <c r="L647" t="s">
        <v>779</v>
      </c>
      <c r="M647" t="s">
        <v>76</v>
      </c>
    </row>
    <row r="648" spans="2:13" x14ac:dyDescent="0.25">
      <c r="B648" t="s">
        <v>67</v>
      </c>
      <c r="C648" t="s">
        <v>1026</v>
      </c>
      <c r="D648" t="s">
        <v>68</v>
      </c>
      <c r="E648" t="s">
        <v>69</v>
      </c>
      <c r="F648" t="s">
        <v>70</v>
      </c>
      <c r="G648" t="s">
        <v>71</v>
      </c>
      <c r="H648" t="s">
        <v>72</v>
      </c>
      <c r="I648" t="s">
        <v>73</v>
      </c>
      <c r="J648" t="str">
        <f>"46801"</f>
        <v>46801</v>
      </c>
      <c r="K648" t="s">
        <v>1027</v>
      </c>
      <c r="L648" t="s">
        <v>779</v>
      </c>
      <c r="M648" t="s">
        <v>76</v>
      </c>
    </row>
    <row r="649" spans="2:13" x14ac:dyDescent="0.25">
      <c r="B649" t="s">
        <v>67</v>
      </c>
      <c r="C649" t="s">
        <v>1028</v>
      </c>
      <c r="D649" t="s">
        <v>68</v>
      </c>
      <c r="E649" t="s">
        <v>69</v>
      </c>
      <c r="F649" t="s">
        <v>70</v>
      </c>
      <c r="G649" t="s">
        <v>71</v>
      </c>
      <c r="H649" t="s">
        <v>72</v>
      </c>
      <c r="I649" t="s">
        <v>73</v>
      </c>
      <c r="J649" t="str">
        <f>"46802"</f>
        <v>46802</v>
      </c>
      <c r="K649" t="s">
        <v>1029</v>
      </c>
      <c r="L649" t="s">
        <v>779</v>
      </c>
      <c r="M649" t="s">
        <v>76</v>
      </c>
    </row>
    <row r="650" spans="2:13" x14ac:dyDescent="0.25">
      <c r="B650" t="s">
        <v>67</v>
      </c>
      <c r="C650" t="s">
        <v>1030</v>
      </c>
      <c r="D650" t="s">
        <v>68</v>
      </c>
      <c r="E650" t="s">
        <v>69</v>
      </c>
      <c r="F650" t="s">
        <v>70</v>
      </c>
      <c r="G650" t="s">
        <v>71</v>
      </c>
      <c r="H650" t="s">
        <v>72</v>
      </c>
      <c r="I650" t="s">
        <v>73</v>
      </c>
      <c r="J650" t="str">
        <f>"46803"</f>
        <v>46803</v>
      </c>
      <c r="K650" t="s">
        <v>1031</v>
      </c>
      <c r="L650" t="s">
        <v>779</v>
      </c>
      <c r="M650" t="s">
        <v>76</v>
      </c>
    </row>
    <row r="651" spans="2:13" x14ac:dyDescent="0.25">
      <c r="B651" t="s">
        <v>67</v>
      </c>
      <c r="C651" t="s">
        <v>1032</v>
      </c>
      <c r="D651" t="s">
        <v>68</v>
      </c>
      <c r="E651" t="s">
        <v>69</v>
      </c>
      <c r="F651" t="s">
        <v>70</v>
      </c>
      <c r="G651" t="s">
        <v>71</v>
      </c>
      <c r="H651" t="s">
        <v>72</v>
      </c>
      <c r="I651" t="s">
        <v>73</v>
      </c>
      <c r="J651" t="str">
        <f>"46804"</f>
        <v>46804</v>
      </c>
      <c r="K651" t="s">
        <v>1033</v>
      </c>
      <c r="L651" t="s">
        <v>779</v>
      </c>
      <c r="M651" t="s">
        <v>76</v>
      </c>
    </row>
    <row r="652" spans="2:13" x14ac:dyDescent="0.25">
      <c r="B652" t="s">
        <v>67</v>
      </c>
      <c r="C652" t="s">
        <v>1034</v>
      </c>
      <c r="D652" t="s">
        <v>68</v>
      </c>
      <c r="E652" t="s">
        <v>69</v>
      </c>
      <c r="F652" t="s">
        <v>70</v>
      </c>
      <c r="G652" t="s">
        <v>71</v>
      </c>
      <c r="H652" t="s">
        <v>72</v>
      </c>
      <c r="I652" t="s">
        <v>73</v>
      </c>
      <c r="J652" t="str">
        <f>"46805"</f>
        <v>46805</v>
      </c>
      <c r="K652" t="s">
        <v>1035</v>
      </c>
      <c r="L652" t="s">
        <v>779</v>
      </c>
      <c r="M652" t="s">
        <v>76</v>
      </c>
    </row>
    <row r="653" spans="2:13" x14ac:dyDescent="0.25">
      <c r="B653" t="s">
        <v>67</v>
      </c>
      <c r="C653" t="s">
        <v>1036</v>
      </c>
      <c r="D653" t="s">
        <v>68</v>
      </c>
      <c r="E653" t="s">
        <v>69</v>
      </c>
      <c r="F653" t="s">
        <v>70</v>
      </c>
      <c r="G653" t="s">
        <v>71</v>
      </c>
      <c r="H653" t="s">
        <v>72</v>
      </c>
      <c r="I653" t="s">
        <v>73</v>
      </c>
      <c r="J653" t="str">
        <f>"46806"</f>
        <v>46806</v>
      </c>
      <c r="K653" t="s">
        <v>1037</v>
      </c>
      <c r="L653" t="s">
        <v>779</v>
      </c>
      <c r="M653" t="s">
        <v>76</v>
      </c>
    </row>
    <row r="654" spans="2:13" x14ac:dyDescent="0.25">
      <c r="B654" t="s">
        <v>67</v>
      </c>
      <c r="C654" t="s">
        <v>1038</v>
      </c>
      <c r="D654" t="s">
        <v>68</v>
      </c>
      <c r="E654" t="s">
        <v>69</v>
      </c>
      <c r="F654" t="s">
        <v>70</v>
      </c>
      <c r="G654" t="s">
        <v>71</v>
      </c>
      <c r="H654" t="s">
        <v>72</v>
      </c>
      <c r="I654" t="s">
        <v>73</v>
      </c>
      <c r="J654" t="str">
        <f>"46807"</f>
        <v>46807</v>
      </c>
      <c r="K654" t="s">
        <v>1039</v>
      </c>
      <c r="L654" t="s">
        <v>779</v>
      </c>
      <c r="M654" t="s">
        <v>76</v>
      </c>
    </row>
    <row r="655" spans="2:13" x14ac:dyDescent="0.25">
      <c r="B655" t="s">
        <v>67</v>
      </c>
      <c r="C655" t="s">
        <v>1040</v>
      </c>
      <c r="D655" t="s">
        <v>68</v>
      </c>
      <c r="E655" t="s">
        <v>69</v>
      </c>
      <c r="F655" t="s">
        <v>70</v>
      </c>
      <c r="G655" t="s">
        <v>71</v>
      </c>
      <c r="H655" t="s">
        <v>72</v>
      </c>
      <c r="I655" t="s">
        <v>73</v>
      </c>
      <c r="J655" t="str">
        <f>"46808"</f>
        <v>46808</v>
      </c>
      <c r="K655" t="s">
        <v>1041</v>
      </c>
      <c r="L655" t="s">
        <v>779</v>
      </c>
      <c r="M655" t="s">
        <v>76</v>
      </c>
    </row>
    <row r="656" spans="2:13" x14ac:dyDescent="0.25">
      <c r="B656" t="s">
        <v>67</v>
      </c>
      <c r="C656" t="s">
        <v>1042</v>
      </c>
      <c r="D656" t="s">
        <v>68</v>
      </c>
      <c r="E656" t="s">
        <v>69</v>
      </c>
      <c r="F656" t="s">
        <v>70</v>
      </c>
      <c r="G656" t="s">
        <v>71</v>
      </c>
      <c r="H656" t="s">
        <v>72</v>
      </c>
      <c r="I656" t="s">
        <v>73</v>
      </c>
      <c r="J656" t="str">
        <f>"46809"</f>
        <v>46809</v>
      </c>
      <c r="K656" t="s">
        <v>1043</v>
      </c>
      <c r="L656" t="s">
        <v>779</v>
      </c>
      <c r="M656" t="s">
        <v>76</v>
      </c>
    </row>
    <row r="657" spans="2:13" x14ac:dyDescent="0.25">
      <c r="B657" t="s">
        <v>67</v>
      </c>
      <c r="C657" t="s">
        <v>1044</v>
      </c>
      <c r="D657" t="s">
        <v>68</v>
      </c>
      <c r="E657" t="s">
        <v>69</v>
      </c>
      <c r="F657" t="s">
        <v>70</v>
      </c>
      <c r="G657" t="s">
        <v>71</v>
      </c>
      <c r="H657" t="s">
        <v>72</v>
      </c>
      <c r="I657" t="s">
        <v>73</v>
      </c>
      <c r="J657" t="str">
        <f>"46810"</f>
        <v>46810</v>
      </c>
      <c r="K657" t="s">
        <v>1045</v>
      </c>
      <c r="L657" t="s">
        <v>779</v>
      </c>
      <c r="M657" t="s">
        <v>76</v>
      </c>
    </row>
    <row r="658" spans="2:13" x14ac:dyDescent="0.25">
      <c r="B658" t="s">
        <v>67</v>
      </c>
      <c r="C658" t="s">
        <v>1046</v>
      </c>
      <c r="D658" t="s">
        <v>68</v>
      </c>
      <c r="E658" t="s">
        <v>69</v>
      </c>
      <c r="F658" t="s">
        <v>70</v>
      </c>
      <c r="G658" t="s">
        <v>71</v>
      </c>
      <c r="H658" t="s">
        <v>72</v>
      </c>
      <c r="I658" t="s">
        <v>73</v>
      </c>
      <c r="J658" t="str">
        <f>"46811"</f>
        <v>46811</v>
      </c>
      <c r="K658" t="s">
        <v>1047</v>
      </c>
      <c r="L658" t="s">
        <v>779</v>
      </c>
      <c r="M658" t="s">
        <v>76</v>
      </c>
    </row>
    <row r="659" spans="2:13" x14ac:dyDescent="0.25">
      <c r="B659" t="s">
        <v>67</v>
      </c>
      <c r="C659" t="s">
        <v>1048</v>
      </c>
      <c r="D659" t="s">
        <v>68</v>
      </c>
      <c r="E659" t="s">
        <v>69</v>
      </c>
      <c r="F659" t="s">
        <v>70</v>
      </c>
      <c r="G659" t="s">
        <v>71</v>
      </c>
      <c r="H659" t="s">
        <v>72</v>
      </c>
      <c r="I659" t="s">
        <v>73</v>
      </c>
      <c r="J659" t="str">
        <f>"46812"</f>
        <v>46812</v>
      </c>
      <c r="K659" t="s">
        <v>1049</v>
      </c>
      <c r="L659" t="s">
        <v>779</v>
      </c>
      <c r="M659" t="s">
        <v>76</v>
      </c>
    </row>
    <row r="660" spans="2:13" x14ac:dyDescent="0.25">
      <c r="B660" t="s">
        <v>67</v>
      </c>
      <c r="C660" t="s">
        <v>1050</v>
      </c>
      <c r="D660" t="s">
        <v>68</v>
      </c>
      <c r="E660" t="s">
        <v>69</v>
      </c>
      <c r="F660" t="s">
        <v>70</v>
      </c>
      <c r="G660" t="s">
        <v>71</v>
      </c>
      <c r="H660" t="s">
        <v>72</v>
      </c>
      <c r="I660" t="s">
        <v>73</v>
      </c>
      <c r="J660" t="str">
        <f>"46813"</f>
        <v>46813</v>
      </c>
      <c r="K660" t="s">
        <v>1051</v>
      </c>
      <c r="L660" t="s">
        <v>779</v>
      </c>
      <c r="M660" t="s">
        <v>76</v>
      </c>
    </row>
    <row r="661" spans="2:13" x14ac:dyDescent="0.25">
      <c r="B661" t="s">
        <v>67</v>
      </c>
      <c r="C661" t="s">
        <v>1052</v>
      </c>
      <c r="D661" t="s">
        <v>68</v>
      </c>
      <c r="E661" t="s">
        <v>69</v>
      </c>
      <c r="F661" t="s">
        <v>70</v>
      </c>
      <c r="G661" t="s">
        <v>71</v>
      </c>
      <c r="H661" t="s">
        <v>72</v>
      </c>
      <c r="I661" t="s">
        <v>73</v>
      </c>
      <c r="J661" t="str">
        <f>"46814"</f>
        <v>46814</v>
      </c>
      <c r="K661" t="s">
        <v>1053</v>
      </c>
      <c r="L661" t="s">
        <v>779</v>
      </c>
      <c r="M661" t="s">
        <v>76</v>
      </c>
    </row>
    <row r="662" spans="2:13" x14ac:dyDescent="0.25">
      <c r="B662" t="s">
        <v>67</v>
      </c>
      <c r="C662" t="s">
        <v>1054</v>
      </c>
      <c r="D662" t="s">
        <v>68</v>
      </c>
      <c r="E662" t="s">
        <v>69</v>
      </c>
      <c r="F662" t="s">
        <v>70</v>
      </c>
      <c r="G662" t="s">
        <v>71</v>
      </c>
      <c r="H662" t="s">
        <v>72</v>
      </c>
      <c r="I662" t="s">
        <v>73</v>
      </c>
      <c r="J662" t="str">
        <f>"46815"</f>
        <v>46815</v>
      </c>
      <c r="K662" t="s">
        <v>1055</v>
      </c>
      <c r="L662" t="s">
        <v>779</v>
      </c>
      <c r="M662" t="s">
        <v>76</v>
      </c>
    </row>
    <row r="663" spans="2:13" x14ac:dyDescent="0.25">
      <c r="B663" t="s">
        <v>67</v>
      </c>
      <c r="C663" t="s">
        <v>1056</v>
      </c>
      <c r="D663" t="s">
        <v>68</v>
      </c>
      <c r="E663" t="s">
        <v>69</v>
      </c>
      <c r="F663" t="s">
        <v>70</v>
      </c>
      <c r="G663" t="s">
        <v>71</v>
      </c>
      <c r="H663" t="s">
        <v>72</v>
      </c>
      <c r="I663" t="s">
        <v>73</v>
      </c>
      <c r="J663" t="str">
        <f>"46816"</f>
        <v>46816</v>
      </c>
      <c r="K663" t="s">
        <v>1057</v>
      </c>
      <c r="L663" t="s">
        <v>779</v>
      </c>
      <c r="M663" t="s">
        <v>76</v>
      </c>
    </row>
    <row r="664" spans="2:13" x14ac:dyDescent="0.25">
      <c r="B664" t="s">
        <v>67</v>
      </c>
      <c r="C664" t="s">
        <v>1058</v>
      </c>
      <c r="D664" t="s">
        <v>68</v>
      </c>
      <c r="E664" t="s">
        <v>69</v>
      </c>
      <c r="F664" t="s">
        <v>70</v>
      </c>
      <c r="G664" t="s">
        <v>71</v>
      </c>
      <c r="H664" t="s">
        <v>72</v>
      </c>
      <c r="I664" t="s">
        <v>73</v>
      </c>
      <c r="J664" t="str">
        <f>"46817"</f>
        <v>46817</v>
      </c>
      <c r="K664" t="s">
        <v>1059</v>
      </c>
      <c r="L664" t="s">
        <v>779</v>
      </c>
      <c r="M664" t="s">
        <v>76</v>
      </c>
    </row>
    <row r="665" spans="2:13" x14ac:dyDescent="0.25">
      <c r="B665" t="s">
        <v>67</v>
      </c>
      <c r="C665" t="s">
        <v>1060</v>
      </c>
      <c r="D665" t="s">
        <v>68</v>
      </c>
      <c r="E665" t="s">
        <v>69</v>
      </c>
      <c r="F665" t="s">
        <v>70</v>
      </c>
      <c r="G665" t="s">
        <v>71</v>
      </c>
      <c r="H665" t="s">
        <v>72</v>
      </c>
      <c r="I665" t="s">
        <v>73</v>
      </c>
      <c r="J665" t="str">
        <f>"46818"</f>
        <v>46818</v>
      </c>
      <c r="K665" t="s">
        <v>1061</v>
      </c>
      <c r="L665" t="s">
        <v>779</v>
      </c>
      <c r="M665" t="s">
        <v>76</v>
      </c>
    </row>
    <row r="666" spans="2:13" x14ac:dyDescent="0.25">
      <c r="B666" t="s">
        <v>67</v>
      </c>
      <c r="C666" t="s">
        <v>1062</v>
      </c>
      <c r="D666" t="s">
        <v>68</v>
      </c>
      <c r="E666" t="s">
        <v>69</v>
      </c>
      <c r="F666" t="s">
        <v>70</v>
      </c>
      <c r="G666" t="s">
        <v>71</v>
      </c>
      <c r="H666" t="s">
        <v>72</v>
      </c>
      <c r="I666" t="s">
        <v>73</v>
      </c>
      <c r="J666" t="str">
        <f>"46819"</f>
        <v>46819</v>
      </c>
      <c r="K666" t="s">
        <v>1063</v>
      </c>
      <c r="L666" t="s">
        <v>779</v>
      </c>
      <c r="M666" t="s">
        <v>76</v>
      </c>
    </row>
    <row r="667" spans="2:13" x14ac:dyDescent="0.25">
      <c r="B667" t="s">
        <v>67</v>
      </c>
      <c r="C667" t="s">
        <v>1064</v>
      </c>
      <c r="D667" t="s">
        <v>68</v>
      </c>
      <c r="E667" t="s">
        <v>69</v>
      </c>
      <c r="F667" t="s">
        <v>70</v>
      </c>
      <c r="G667" t="s">
        <v>71</v>
      </c>
      <c r="H667" t="s">
        <v>72</v>
      </c>
      <c r="I667" t="s">
        <v>73</v>
      </c>
      <c r="J667" t="str">
        <f>"46820"</f>
        <v>46820</v>
      </c>
      <c r="K667" t="s">
        <v>1065</v>
      </c>
      <c r="L667" t="s">
        <v>779</v>
      </c>
      <c r="M667" t="s">
        <v>76</v>
      </c>
    </row>
    <row r="668" spans="2:13" x14ac:dyDescent="0.25">
      <c r="B668" t="s">
        <v>67</v>
      </c>
      <c r="C668" t="s">
        <v>1066</v>
      </c>
      <c r="D668" t="s">
        <v>68</v>
      </c>
      <c r="E668" t="s">
        <v>69</v>
      </c>
      <c r="F668" t="s">
        <v>70</v>
      </c>
      <c r="G668" t="s">
        <v>71</v>
      </c>
      <c r="H668" t="s">
        <v>72</v>
      </c>
      <c r="I668" t="s">
        <v>73</v>
      </c>
      <c r="J668" t="str">
        <f>"46821"</f>
        <v>46821</v>
      </c>
      <c r="K668" t="s">
        <v>1067</v>
      </c>
      <c r="L668" t="s">
        <v>779</v>
      </c>
      <c r="M668" t="s">
        <v>76</v>
      </c>
    </row>
    <row r="669" spans="2:13" x14ac:dyDescent="0.25">
      <c r="B669" t="s">
        <v>67</v>
      </c>
      <c r="C669" t="s">
        <v>1068</v>
      </c>
      <c r="D669" t="s">
        <v>68</v>
      </c>
      <c r="E669" t="s">
        <v>69</v>
      </c>
      <c r="F669" t="s">
        <v>70</v>
      </c>
      <c r="G669" t="s">
        <v>71</v>
      </c>
      <c r="H669" t="s">
        <v>72</v>
      </c>
      <c r="I669" t="s">
        <v>73</v>
      </c>
      <c r="J669" t="str">
        <f>"46822"</f>
        <v>46822</v>
      </c>
      <c r="K669" t="s">
        <v>1069</v>
      </c>
      <c r="L669" t="s">
        <v>779</v>
      </c>
      <c r="M669" t="s">
        <v>76</v>
      </c>
    </row>
    <row r="670" spans="2:13" x14ac:dyDescent="0.25">
      <c r="B670" t="s">
        <v>67</v>
      </c>
      <c r="C670" t="s">
        <v>1070</v>
      </c>
      <c r="D670" t="s">
        <v>68</v>
      </c>
      <c r="E670" t="s">
        <v>69</v>
      </c>
      <c r="F670" t="s">
        <v>70</v>
      </c>
      <c r="G670" t="s">
        <v>71</v>
      </c>
      <c r="H670" t="s">
        <v>72</v>
      </c>
      <c r="I670" t="s">
        <v>73</v>
      </c>
      <c r="J670" t="str">
        <f>"46823"</f>
        <v>46823</v>
      </c>
      <c r="K670" t="s">
        <v>1071</v>
      </c>
      <c r="L670" t="s">
        <v>779</v>
      </c>
      <c r="M670" t="s">
        <v>76</v>
      </c>
    </row>
    <row r="671" spans="2:13" x14ac:dyDescent="0.25">
      <c r="B671" t="s">
        <v>67</v>
      </c>
      <c r="C671" t="s">
        <v>1072</v>
      </c>
      <c r="D671" t="s">
        <v>68</v>
      </c>
      <c r="E671" t="s">
        <v>69</v>
      </c>
      <c r="F671" t="s">
        <v>70</v>
      </c>
      <c r="G671" t="s">
        <v>71</v>
      </c>
      <c r="H671" t="s">
        <v>72</v>
      </c>
      <c r="I671" t="s">
        <v>73</v>
      </c>
      <c r="J671" t="str">
        <f>"46824"</f>
        <v>46824</v>
      </c>
      <c r="K671" t="s">
        <v>1073</v>
      </c>
      <c r="L671" t="s">
        <v>779</v>
      </c>
      <c r="M671" t="s">
        <v>76</v>
      </c>
    </row>
    <row r="672" spans="2:13" x14ac:dyDescent="0.25">
      <c r="B672" t="s">
        <v>67</v>
      </c>
      <c r="C672" t="s">
        <v>1074</v>
      </c>
      <c r="D672" t="s">
        <v>68</v>
      </c>
      <c r="E672" t="s">
        <v>69</v>
      </c>
      <c r="F672" t="s">
        <v>70</v>
      </c>
      <c r="G672" t="s">
        <v>71</v>
      </c>
      <c r="H672" t="s">
        <v>72</v>
      </c>
      <c r="I672" t="s">
        <v>73</v>
      </c>
      <c r="J672" t="str">
        <f>"46825"</f>
        <v>46825</v>
      </c>
      <c r="K672" t="s">
        <v>1075</v>
      </c>
      <c r="L672" t="s">
        <v>779</v>
      </c>
      <c r="M672" t="s">
        <v>76</v>
      </c>
    </row>
    <row r="673" spans="2:13" x14ac:dyDescent="0.25">
      <c r="B673" t="s">
        <v>67</v>
      </c>
      <c r="C673" t="s">
        <v>1076</v>
      </c>
      <c r="D673" t="s">
        <v>68</v>
      </c>
      <c r="E673" t="s">
        <v>69</v>
      </c>
      <c r="F673" t="s">
        <v>70</v>
      </c>
      <c r="G673" t="s">
        <v>71</v>
      </c>
      <c r="H673" t="s">
        <v>72</v>
      </c>
      <c r="I673" t="s">
        <v>73</v>
      </c>
      <c r="J673" t="str">
        <f>"46826"</f>
        <v>46826</v>
      </c>
      <c r="K673" t="s">
        <v>1077</v>
      </c>
      <c r="L673" t="s">
        <v>779</v>
      </c>
      <c r="M673" t="s">
        <v>76</v>
      </c>
    </row>
    <row r="674" spans="2:13" x14ac:dyDescent="0.25">
      <c r="B674" t="s">
        <v>67</v>
      </c>
      <c r="C674" t="s">
        <v>1078</v>
      </c>
      <c r="D674" t="s">
        <v>68</v>
      </c>
      <c r="E674" t="s">
        <v>69</v>
      </c>
      <c r="F674" t="s">
        <v>70</v>
      </c>
      <c r="G674" t="s">
        <v>71</v>
      </c>
      <c r="H674" t="s">
        <v>72</v>
      </c>
      <c r="I674" t="s">
        <v>73</v>
      </c>
      <c r="J674" t="str">
        <f>"46827"</f>
        <v>46827</v>
      </c>
      <c r="K674" t="s">
        <v>1079</v>
      </c>
      <c r="L674" t="s">
        <v>779</v>
      </c>
      <c r="M674" t="s">
        <v>76</v>
      </c>
    </row>
    <row r="675" spans="2:13" x14ac:dyDescent="0.25">
      <c r="B675" t="s">
        <v>67</v>
      </c>
      <c r="C675" t="s">
        <v>1080</v>
      </c>
      <c r="D675" t="s">
        <v>68</v>
      </c>
      <c r="E675" t="s">
        <v>69</v>
      </c>
      <c r="F675" t="s">
        <v>70</v>
      </c>
      <c r="G675" t="s">
        <v>71</v>
      </c>
      <c r="H675" t="s">
        <v>72</v>
      </c>
      <c r="I675" t="s">
        <v>73</v>
      </c>
      <c r="J675" t="str">
        <f>"46828"</f>
        <v>46828</v>
      </c>
      <c r="K675" t="s">
        <v>1081</v>
      </c>
      <c r="L675" t="s">
        <v>779</v>
      </c>
      <c r="M675" t="s">
        <v>76</v>
      </c>
    </row>
    <row r="676" spans="2:13" x14ac:dyDescent="0.25">
      <c r="B676" t="s">
        <v>67</v>
      </c>
      <c r="C676" t="s">
        <v>1082</v>
      </c>
      <c r="D676" t="s">
        <v>68</v>
      </c>
      <c r="E676" t="s">
        <v>69</v>
      </c>
      <c r="F676" t="s">
        <v>70</v>
      </c>
      <c r="G676" t="s">
        <v>71</v>
      </c>
      <c r="H676" t="s">
        <v>72</v>
      </c>
      <c r="I676" t="s">
        <v>73</v>
      </c>
      <c r="J676" t="str">
        <f>"46829"</f>
        <v>46829</v>
      </c>
      <c r="K676" t="s">
        <v>1083</v>
      </c>
      <c r="L676" t="s">
        <v>779</v>
      </c>
      <c r="M676" t="s">
        <v>76</v>
      </c>
    </row>
    <row r="677" spans="2:13" x14ac:dyDescent="0.25">
      <c r="B677" t="s">
        <v>67</v>
      </c>
      <c r="C677" t="s">
        <v>1084</v>
      </c>
      <c r="D677" t="s">
        <v>68</v>
      </c>
      <c r="E677" t="s">
        <v>69</v>
      </c>
      <c r="F677" t="s">
        <v>70</v>
      </c>
      <c r="G677" t="s">
        <v>71</v>
      </c>
      <c r="H677" t="s">
        <v>72</v>
      </c>
      <c r="I677" t="s">
        <v>73</v>
      </c>
      <c r="J677" t="str">
        <f>"46830"</f>
        <v>46830</v>
      </c>
      <c r="K677" t="s">
        <v>1085</v>
      </c>
      <c r="L677" t="s">
        <v>779</v>
      </c>
      <c r="M677" t="s">
        <v>76</v>
      </c>
    </row>
    <row r="678" spans="2:13" x14ac:dyDescent="0.25">
      <c r="B678" t="s">
        <v>67</v>
      </c>
      <c r="C678" t="s">
        <v>1086</v>
      </c>
      <c r="D678" t="s">
        <v>68</v>
      </c>
      <c r="E678" t="s">
        <v>69</v>
      </c>
      <c r="F678" t="s">
        <v>70</v>
      </c>
      <c r="G678" t="s">
        <v>71</v>
      </c>
      <c r="H678" t="s">
        <v>72</v>
      </c>
      <c r="I678" t="s">
        <v>73</v>
      </c>
      <c r="J678" t="str">
        <f>"46831"</f>
        <v>46831</v>
      </c>
      <c r="K678" t="s">
        <v>1087</v>
      </c>
      <c r="L678" t="s">
        <v>779</v>
      </c>
      <c r="M678" t="s">
        <v>76</v>
      </c>
    </row>
    <row r="679" spans="2:13" x14ac:dyDescent="0.25">
      <c r="B679" t="s">
        <v>67</v>
      </c>
      <c r="C679" t="s">
        <v>1088</v>
      </c>
      <c r="D679" t="s">
        <v>68</v>
      </c>
      <c r="E679" t="s">
        <v>69</v>
      </c>
      <c r="F679" t="s">
        <v>70</v>
      </c>
      <c r="G679" t="s">
        <v>71</v>
      </c>
      <c r="H679" t="s">
        <v>72</v>
      </c>
      <c r="I679" t="s">
        <v>73</v>
      </c>
      <c r="J679" t="str">
        <f>"46832"</f>
        <v>46832</v>
      </c>
      <c r="K679" t="s">
        <v>1089</v>
      </c>
      <c r="L679" t="s">
        <v>779</v>
      </c>
      <c r="M679" t="s">
        <v>76</v>
      </c>
    </row>
    <row r="680" spans="2:13" x14ac:dyDescent="0.25">
      <c r="B680" t="s">
        <v>67</v>
      </c>
      <c r="C680" t="s">
        <v>1090</v>
      </c>
      <c r="D680" t="s">
        <v>68</v>
      </c>
      <c r="E680" t="s">
        <v>69</v>
      </c>
      <c r="F680" t="s">
        <v>70</v>
      </c>
      <c r="G680" t="s">
        <v>71</v>
      </c>
      <c r="H680" t="s">
        <v>72</v>
      </c>
      <c r="I680" t="s">
        <v>73</v>
      </c>
      <c r="J680" t="str">
        <f>"46833"</f>
        <v>46833</v>
      </c>
      <c r="K680" t="s">
        <v>1091</v>
      </c>
      <c r="L680" t="s">
        <v>779</v>
      </c>
      <c r="M680" t="s">
        <v>76</v>
      </c>
    </row>
    <row r="681" spans="2:13" x14ac:dyDescent="0.25">
      <c r="B681" t="s">
        <v>67</v>
      </c>
      <c r="C681" t="s">
        <v>1092</v>
      </c>
      <c r="D681" t="s">
        <v>68</v>
      </c>
      <c r="E681" t="s">
        <v>69</v>
      </c>
      <c r="F681" t="s">
        <v>70</v>
      </c>
      <c r="G681" t="s">
        <v>71</v>
      </c>
      <c r="H681" t="s">
        <v>72</v>
      </c>
      <c r="I681" t="s">
        <v>73</v>
      </c>
      <c r="J681" t="str">
        <f>"46834"</f>
        <v>46834</v>
      </c>
      <c r="K681" t="s">
        <v>1093</v>
      </c>
      <c r="L681" t="s">
        <v>779</v>
      </c>
      <c r="M681" t="s">
        <v>76</v>
      </c>
    </row>
    <row r="682" spans="2:13" x14ac:dyDescent="0.25">
      <c r="B682" t="s">
        <v>67</v>
      </c>
      <c r="C682" t="s">
        <v>1094</v>
      </c>
      <c r="D682" t="s">
        <v>68</v>
      </c>
      <c r="E682" t="s">
        <v>69</v>
      </c>
      <c r="F682" t="s">
        <v>70</v>
      </c>
      <c r="G682" t="s">
        <v>71</v>
      </c>
      <c r="H682" t="s">
        <v>72</v>
      </c>
      <c r="I682" t="s">
        <v>73</v>
      </c>
      <c r="J682" t="str">
        <f>"46835"</f>
        <v>46835</v>
      </c>
      <c r="K682" t="s">
        <v>1095</v>
      </c>
      <c r="L682" t="s">
        <v>779</v>
      </c>
      <c r="M682" t="s">
        <v>76</v>
      </c>
    </row>
    <row r="683" spans="2:13" x14ac:dyDescent="0.25">
      <c r="B683" t="s">
        <v>67</v>
      </c>
      <c r="C683" t="s">
        <v>1096</v>
      </c>
      <c r="D683" t="s">
        <v>68</v>
      </c>
      <c r="E683" t="s">
        <v>69</v>
      </c>
      <c r="F683" t="s">
        <v>70</v>
      </c>
      <c r="G683" t="s">
        <v>71</v>
      </c>
      <c r="H683" t="s">
        <v>72</v>
      </c>
      <c r="I683" t="s">
        <v>73</v>
      </c>
      <c r="J683" t="str">
        <f>"46836"</f>
        <v>46836</v>
      </c>
      <c r="K683" t="s">
        <v>1097</v>
      </c>
      <c r="L683" t="s">
        <v>779</v>
      </c>
      <c r="M683" t="s">
        <v>76</v>
      </c>
    </row>
    <row r="684" spans="2:13" x14ac:dyDescent="0.25">
      <c r="B684" t="s">
        <v>67</v>
      </c>
      <c r="C684" t="s">
        <v>1098</v>
      </c>
      <c r="D684" t="s">
        <v>68</v>
      </c>
      <c r="E684" t="s">
        <v>69</v>
      </c>
      <c r="F684" t="s">
        <v>70</v>
      </c>
      <c r="G684" t="s">
        <v>71</v>
      </c>
      <c r="H684" t="s">
        <v>72</v>
      </c>
      <c r="I684" t="s">
        <v>73</v>
      </c>
      <c r="J684" t="str">
        <f>"46837"</f>
        <v>46837</v>
      </c>
      <c r="K684" t="s">
        <v>1099</v>
      </c>
      <c r="L684" t="s">
        <v>779</v>
      </c>
      <c r="M684" t="s">
        <v>76</v>
      </c>
    </row>
    <row r="685" spans="2:13" x14ac:dyDescent="0.25">
      <c r="B685" t="s">
        <v>67</v>
      </c>
      <c r="C685" t="s">
        <v>1100</v>
      </c>
      <c r="D685" t="s">
        <v>68</v>
      </c>
      <c r="E685" t="s">
        <v>69</v>
      </c>
      <c r="F685" t="s">
        <v>70</v>
      </c>
      <c r="G685" t="s">
        <v>71</v>
      </c>
      <c r="H685" t="s">
        <v>72</v>
      </c>
      <c r="I685" t="s">
        <v>73</v>
      </c>
      <c r="J685" t="str">
        <f>"46838"</f>
        <v>46838</v>
      </c>
      <c r="K685" t="s">
        <v>1101</v>
      </c>
      <c r="L685" t="s">
        <v>779</v>
      </c>
      <c r="M685" t="s">
        <v>76</v>
      </c>
    </row>
    <row r="686" spans="2:13" x14ac:dyDescent="0.25">
      <c r="B686" t="s">
        <v>67</v>
      </c>
      <c r="C686" t="s">
        <v>1102</v>
      </c>
      <c r="D686" t="s">
        <v>68</v>
      </c>
      <c r="E686" t="s">
        <v>69</v>
      </c>
      <c r="F686" t="s">
        <v>70</v>
      </c>
      <c r="G686" t="s">
        <v>71</v>
      </c>
      <c r="H686" t="s">
        <v>72</v>
      </c>
      <c r="I686" t="s">
        <v>73</v>
      </c>
      <c r="J686" t="str">
        <f>"46839"</f>
        <v>46839</v>
      </c>
      <c r="K686" t="s">
        <v>1103</v>
      </c>
      <c r="L686" t="s">
        <v>779</v>
      </c>
      <c r="M686" t="s">
        <v>76</v>
      </c>
    </row>
    <row r="687" spans="2:13" x14ac:dyDescent="0.25">
      <c r="B687" t="s">
        <v>67</v>
      </c>
      <c r="C687" t="s">
        <v>1104</v>
      </c>
      <c r="D687" t="s">
        <v>68</v>
      </c>
      <c r="E687" t="s">
        <v>69</v>
      </c>
      <c r="F687" t="s">
        <v>70</v>
      </c>
      <c r="G687" t="s">
        <v>71</v>
      </c>
      <c r="H687" t="s">
        <v>72</v>
      </c>
      <c r="I687" t="s">
        <v>73</v>
      </c>
      <c r="J687" t="str">
        <f>"46840"</f>
        <v>46840</v>
      </c>
      <c r="K687" t="s">
        <v>1105</v>
      </c>
      <c r="L687" t="s">
        <v>779</v>
      </c>
      <c r="M687" t="s">
        <v>76</v>
      </c>
    </row>
    <row r="688" spans="2:13" x14ac:dyDescent="0.25">
      <c r="B688" t="s">
        <v>67</v>
      </c>
      <c r="C688" t="s">
        <v>1106</v>
      </c>
      <c r="D688" t="s">
        <v>68</v>
      </c>
      <c r="E688" t="s">
        <v>69</v>
      </c>
      <c r="F688" t="s">
        <v>70</v>
      </c>
      <c r="G688" t="s">
        <v>71</v>
      </c>
      <c r="H688" t="s">
        <v>72</v>
      </c>
      <c r="I688" t="s">
        <v>73</v>
      </c>
      <c r="J688" t="str">
        <f>"46841"</f>
        <v>46841</v>
      </c>
      <c r="K688" t="s">
        <v>1107</v>
      </c>
      <c r="L688" t="s">
        <v>779</v>
      </c>
      <c r="M688" t="s">
        <v>76</v>
      </c>
    </row>
    <row r="689" spans="1:13" x14ac:dyDescent="0.25">
      <c r="A689" t="s">
        <v>1108</v>
      </c>
      <c r="C689" t="s">
        <v>1109</v>
      </c>
      <c r="D689" t="s">
        <v>1110</v>
      </c>
      <c r="E689" t="s">
        <v>1111</v>
      </c>
      <c r="F689">
        <v>1</v>
      </c>
      <c r="G689" t="s">
        <v>1112</v>
      </c>
      <c r="H689" t="s">
        <v>1113</v>
      </c>
      <c r="I689">
        <v>1</v>
      </c>
      <c r="J689" t="s">
        <v>1114</v>
      </c>
    </row>
    <row r="690" spans="1:13" x14ac:dyDescent="0.25">
      <c r="B690" t="s">
        <v>1115</v>
      </c>
      <c r="C690" t="s">
        <v>1116</v>
      </c>
      <c r="D690" t="s">
        <v>1117</v>
      </c>
      <c r="E690" t="s">
        <v>1109</v>
      </c>
      <c r="F690" t="s">
        <v>1118</v>
      </c>
    </row>
    <row r="691" spans="1:13" x14ac:dyDescent="0.25">
      <c r="B691" t="s">
        <v>67</v>
      </c>
      <c r="C691" s="19">
        <v>0.125</v>
      </c>
      <c r="D691" t="s">
        <v>68</v>
      </c>
      <c r="E691" t="s">
        <v>69</v>
      </c>
      <c r="F691" t="s">
        <v>70</v>
      </c>
      <c r="G691" t="s">
        <v>71</v>
      </c>
      <c r="H691" t="s">
        <v>72</v>
      </c>
      <c r="I691" t="s">
        <v>73</v>
      </c>
      <c r="J691" t="str">
        <f>"45654"</f>
        <v>45654</v>
      </c>
      <c r="K691" t="s">
        <v>1119</v>
      </c>
      <c r="L691" t="s">
        <v>127</v>
      </c>
      <c r="M691" t="s">
        <v>76</v>
      </c>
    </row>
    <row r="692" spans="1:13" x14ac:dyDescent="0.25">
      <c r="B692" t="s">
        <v>67</v>
      </c>
      <c r="C692" s="20">
        <v>1.3333333333333333</v>
      </c>
      <c r="D692" t="s">
        <v>68</v>
      </c>
      <c r="E692" t="s">
        <v>69</v>
      </c>
      <c r="F692" t="s">
        <v>70</v>
      </c>
      <c r="G692" t="s">
        <v>71</v>
      </c>
      <c r="H692" t="s">
        <v>72</v>
      </c>
      <c r="I692" t="s">
        <v>73</v>
      </c>
      <c r="J692" t="str">
        <f>"45655"</f>
        <v>45655</v>
      </c>
      <c r="K692" t="s">
        <v>1120</v>
      </c>
      <c r="L692" t="s">
        <v>779</v>
      </c>
      <c r="M692" t="s">
        <v>76</v>
      </c>
    </row>
    <row r="693" spans="1:13" x14ac:dyDescent="0.25">
      <c r="B693" t="s">
        <v>67</v>
      </c>
      <c r="C693" s="20">
        <v>2.5416666666666665</v>
      </c>
      <c r="D693" t="s">
        <v>68</v>
      </c>
      <c r="E693" t="s">
        <v>69</v>
      </c>
      <c r="F693" t="s">
        <v>70</v>
      </c>
      <c r="G693" t="s">
        <v>71</v>
      </c>
      <c r="H693" t="s">
        <v>72</v>
      </c>
      <c r="I693" t="s">
        <v>73</v>
      </c>
      <c r="J693" t="str">
        <f>"45656"</f>
        <v>45656</v>
      </c>
      <c r="K693" t="s">
        <v>1121</v>
      </c>
      <c r="L693" t="s">
        <v>328</v>
      </c>
      <c r="M693" t="s">
        <v>76</v>
      </c>
    </row>
    <row r="694" spans="1:13" x14ac:dyDescent="0.25">
      <c r="B694" t="s">
        <v>67</v>
      </c>
      <c r="C694" s="20">
        <v>3.75</v>
      </c>
      <c r="D694" t="s">
        <v>68</v>
      </c>
      <c r="E694" t="s">
        <v>69</v>
      </c>
      <c r="F694" t="s">
        <v>70</v>
      </c>
      <c r="G694" t="s">
        <v>71</v>
      </c>
      <c r="H694" t="s">
        <v>72</v>
      </c>
      <c r="I694" t="s">
        <v>73</v>
      </c>
      <c r="J694" t="str">
        <f>"45657"</f>
        <v>45657</v>
      </c>
      <c r="K694" t="s">
        <v>1122</v>
      </c>
      <c r="L694" t="s">
        <v>75</v>
      </c>
      <c r="M694" t="s">
        <v>76</v>
      </c>
    </row>
    <row r="695" spans="1:13" x14ac:dyDescent="0.25">
      <c r="B695" t="s">
        <v>67</v>
      </c>
      <c r="C695" s="20">
        <v>4.958333333333333</v>
      </c>
      <c r="D695" t="s">
        <v>68</v>
      </c>
      <c r="E695" t="s">
        <v>69</v>
      </c>
      <c r="F695" t="s">
        <v>70</v>
      </c>
      <c r="G695" t="s">
        <v>71</v>
      </c>
      <c r="H695" t="s">
        <v>72</v>
      </c>
      <c r="I695" t="s">
        <v>73</v>
      </c>
      <c r="J695" t="str">
        <f>"45658"</f>
        <v>45658</v>
      </c>
      <c r="K695" t="s">
        <v>1123</v>
      </c>
      <c r="L695" t="s">
        <v>75</v>
      </c>
      <c r="M695" t="s">
        <v>76</v>
      </c>
    </row>
    <row r="696" spans="1:13" x14ac:dyDescent="0.25">
      <c r="B696" t="s">
        <v>67</v>
      </c>
      <c r="C696" s="20">
        <v>6.166666666666667</v>
      </c>
      <c r="D696" t="s">
        <v>68</v>
      </c>
      <c r="E696" t="s">
        <v>69</v>
      </c>
      <c r="F696" t="s">
        <v>70</v>
      </c>
      <c r="G696" t="s">
        <v>71</v>
      </c>
      <c r="H696" t="s">
        <v>72</v>
      </c>
      <c r="I696" t="s">
        <v>73</v>
      </c>
      <c r="J696" t="str">
        <f>"45659"</f>
        <v>45659</v>
      </c>
      <c r="K696" t="s">
        <v>1124</v>
      </c>
      <c r="L696" t="s">
        <v>1125</v>
      </c>
      <c r="M696" t="s">
        <v>76</v>
      </c>
    </row>
    <row r="697" spans="1:13" x14ac:dyDescent="0.25">
      <c r="B697" t="s">
        <v>67</v>
      </c>
      <c r="C697" s="20">
        <v>7.375</v>
      </c>
      <c r="D697" t="s">
        <v>68</v>
      </c>
      <c r="E697" t="s">
        <v>69</v>
      </c>
      <c r="F697" t="s">
        <v>70</v>
      </c>
      <c r="G697" t="s">
        <v>71</v>
      </c>
      <c r="H697" t="s">
        <v>72</v>
      </c>
      <c r="I697" t="s">
        <v>73</v>
      </c>
      <c r="J697" t="str">
        <f>"45660"</f>
        <v>45660</v>
      </c>
      <c r="K697" t="s">
        <v>1126</v>
      </c>
      <c r="L697" t="s">
        <v>328</v>
      </c>
      <c r="M697" t="s">
        <v>76</v>
      </c>
    </row>
    <row r="698" spans="1:13" x14ac:dyDescent="0.25">
      <c r="B698" t="s">
        <v>67</v>
      </c>
      <c r="C698" s="20">
        <v>8.5833333333333339</v>
      </c>
      <c r="D698" t="s">
        <v>68</v>
      </c>
      <c r="E698" t="s">
        <v>69</v>
      </c>
      <c r="F698" t="s">
        <v>70</v>
      </c>
      <c r="G698" t="s">
        <v>71</v>
      </c>
      <c r="H698" t="s">
        <v>72</v>
      </c>
      <c r="I698" t="s">
        <v>73</v>
      </c>
      <c r="J698" t="str">
        <f>"45661"</f>
        <v>45661</v>
      </c>
      <c r="K698" t="s">
        <v>1127</v>
      </c>
      <c r="L698" t="s">
        <v>328</v>
      </c>
      <c r="M698" t="s">
        <v>76</v>
      </c>
    </row>
    <row r="699" spans="1:13" x14ac:dyDescent="0.25">
      <c r="B699" t="s">
        <v>67</v>
      </c>
      <c r="C699" s="20">
        <v>9.7916666666666661</v>
      </c>
      <c r="D699" t="s">
        <v>68</v>
      </c>
      <c r="E699" t="s">
        <v>69</v>
      </c>
      <c r="F699" t="s">
        <v>70</v>
      </c>
      <c r="G699" t="s">
        <v>71</v>
      </c>
      <c r="H699" t="s">
        <v>72</v>
      </c>
      <c r="I699" t="s">
        <v>73</v>
      </c>
      <c r="J699" t="str">
        <f>"45662"</f>
        <v>45662</v>
      </c>
      <c r="K699" t="s">
        <v>1128</v>
      </c>
      <c r="L699" t="s">
        <v>127</v>
      </c>
      <c r="M699" t="s">
        <v>76</v>
      </c>
    </row>
    <row r="700" spans="1:13" x14ac:dyDescent="0.25">
      <c r="B700" t="s">
        <v>67</v>
      </c>
      <c r="C700" s="20">
        <v>11</v>
      </c>
      <c r="D700" t="s">
        <v>68</v>
      </c>
      <c r="E700" t="s">
        <v>69</v>
      </c>
      <c r="F700" t="s">
        <v>70</v>
      </c>
      <c r="G700" t="s">
        <v>71</v>
      </c>
      <c r="H700" t="s">
        <v>72</v>
      </c>
      <c r="I700" t="s">
        <v>73</v>
      </c>
      <c r="J700" t="str">
        <f>"45663"</f>
        <v>45663</v>
      </c>
      <c r="K700" t="s">
        <v>1129</v>
      </c>
      <c r="L700" t="s">
        <v>328</v>
      </c>
      <c r="M700" t="s">
        <v>76</v>
      </c>
    </row>
    <row r="701" spans="1:13" x14ac:dyDescent="0.25">
      <c r="B701" t="s">
        <v>67</v>
      </c>
      <c r="C701" s="20">
        <v>12.208333333333334</v>
      </c>
      <c r="D701" t="s">
        <v>68</v>
      </c>
      <c r="E701" t="s">
        <v>69</v>
      </c>
      <c r="F701" t="s">
        <v>70</v>
      </c>
      <c r="G701" t="s">
        <v>71</v>
      </c>
      <c r="H701" t="s">
        <v>72</v>
      </c>
      <c r="I701" t="s">
        <v>73</v>
      </c>
      <c r="J701" t="str">
        <f>"45664"</f>
        <v>45664</v>
      </c>
      <c r="K701" t="s">
        <v>1130</v>
      </c>
      <c r="L701" t="s">
        <v>328</v>
      </c>
      <c r="M701" t="s">
        <v>76</v>
      </c>
    </row>
    <row r="702" spans="1:13" x14ac:dyDescent="0.25">
      <c r="B702" t="s">
        <v>67</v>
      </c>
      <c r="C702" s="20">
        <v>13.416666666666666</v>
      </c>
      <c r="D702" t="s">
        <v>68</v>
      </c>
      <c r="E702" t="s">
        <v>69</v>
      </c>
      <c r="F702" t="s">
        <v>70</v>
      </c>
      <c r="G702" t="s">
        <v>71</v>
      </c>
      <c r="H702" t="s">
        <v>72</v>
      </c>
      <c r="I702" t="s">
        <v>73</v>
      </c>
      <c r="J702" t="str">
        <f>"45665"</f>
        <v>45665</v>
      </c>
      <c r="K702" t="s">
        <v>1131</v>
      </c>
      <c r="L702" t="s">
        <v>328</v>
      </c>
      <c r="M702" t="s">
        <v>76</v>
      </c>
    </row>
    <row r="703" spans="1:13" x14ac:dyDescent="0.25">
      <c r="B703" t="s">
        <v>67</v>
      </c>
      <c r="C703" s="20">
        <v>14.625</v>
      </c>
      <c r="D703" t="s">
        <v>68</v>
      </c>
      <c r="E703" t="s">
        <v>69</v>
      </c>
      <c r="F703" t="s">
        <v>70</v>
      </c>
      <c r="G703" t="s">
        <v>71</v>
      </c>
      <c r="H703" t="s">
        <v>72</v>
      </c>
      <c r="I703" t="s">
        <v>73</v>
      </c>
      <c r="J703" t="str">
        <f>"45666"</f>
        <v>45666</v>
      </c>
      <c r="K703" t="s">
        <v>1132</v>
      </c>
      <c r="L703" t="s">
        <v>328</v>
      </c>
      <c r="M703" t="s">
        <v>76</v>
      </c>
    </row>
    <row r="704" spans="1:13" x14ac:dyDescent="0.25">
      <c r="B704" t="s">
        <v>67</v>
      </c>
      <c r="C704" s="20">
        <v>15.833333333333334</v>
      </c>
      <c r="D704" t="s">
        <v>68</v>
      </c>
      <c r="E704" t="s">
        <v>69</v>
      </c>
      <c r="F704" t="s">
        <v>70</v>
      </c>
      <c r="G704" t="s">
        <v>71</v>
      </c>
      <c r="H704" t="s">
        <v>72</v>
      </c>
      <c r="I704" t="s">
        <v>73</v>
      </c>
      <c r="J704" t="str">
        <f>"45667"</f>
        <v>45667</v>
      </c>
      <c r="K704" t="s">
        <v>1133</v>
      </c>
      <c r="L704" t="s">
        <v>779</v>
      </c>
      <c r="M704" t="s">
        <v>76</v>
      </c>
    </row>
    <row r="705" spans="2:13" x14ac:dyDescent="0.25">
      <c r="B705" t="s">
        <v>67</v>
      </c>
      <c r="C705" s="20">
        <v>17.041666666666668</v>
      </c>
      <c r="D705" t="s">
        <v>68</v>
      </c>
      <c r="E705" t="s">
        <v>69</v>
      </c>
      <c r="F705" t="s">
        <v>70</v>
      </c>
      <c r="G705" t="s">
        <v>71</v>
      </c>
      <c r="H705" t="s">
        <v>72</v>
      </c>
      <c r="I705" t="s">
        <v>73</v>
      </c>
      <c r="J705" t="str">
        <f>"45668"</f>
        <v>45668</v>
      </c>
      <c r="K705" t="s">
        <v>1134</v>
      </c>
      <c r="L705" t="s">
        <v>127</v>
      </c>
      <c r="M705" t="s">
        <v>76</v>
      </c>
    </row>
    <row r="706" spans="2:13" x14ac:dyDescent="0.25">
      <c r="B706" t="s">
        <v>67</v>
      </c>
      <c r="C706" s="20">
        <v>18.25</v>
      </c>
      <c r="D706" t="s">
        <v>68</v>
      </c>
      <c r="E706" t="s">
        <v>69</v>
      </c>
      <c r="F706" t="s">
        <v>70</v>
      </c>
      <c r="G706" t="s">
        <v>71</v>
      </c>
      <c r="H706" t="s">
        <v>72</v>
      </c>
      <c r="I706" t="s">
        <v>73</v>
      </c>
      <c r="J706" t="str">
        <f>"45669"</f>
        <v>45669</v>
      </c>
      <c r="K706" t="s">
        <v>1135</v>
      </c>
      <c r="L706" t="s">
        <v>127</v>
      </c>
      <c r="M706" t="s">
        <v>76</v>
      </c>
    </row>
    <row r="707" spans="2:13" x14ac:dyDescent="0.25">
      <c r="B707" t="s">
        <v>67</v>
      </c>
      <c r="C707" s="20">
        <v>19.458333333333332</v>
      </c>
      <c r="D707" t="s">
        <v>68</v>
      </c>
      <c r="E707" t="s">
        <v>69</v>
      </c>
      <c r="F707" t="s">
        <v>70</v>
      </c>
      <c r="G707" t="s">
        <v>71</v>
      </c>
      <c r="H707" t="s">
        <v>72</v>
      </c>
      <c r="I707" t="s">
        <v>73</v>
      </c>
      <c r="J707" t="str">
        <f>"45670"</f>
        <v>45670</v>
      </c>
      <c r="K707" t="s">
        <v>1136</v>
      </c>
      <c r="L707" t="s">
        <v>328</v>
      </c>
      <c r="M707" t="s">
        <v>76</v>
      </c>
    </row>
    <row r="708" spans="2:13" x14ac:dyDescent="0.25">
      <c r="B708" t="s">
        <v>67</v>
      </c>
      <c r="C708" s="20">
        <v>20.666666666666668</v>
      </c>
      <c r="D708" t="s">
        <v>68</v>
      </c>
      <c r="E708" t="s">
        <v>69</v>
      </c>
      <c r="F708" t="s">
        <v>70</v>
      </c>
      <c r="G708" t="s">
        <v>71</v>
      </c>
      <c r="H708" t="s">
        <v>72</v>
      </c>
      <c r="I708" t="s">
        <v>73</v>
      </c>
      <c r="J708" t="str">
        <f>"45671"</f>
        <v>45671</v>
      </c>
      <c r="K708" t="s">
        <v>1137</v>
      </c>
      <c r="L708" t="s">
        <v>127</v>
      </c>
      <c r="M708" t="s">
        <v>76</v>
      </c>
    </row>
    <row r="709" spans="2:13" x14ac:dyDescent="0.25">
      <c r="B709" t="s">
        <v>67</v>
      </c>
      <c r="C709" s="20">
        <v>21.875</v>
      </c>
      <c r="D709" t="s">
        <v>68</v>
      </c>
      <c r="E709" t="s">
        <v>69</v>
      </c>
      <c r="F709" t="s">
        <v>70</v>
      </c>
      <c r="G709" t="s">
        <v>71</v>
      </c>
      <c r="H709" t="s">
        <v>72</v>
      </c>
      <c r="I709" t="s">
        <v>73</v>
      </c>
      <c r="J709" t="str">
        <f>"45672"</f>
        <v>45672</v>
      </c>
      <c r="K709" t="s">
        <v>1138</v>
      </c>
      <c r="L709" t="s">
        <v>75</v>
      </c>
      <c r="M709" t="s">
        <v>76</v>
      </c>
    </row>
    <row r="710" spans="2:13" x14ac:dyDescent="0.25">
      <c r="B710" t="s">
        <v>67</v>
      </c>
      <c r="C710" s="20">
        <v>23.083333333333332</v>
      </c>
      <c r="D710" t="s">
        <v>68</v>
      </c>
      <c r="E710" t="s">
        <v>69</v>
      </c>
      <c r="F710" t="s">
        <v>70</v>
      </c>
      <c r="G710" t="s">
        <v>71</v>
      </c>
      <c r="H710" t="s">
        <v>72</v>
      </c>
      <c r="I710" t="s">
        <v>73</v>
      </c>
      <c r="J710" t="str">
        <f>"45673"</f>
        <v>45673</v>
      </c>
      <c r="K710" t="s">
        <v>1139</v>
      </c>
      <c r="L710" t="s">
        <v>328</v>
      </c>
      <c r="M710" t="s">
        <v>76</v>
      </c>
    </row>
    <row r="711" spans="2:13" x14ac:dyDescent="0.25">
      <c r="B711" t="s">
        <v>67</v>
      </c>
      <c r="C711" s="20">
        <v>24.291666666666668</v>
      </c>
      <c r="D711" t="s">
        <v>68</v>
      </c>
      <c r="E711" t="s">
        <v>69</v>
      </c>
      <c r="F711" t="s">
        <v>70</v>
      </c>
      <c r="G711" t="s">
        <v>71</v>
      </c>
      <c r="H711" t="s">
        <v>72</v>
      </c>
      <c r="I711" t="s">
        <v>73</v>
      </c>
      <c r="J711" t="str">
        <f>"45674"</f>
        <v>45674</v>
      </c>
      <c r="K711" t="s">
        <v>1140</v>
      </c>
      <c r="L711" t="s">
        <v>779</v>
      </c>
      <c r="M711" t="s">
        <v>76</v>
      </c>
    </row>
    <row r="712" spans="2:13" x14ac:dyDescent="0.25">
      <c r="B712" t="s">
        <v>67</v>
      </c>
      <c r="C712" s="20">
        <v>25.5</v>
      </c>
      <c r="D712" t="s">
        <v>68</v>
      </c>
      <c r="E712" t="s">
        <v>69</v>
      </c>
      <c r="F712" t="s">
        <v>70</v>
      </c>
      <c r="G712" t="s">
        <v>71</v>
      </c>
      <c r="H712" t="s">
        <v>72</v>
      </c>
      <c r="I712" t="s">
        <v>73</v>
      </c>
      <c r="J712" t="str">
        <f>"45675"</f>
        <v>45675</v>
      </c>
      <c r="K712" t="s">
        <v>1141</v>
      </c>
      <c r="L712" t="s">
        <v>779</v>
      </c>
      <c r="M712" t="s">
        <v>76</v>
      </c>
    </row>
    <row r="713" spans="2:13" x14ac:dyDescent="0.25">
      <c r="B713" t="s">
        <v>67</v>
      </c>
      <c r="C713" s="20">
        <v>26.708333333333332</v>
      </c>
      <c r="D713" t="s">
        <v>68</v>
      </c>
      <c r="E713" t="s">
        <v>69</v>
      </c>
      <c r="F713" t="s">
        <v>70</v>
      </c>
      <c r="G713" t="s">
        <v>71</v>
      </c>
      <c r="H713" t="s">
        <v>72</v>
      </c>
      <c r="I713" t="s">
        <v>73</v>
      </c>
      <c r="J713" t="str">
        <f>"45676"</f>
        <v>45676</v>
      </c>
      <c r="K713" t="s">
        <v>1142</v>
      </c>
      <c r="L713" t="s">
        <v>75</v>
      </c>
      <c r="M713" t="s">
        <v>76</v>
      </c>
    </row>
    <row r="714" spans="2:13" x14ac:dyDescent="0.25">
      <c r="B714" t="s">
        <v>67</v>
      </c>
      <c r="C714" s="20">
        <v>27.916666666666668</v>
      </c>
      <c r="D714" t="s">
        <v>68</v>
      </c>
      <c r="E714" t="s">
        <v>69</v>
      </c>
      <c r="F714" t="s">
        <v>70</v>
      </c>
      <c r="G714" t="s">
        <v>71</v>
      </c>
      <c r="H714" t="s">
        <v>72</v>
      </c>
      <c r="I714" t="s">
        <v>73</v>
      </c>
      <c r="J714" t="str">
        <f>"45677"</f>
        <v>45677</v>
      </c>
      <c r="K714" t="s">
        <v>1143</v>
      </c>
      <c r="L714" t="s">
        <v>328</v>
      </c>
      <c r="M714" t="s">
        <v>76</v>
      </c>
    </row>
    <row r="715" spans="2:13" x14ac:dyDescent="0.25">
      <c r="B715" t="s">
        <v>67</v>
      </c>
      <c r="C715" s="20">
        <v>29.125</v>
      </c>
      <c r="D715" t="s">
        <v>68</v>
      </c>
      <c r="E715" t="s">
        <v>69</v>
      </c>
      <c r="F715" t="s">
        <v>70</v>
      </c>
      <c r="G715" t="s">
        <v>71</v>
      </c>
      <c r="H715" t="s">
        <v>72</v>
      </c>
      <c r="I715" t="s">
        <v>73</v>
      </c>
      <c r="J715" t="str">
        <f>"45678"</f>
        <v>45678</v>
      </c>
      <c r="K715" t="s">
        <v>1144</v>
      </c>
      <c r="L715" t="s">
        <v>779</v>
      </c>
      <c r="M715" t="s">
        <v>76</v>
      </c>
    </row>
    <row r="716" spans="2:13" x14ac:dyDescent="0.25">
      <c r="B716" t="s">
        <v>67</v>
      </c>
      <c r="C716" s="20">
        <v>30.333333333333332</v>
      </c>
      <c r="D716" t="s">
        <v>68</v>
      </c>
      <c r="E716" t="s">
        <v>69</v>
      </c>
      <c r="F716" t="s">
        <v>70</v>
      </c>
      <c r="G716" t="s">
        <v>71</v>
      </c>
      <c r="H716" t="s">
        <v>72</v>
      </c>
      <c r="I716" t="s">
        <v>73</v>
      </c>
      <c r="J716" t="str">
        <f>"45679"</f>
        <v>45679</v>
      </c>
      <c r="K716" t="s">
        <v>1145</v>
      </c>
      <c r="L716" t="s">
        <v>1125</v>
      </c>
      <c r="M716" t="s">
        <v>76</v>
      </c>
    </row>
    <row r="717" spans="2:13" x14ac:dyDescent="0.25">
      <c r="B717" t="s">
        <v>67</v>
      </c>
      <c r="C717" s="20">
        <v>31.541666666666668</v>
      </c>
      <c r="D717" t="s">
        <v>68</v>
      </c>
      <c r="E717" t="s">
        <v>69</v>
      </c>
      <c r="F717" t="s">
        <v>70</v>
      </c>
      <c r="G717" t="s">
        <v>71</v>
      </c>
      <c r="H717" t="s">
        <v>72</v>
      </c>
      <c r="I717" t="s">
        <v>73</v>
      </c>
      <c r="J717" t="str">
        <f>"45680"</f>
        <v>45680</v>
      </c>
      <c r="K717" t="s">
        <v>1146</v>
      </c>
      <c r="L717" t="s">
        <v>328</v>
      </c>
      <c r="M717" t="s">
        <v>76</v>
      </c>
    </row>
    <row r="718" spans="2:13" x14ac:dyDescent="0.25">
      <c r="B718" t="s">
        <v>67</v>
      </c>
      <c r="C718" s="20">
        <v>32.75</v>
      </c>
      <c r="D718" t="s">
        <v>68</v>
      </c>
      <c r="E718" t="s">
        <v>69</v>
      </c>
      <c r="F718" t="s">
        <v>70</v>
      </c>
      <c r="G718" t="s">
        <v>71</v>
      </c>
      <c r="H718" t="s">
        <v>72</v>
      </c>
      <c r="I718" t="s">
        <v>73</v>
      </c>
      <c r="J718" t="str">
        <f>"45681"</f>
        <v>45681</v>
      </c>
      <c r="K718" t="s">
        <v>1147</v>
      </c>
      <c r="L718" t="s">
        <v>328</v>
      </c>
      <c r="M718" t="s">
        <v>76</v>
      </c>
    </row>
    <row r="719" spans="2:13" x14ac:dyDescent="0.25">
      <c r="B719" t="s">
        <v>67</v>
      </c>
      <c r="C719" s="20">
        <v>33.958333333333336</v>
      </c>
      <c r="D719" t="s">
        <v>68</v>
      </c>
      <c r="E719" t="s">
        <v>69</v>
      </c>
      <c r="F719" t="s">
        <v>70</v>
      </c>
      <c r="G719" t="s">
        <v>71</v>
      </c>
      <c r="H719" t="s">
        <v>72</v>
      </c>
      <c r="I719" t="s">
        <v>73</v>
      </c>
      <c r="J719" t="str">
        <f>"45682"</f>
        <v>45682</v>
      </c>
      <c r="K719" t="s">
        <v>1148</v>
      </c>
      <c r="L719" t="s">
        <v>75</v>
      </c>
      <c r="M719" t="s">
        <v>76</v>
      </c>
    </row>
    <row r="720" spans="2:13" x14ac:dyDescent="0.25">
      <c r="B720" t="s">
        <v>67</v>
      </c>
      <c r="C720" s="20">
        <v>35.166666666666664</v>
      </c>
      <c r="D720" t="s">
        <v>68</v>
      </c>
      <c r="E720" t="s">
        <v>69</v>
      </c>
      <c r="F720" t="s">
        <v>70</v>
      </c>
      <c r="G720" t="s">
        <v>71</v>
      </c>
      <c r="H720" t="s">
        <v>72</v>
      </c>
      <c r="I720" t="s">
        <v>73</v>
      </c>
      <c r="J720" t="str">
        <f>"45683"</f>
        <v>45683</v>
      </c>
      <c r="K720" t="s">
        <v>1149</v>
      </c>
      <c r="L720" t="s">
        <v>328</v>
      </c>
      <c r="M720" t="s">
        <v>76</v>
      </c>
    </row>
    <row r="721" spans="2:13" x14ac:dyDescent="0.25">
      <c r="B721" t="s">
        <v>67</v>
      </c>
      <c r="C721" s="20">
        <v>36.375</v>
      </c>
      <c r="D721" t="s">
        <v>68</v>
      </c>
      <c r="E721" t="s">
        <v>69</v>
      </c>
      <c r="F721" t="s">
        <v>70</v>
      </c>
      <c r="G721" t="s">
        <v>71</v>
      </c>
      <c r="H721" t="s">
        <v>72</v>
      </c>
      <c r="I721" t="s">
        <v>73</v>
      </c>
      <c r="J721" t="str">
        <f>"45684"</f>
        <v>45684</v>
      </c>
      <c r="K721" t="s">
        <v>1150</v>
      </c>
      <c r="L721" t="s">
        <v>75</v>
      </c>
      <c r="M721" t="s">
        <v>76</v>
      </c>
    </row>
    <row r="722" spans="2:13" x14ac:dyDescent="0.25">
      <c r="B722" t="s">
        <v>67</v>
      </c>
      <c r="C722" s="20">
        <v>37.583333333333336</v>
      </c>
      <c r="D722" t="s">
        <v>68</v>
      </c>
      <c r="E722" t="s">
        <v>69</v>
      </c>
      <c r="F722" t="s">
        <v>70</v>
      </c>
      <c r="G722" t="s">
        <v>71</v>
      </c>
      <c r="H722" t="s">
        <v>72</v>
      </c>
      <c r="I722" t="s">
        <v>73</v>
      </c>
      <c r="J722" t="str">
        <f>"45685"</f>
        <v>45685</v>
      </c>
      <c r="K722" t="s">
        <v>1151</v>
      </c>
      <c r="L722" t="s">
        <v>1125</v>
      </c>
      <c r="M722" t="s">
        <v>76</v>
      </c>
    </row>
    <row r="723" spans="2:13" x14ac:dyDescent="0.25">
      <c r="B723" t="s">
        <v>67</v>
      </c>
      <c r="C723" s="20">
        <v>38.791666666666664</v>
      </c>
      <c r="D723" t="s">
        <v>68</v>
      </c>
      <c r="E723" t="s">
        <v>69</v>
      </c>
      <c r="F723" t="s">
        <v>70</v>
      </c>
      <c r="G723" t="s">
        <v>71</v>
      </c>
      <c r="H723" t="s">
        <v>72</v>
      </c>
      <c r="I723" t="s">
        <v>73</v>
      </c>
      <c r="J723" t="str">
        <f>"45686"</f>
        <v>45686</v>
      </c>
      <c r="K723" t="s">
        <v>1152</v>
      </c>
      <c r="L723" t="s">
        <v>328</v>
      </c>
      <c r="M723" t="s">
        <v>76</v>
      </c>
    </row>
    <row r="724" spans="2:13" x14ac:dyDescent="0.25">
      <c r="B724" t="s">
        <v>67</v>
      </c>
      <c r="C724" s="20">
        <v>40</v>
      </c>
      <c r="D724" t="s">
        <v>68</v>
      </c>
      <c r="E724" t="s">
        <v>69</v>
      </c>
      <c r="F724" t="s">
        <v>70</v>
      </c>
      <c r="G724" t="s">
        <v>71</v>
      </c>
      <c r="H724" t="s">
        <v>72</v>
      </c>
      <c r="I724" t="s">
        <v>73</v>
      </c>
      <c r="J724" t="str">
        <f>"45687"</f>
        <v>45687</v>
      </c>
      <c r="K724" t="s">
        <v>1153</v>
      </c>
      <c r="L724" t="s">
        <v>779</v>
      </c>
      <c r="M724" t="s">
        <v>76</v>
      </c>
    </row>
    <row r="725" spans="2:13" x14ac:dyDescent="0.25">
      <c r="B725" t="s">
        <v>67</v>
      </c>
      <c r="C725" s="20">
        <v>41.208333333333336</v>
      </c>
      <c r="D725" t="s">
        <v>68</v>
      </c>
      <c r="E725" t="s">
        <v>69</v>
      </c>
      <c r="F725" t="s">
        <v>70</v>
      </c>
      <c r="G725" t="s">
        <v>71</v>
      </c>
      <c r="H725" t="s">
        <v>72</v>
      </c>
      <c r="I725" t="s">
        <v>73</v>
      </c>
      <c r="J725" t="str">
        <f>"45688"</f>
        <v>45688</v>
      </c>
      <c r="K725" t="s">
        <v>1154</v>
      </c>
      <c r="L725" t="s">
        <v>779</v>
      </c>
      <c r="M725" t="s">
        <v>76</v>
      </c>
    </row>
    <row r="726" spans="2:13" x14ac:dyDescent="0.25">
      <c r="B726" t="s">
        <v>67</v>
      </c>
      <c r="C726" s="20">
        <v>42.416666666666664</v>
      </c>
      <c r="D726" t="s">
        <v>68</v>
      </c>
      <c r="E726" t="s">
        <v>69</v>
      </c>
      <c r="F726" t="s">
        <v>70</v>
      </c>
      <c r="G726" t="s">
        <v>71</v>
      </c>
      <c r="H726" t="s">
        <v>72</v>
      </c>
      <c r="I726" t="s">
        <v>73</v>
      </c>
      <c r="J726" t="str">
        <f>"45689"</f>
        <v>45689</v>
      </c>
      <c r="K726" t="s">
        <v>1155</v>
      </c>
      <c r="L726" t="s">
        <v>779</v>
      </c>
      <c r="M726" t="s">
        <v>76</v>
      </c>
    </row>
    <row r="727" spans="2:13" x14ac:dyDescent="0.25">
      <c r="B727" t="s">
        <v>67</v>
      </c>
      <c r="C727" s="20">
        <v>43.625</v>
      </c>
      <c r="D727" t="s">
        <v>68</v>
      </c>
      <c r="E727" t="s">
        <v>69</v>
      </c>
      <c r="F727" t="s">
        <v>70</v>
      </c>
      <c r="G727" t="s">
        <v>71</v>
      </c>
      <c r="H727" t="s">
        <v>72</v>
      </c>
      <c r="I727" t="s">
        <v>73</v>
      </c>
      <c r="J727" t="str">
        <f>"45690"</f>
        <v>45690</v>
      </c>
      <c r="K727" t="s">
        <v>1156</v>
      </c>
      <c r="L727" t="s">
        <v>1125</v>
      </c>
      <c r="M727" t="s">
        <v>76</v>
      </c>
    </row>
    <row r="728" spans="2:13" x14ac:dyDescent="0.25">
      <c r="B728" t="s">
        <v>67</v>
      </c>
      <c r="C728" s="20">
        <v>44.833333333333336</v>
      </c>
      <c r="D728" t="s">
        <v>68</v>
      </c>
      <c r="E728" t="s">
        <v>69</v>
      </c>
      <c r="F728" t="s">
        <v>70</v>
      </c>
      <c r="G728" t="s">
        <v>71</v>
      </c>
      <c r="H728" t="s">
        <v>72</v>
      </c>
      <c r="I728" t="s">
        <v>73</v>
      </c>
      <c r="J728" t="str">
        <f>"45691"</f>
        <v>45691</v>
      </c>
      <c r="K728" t="s">
        <v>1157</v>
      </c>
      <c r="L728" t="s">
        <v>328</v>
      </c>
      <c r="M728" t="s">
        <v>76</v>
      </c>
    </row>
    <row r="729" spans="2:13" x14ac:dyDescent="0.25">
      <c r="B729" t="s">
        <v>67</v>
      </c>
      <c r="C729" s="20">
        <v>46.041666666666664</v>
      </c>
      <c r="D729" t="s">
        <v>68</v>
      </c>
      <c r="E729" t="s">
        <v>69</v>
      </c>
      <c r="F729" t="s">
        <v>70</v>
      </c>
      <c r="G729" t="s">
        <v>71</v>
      </c>
      <c r="H729" t="s">
        <v>72</v>
      </c>
      <c r="I729" t="s">
        <v>73</v>
      </c>
      <c r="J729" t="str">
        <f>"45692"</f>
        <v>45692</v>
      </c>
      <c r="K729" t="s">
        <v>1158</v>
      </c>
      <c r="L729" t="s">
        <v>127</v>
      </c>
      <c r="M729" t="s">
        <v>76</v>
      </c>
    </row>
    <row r="730" spans="2:13" x14ac:dyDescent="0.25">
      <c r="B730" t="s">
        <v>67</v>
      </c>
      <c r="C730" s="20">
        <v>47.25</v>
      </c>
      <c r="D730" t="s">
        <v>68</v>
      </c>
      <c r="E730" t="s">
        <v>69</v>
      </c>
      <c r="F730" t="s">
        <v>70</v>
      </c>
      <c r="G730" t="s">
        <v>71</v>
      </c>
      <c r="H730" t="s">
        <v>72</v>
      </c>
      <c r="I730" t="s">
        <v>73</v>
      </c>
      <c r="J730" t="str">
        <f>"45693"</f>
        <v>45693</v>
      </c>
      <c r="K730" t="s">
        <v>1159</v>
      </c>
      <c r="L730" t="s">
        <v>1125</v>
      </c>
      <c r="M730" t="s">
        <v>76</v>
      </c>
    </row>
    <row r="731" spans="2:13" x14ac:dyDescent="0.25">
      <c r="B731" t="s">
        <v>67</v>
      </c>
      <c r="C731" s="20">
        <v>48.458333333333336</v>
      </c>
      <c r="D731" t="s">
        <v>68</v>
      </c>
      <c r="E731" t="s">
        <v>69</v>
      </c>
      <c r="F731" t="s">
        <v>70</v>
      </c>
      <c r="G731" t="s">
        <v>71</v>
      </c>
      <c r="H731" t="s">
        <v>72</v>
      </c>
      <c r="I731" t="s">
        <v>73</v>
      </c>
      <c r="J731" t="str">
        <f>"45694"</f>
        <v>45694</v>
      </c>
      <c r="K731" t="s">
        <v>1160</v>
      </c>
      <c r="L731" t="s">
        <v>127</v>
      </c>
      <c r="M731" t="s">
        <v>76</v>
      </c>
    </row>
    <row r="732" spans="2:13" x14ac:dyDescent="0.25">
      <c r="B732" t="s">
        <v>67</v>
      </c>
      <c r="C732" s="20">
        <v>49.666666666666664</v>
      </c>
      <c r="D732" t="s">
        <v>68</v>
      </c>
      <c r="E732" t="s">
        <v>69</v>
      </c>
      <c r="F732" t="s">
        <v>70</v>
      </c>
      <c r="G732" t="s">
        <v>71</v>
      </c>
      <c r="H732" t="s">
        <v>72</v>
      </c>
      <c r="I732" t="s">
        <v>73</v>
      </c>
      <c r="J732" t="str">
        <f>"45695"</f>
        <v>45695</v>
      </c>
      <c r="K732" t="s">
        <v>1161</v>
      </c>
      <c r="L732" t="s">
        <v>127</v>
      </c>
      <c r="M732" t="s">
        <v>76</v>
      </c>
    </row>
    <row r="733" spans="2:13" x14ac:dyDescent="0.25">
      <c r="B733" t="s">
        <v>67</v>
      </c>
      <c r="C733" s="20">
        <v>50.875</v>
      </c>
      <c r="D733" t="s">
        <v>68</v>
      </c>
      <c r="E733" t="s">
        <v>69</v>
      </c>
      <c r="F733" t="s">
        <v>70</v>
      </c>
      <c r="G733" t="s">
        <v>71</v>
      </c>
      <c r="H733" t="s">
        <v>72</v>
      </c>
      <c r="I733" t="s">
        <v>73</v>
      </c>
      <c r="J733" t="str">
        <f>"45696"</f>
        <v>45696</v>
      </c>
      <c r="K733" t="s">
        <v>1162</v>
      </c>
      <c r="L733" t="s">
        <v>127</v>
      </c>
      <c r="M733" t="s">
        <v>76</v>
      </c>
    </row>
    <row r="734" spans="2:13" x14ac:dyDescent="0.25">
      <c r="B734" t="s">
        <v>67</v>
      </c>
      <c r="C734" s="20">
        <v>52.083333333333336</v>
      </c>
      <c r="D734" t="s">
        <v>68</v>
      </c>
      <c r="E734" t="s">
        <v>69</v>
      </c>
      <c r="F734" t="s">
        <v>70</v>
      </c>
      <c r="G734" t="s">
        <v>71</v>
      </c>
      <c r="H734" t="s">
        <v>72</v>
      </c>
      <c r="I734" t="s">
        <v>73</v>
      </c>
      <c r="J734" t="str">
        <f>"45697"</f>
        <v>45697</v>
      </c>
      <c r="K734" t="s">
        <v>1163</v>
      </c>
      <c r="L734" t="s">
        <v>75</v>
      </c>
      <c r="M734" t="s">
        <v>76</v>
      </c>
    </row>
    <row r="735" spans="2:13" x14ac:dyDescent="0.25">
      <c r="B735" t="s">
        <v>67</v>
      </c>
      <c r="C735" s="20">
        <v>53.291666666666664</v>
      </c>
      <c r="D735" t="s">
        <v>68</v>
      </c>
      <c r="E735" t="s">
        <v>69</v>
      </c>
      <c r="F735" t="s">
        <v>70</v>
      </c>
      <c r="G735" t="s">
        <v>71</v>
      </c>
      <c r="H735" t="s">
        <v>72</v>
      </c>
      <c r="I735" t="s">
        <v>73</v>
      </c>
      <c r="J735" t="str">
        <f>"45698"</f>
        <v>45698</v>
      </c>
      <c r="K735" t="s">
        <v>1164</v>
      </c>
      <c r="L735" t="s">
        <v>328</v>
      </c>
      <c r="M735" t="s">
        <v>76</v>
      </c>
    </row>
    <row r="736" spans="2:13" x14ac:dyDescent="0.25">
      <c r="B736" t="s">
        <v>67</v>
      </c>
      <c r="C736" s="20">
        <v>54.5</v>
      </c>
      <c r="D736" t="s">
        <v>68</v>
      </c>
      <c r="E736" t="s">
        <v>69</v>
      </c>
      <c r="F736" t="s">
        <v>70</v>
      </c>
      <c r="G736" t="s">
        <v>71</v>
      </c>
      <c r="H736" t="s">
        <v>72</v>
      </c>
      <c r="I736" t="s">
        <v>73</v>
      </c>
      <c r="J736" t="str">
        <f>"45699"</f>
        <v>45699</v>
      </c>
      <c r="K736" t="s">
        <v>1165</v>
      </c>
      <c r="L736" t="s">
        <v>127</v>
      </c>
      <c r="M736" t="s">
        <v>76</v>
      </c>
    </row>
    <row r="737" spans="2:13" x14ac:dyDescent="0.25">
      <c r="B737" t="s">
        <v>67</v>
      </c>
      <c r="C737" s="20">
        <v>55.708333333333336</v>
      </c>
      <c r="D737" t="s">
        <v>68</v>
      </c>
      <c r="E737" t="s">
        <v>69</v>
      </c>
      <c r="F737" t="s">
        <v>70</v>
      </c>
      <c r="G737" t="s">
        <v>71</v>
      </c>
      <c r="H737" t="s">
        <v>72</v>
      </c>
      <c r="I737" t="s">
        <v>73</v>
      </c>
      <c r="J737" t="str">
        <f>"45700"</f>
        <v>45700</v>
      </c>
      <c r="K737" t="s">
        <v>1166</v>
      </c>
      <c r="L737" t="s">
        <v>1125</v>
      </c>
      <c r="M737" t="s">
        <v>76</v>
      </c>
    </row>
    <row r="738" spans="2:13" x14ac:dyDescent="0.25">
      <c r="B738" t="s">
        <v>67</v>
      </c>
      <c r="C738" s="20">
        <v>56.916666666666664</v>
      </c>
      <c r="D738" t="s">
        <v>68</v>
      </c>
      <c r="E738" t="s">
        <v>69</v>
      </c>
      <c r="F738" t="s">
        <v>70</v>
      </c>
      <c r="G738" t="s">
        <v>71</v>
      </c>
      <c r="H738" t="s">
        <v>72</v>
      </c>
      <c r="I738" t="s">
        <v>73</v>
      </c>
      <c r="J738" t="str">
        <f>"45701"</f>
        <v>45701</v>
      </c>
      <c r="K738" t="s">
        <v>1167</v>
      </c>
      <c r="L738" t="s">
        <v>779</v>
      </c>
      <c r="M738" t="s">
        <v>76</v>
      </c>
    </row>
    <row r="739" spans="2:13" x14ac:dyDescent="0.25">
      <c r="B739" t="s">
        <v>67</v>
      </c>
      <c r="C739" s="20">
        <v>58.125</v>
      </c>
      <c r="D739" t="s">
        <v>68</v>
      </c>
      <c r="E739" t="s">
        <v>69</v>
      </c>
      <c r="F739" t="s">
        <v>70</v>
      </c>
      <c r="G739" t="s">
        <v>71</v>
      </c>
      <c r="H739" t="s">
        <v>72</v>
      </c>
      <c r="I739" t="s">
        <v>73</v>
      </c>
      <c r="J739" t="str">
        <f>"45702"</f>
        <v>45702</v>
      </c>
      <c r="K739" t="s">
        <v>1168</v>
      </c>
      <c r="L739" t="s">
        <v>1125</v>
      </c>
      <c r="M739" t="s">
        <v>76</v>
      </c>
    </row>
    <row r="740" spans="2:13" x14ac:dyDescent="0.25">
      <c r="B740" t="s">
        <v>67</v>
      </c>
      <c r="C740" s="20">
        <v>59.333333333333336</v>
      </c>
      <c r="D740" t="s">
        <v>68</v>
      </c>
      <c r="E740" t="s">
        <v>69</v>
      </c>
      <c r="F740" t="s">
        <v>70</v>
      </c>
      <c r="G740" t="s">
        <v>71</v>
      </c>
      <c r="H740" t="s">
        <v>72</v>
      </c>
      <c r="I740" t="s">
        <v>73</v>
      </c>
      <c r="J740" t="str">
        <f>"45703"</f>
        <v>45703</v>
      </c>
      <c r="K740" t="s">
        <v>1169</v>
      </c>
      <c r="L740" t="s">
        <v>328</v>
      </c>
      <c r="M740" t="s">
        <v>76</v>
      </c>
    </row>
    <row r="741" spans="2:13" x14ac:dyDescent="0.25">
      <c r="B741" t="s">
        <v>67</v>
      </c>
      <c r="C741" s="20">
        <v>60.541666666666664</v>
      </c>
      <c r="D741" t="s">
        <v>68</v>
      </c>
      <c r="E741" t="s">
        <v>69</v>
      </c>
      <c r="F741" t="s">
        <v>70</v>
      </c>
      <c r="G741" t="s">
        <v>71</v>
      </c>
      <c r="H741" t="s">
        <v>72</v>
      </c>
      <c r="I741" t="s">
        <v>73</v>
      </c>
      <c r="J741" t="str">
        <f>"45704"</f>
        <v>45704</v>
      </c>
      <c r="K741" t="s">
        <v>1170</v>
      </c>
      <c r="L741" t="s">
        <v>328</v>
      </c>
      <c r="M741" t="s">
        <v>76</v>
      </c>
    </row>
    <row r="742" spans="2:13" x14ac:dyDescent="0.25">
      <c r="B742" t="s">
        <v>67</v>
      </c>
      <c r="C742" s="20">
        <v>61.75</v>
      </c>
      <c r="D742" t="s">
        <v>68</v>
      </c>
      <c r="E742" t="s">
        <v>69</v>
      </c>
      <c r="F742" t="s">
        <v>70</v>
      </c>
      <c r="G742" t="s">
        <v>71</v>
      </c>
      <c r="H742" t="s">
        <v>72</v>
      </c>
      <c r="I742" t="s">
        <v>73</v>
      </c>
      <c r="J742" t="str">
        <f>"45705"</f>
        <v>45705</v>
      </c>
      <c r="K742" t="s">
        <v>1171</v>
      </c>
      <c r="L742" t="s">
        <v>127</v>
      </c>
      <c r="M742" t="s">
        <v>76</v>
      </c>
    </row>
    <row r="743" spans="2:13" x14ac:dyDescent="0.25">
      <c r="B743" t="s">
        <v>67</v>
      </c>
      <c r="C743" s="20">
        <v>62.958333333333336</v>
      </c>
      <c r="D743" t="s">
        <v>68</v>
      </c>
      <c r="E743" t="s">
        <v>69</v>
      </c>
      <c r="F743" t="s">
        <v>70</v>
      </c>
      <c r="G743" t="s">
        <v>71</v>
      </c>
      <c r="H743" t="s">
        <v>72</v>
      </c>
      <c r="I743" t="s">
        <v>73</v>
      </c>
      <c r="J743" t="str">
        <f>"45706"</f>
        <v>45706</v>
      </c>
      <c r="K743" t="s">
        <v>1172</v>
      </c>
      <c r="L743" t="s">
        <v>75</v>
      </c>
      <c r="M743" t="s">
        <v>76</v>
      </c>
    </row>
    <row r="744" spans="2:13" x14ac:dyDescent="0.25">
      <c r="B744" t="s">
        <v>67</v>
      </c>
      <c r="C744" s="20">
        <v>64.166666666666671</v>
      </c>
      <c r="D744" t="s">
        <v>68</v>
      </c>
      <c r="E744" t="s">
        <v>69</v>
      </c>
      <c r="F744" t="s">
        <v>70</v>
      </c>
      <c r="G744" t="s">
        <v>71</v>
      </c>
      <c r="H744" t="s">
        <v>72</v>
      </c>
      <c r="I744" t="s">
        <v>73</v>
      </c>
      <c r="J744" t="str">
        <f>"45707"</f>
        <v>45707</v>
      </c>
      <c r="K744" t="s">
        <v>1173</v>
      </c>
      <c r="L744" t="s">
        <v>779</v>
      </c>
      <c r="M744" t="s">
        <v>76</v>
      </c>
    </row>
    <row r="745" spans="2:13" x14ac:dyDescent="0.25">
      <c r="B745" t="s">
        <v>67</v>
      </c>
      <c r="C745" s="20">
        <v>65.375</v>
      </c>
      <c r="D745" t="s">
        <v>68</v>
      </c>
      <c r="E745" t="s">
        <v>69</v>
      </c>
      <c r="F745" t="s">
        <v>70</v>
      </c>
      <c r="G745" t="s">
        <v>71</v>
      </c>
      <c r="H745" t="s">
        <v>72</v>
      </c>
      <c r="I745" t="s">
        <v>73</v>
      </c>
      <c r="J745" t="str">
        <f>"45708"</f>
        <v>45708</v>
      </c>
      <c r="K745" t="s">
        <v>1174</v>
      </c>
      <c r="L745" t="s">
        <v>328</v>
      </c>
      <c r="M745" t="s">
        <v>76</v>
      </c>
    </row>
    <row r="746" spans="2:13" x14ac:dyDescent="0.25">
      <c r="B746" t="s">
        <v>67</v>
      </c>
      <c r="C746" s="20">
        <v>66.583333333333329</v>
      </c>
      <c r="D746" t="s">
        <v>68</v>
      </c>
      <c r="E746" t="s">
        <v>69</v>
      </c>
      <c r="F746" t="s">
        <v>70</v>
      </c>
      <c r="G746" t="s">
        <v>71</v>
      </c>
      <c r="H746" t="s">
        <v>72</v>
      </c>
      <c r="I746" t="s">
        <v>73</v>
      </c>
      <c r="J746" t="str">
        <f>"45709"</f>
        <v>45709</v>
      </c>
      <c r="K746" t="s">
        <v>1175</v>
      </c>
      <c r="L746" t="s">
        <v>779</v>
      </c>
      <c r="M746" t="s">
        <v>76</v>
      </c>
    </row>
    <row r="747" spans="2:13" x14ac:dyDescent="0.25">
      <c r="B747" t="s">
        <v>67</v>
      </c>
      <c r="C747" s="20">
        <v>67.791666666666671</v>
      </c>
      <c r="D747" t="s">
        <v>68</v>
      </c>
      <c r="E747" t="s">
        <v>69</v>
      </c>
      <c r="F747" t="s">
        <v>70</v>
      </c>
      <c r="G747" t="s">
        <v>71</v>
      </c>
      <c r="H747" t="s">
        <v>72</v>
      </c>
      <c r="I747" t="s">
        <v>73</v>
      </c>
      <c r="J747" t="str">
        <f>"45710"</f>
        <v>45710</v>
      </c>
      <c r="K747" t="s">
        <v>1176</v>
      </c>
      <c r="L747" t="s">
        <v>328</v>
      </c>
      <c r="M747" t="s">
        <v>76</v>
      </c>
    </row>
    <row r="748" spans="2:13" x14ac:dyDescent="0.25">
      <c r="B748" t="s">
        <v>67</v>
      </c>
      <c r="C748" s="20">
        <v>69</v>
      </c>
      <c r="D748" t="s">
        <v>68</v>
      </c>
      <c r="E748" t="s">
        <v>69</v>
      </c>
      <c r="F748" t="s">
        <v>70</v>
      </c>
      <c r="G748" t="s">
        <v>71</v>
      </c>
      <c r="H748" t="s">
        <v>72</v>
      </c>
      <c r="I748" t="s">
        <v>73</v>
      </c>
      <c r="J748" t="str">
        <f>"45711"</f>
        <v>45711</v>
      </c>
      <c r="K748" t="s">
        <v>1177</v>
      </c>
      <c r="L748" t="s">
        <v>1125</v>
      </c>
      <c r="M748" t="s">
        <v>76</v>
      </c>
    </row>
    <row r="749" spans="2:13" x14ac:dyDescent="0.25">
      <c r="B749" t="s">
        <v>67</v>
      </c>
      <c r="C749" s="20">
        <v>70.208333333333329</v>
      </c>
      <c r="D749" t="s">
        <v>68</v>
      </c>
      <c r="E749" t="s">
        <v>69</v>
      </c>
      <c r="F749" t="s">
        <v>70</v>
      </c>
      <c r="G749" t="s">
        <v>71</v>
      </c>
      <c r="H749" t="s">
        <v>72</v>
      </c>
      <c r="I749" t="s">
        <v>73</v>
      </c>
      <c r="J749" t="str">
        <f>"45712"</f>
        <v>45712</v>
      </c>
      <c r="K749" t="s">
        <v>1178</v>
      </c>
      <c r="L749" t="s">
        <v>127</v>
      </c>
      <c r="M749" t="s">
        <v>76</v>
      </c>
    </row>
    <row r="750" spans="2:13" x14ac:dyDescent="0.25">
      <c r="B750" t="s">
        <v>67</v>
      </c>
      <c r="C750" s="20">
        <v>71.416666666666671</v>
      </c>
      <c r="D750" t="s">
        <v>68</v>
      </c>
      <c r="E750" t="s">
        <v>69</v>
      </c>
      <c r="F750" t="s">
        <v>70</v>
      </c>
      <c r="G750" t="s">
        <v>71</v>
      </c>
      <c r="H750" t="s">
        <v>72</v>
      </c>
      <c r="I750" t="s">
        <v>73</v>
      </c>
      <c r="J750" t="str">
        <f>"45713"</f>
        <v>45713</v>
      </c>
      <c r="K750" t="s">
        <v>1179</v>
      </c>
      <c r="L750" t="s">
        <v>1125</v>
      </c>
      <c r="M750" t="s">
        <v>76</v>
      </c>
    </row>
    <row r="751" spans="2:13" x14ac:dyDescent="0.25">
      <c r="B751" t="s">
        <v>67</v>
      </c>
      <c r="C751" s="20">
        <v>72.625</v>
      </c>
      <c r="D751" t="s">
        <v>68</v>
      </c>
      <c r="E751" t="s">
        <v>69</v>
      </c>
      <c r="F751" t="s">
        <v>70</v>
      </c>
      <c r="G751" t="s">
        <v>71</v>
      </c>
      <c r="H751" t="s">
        <v>72</v>
      </c>
      <c r="I751" t="s">
        <v>73</v>
      </c>
      <c r="J751" t="str">
        <f>"45714"</f>
        <v>45714</v>
      </c>
      <c r="K751" t="s">
        <v>1180</v>
      </c>
      <c r="L751" t="s">
        <v>127</v>
      </c>
      <c r="M751" t="s">
        <v>76</v>
      </c>
    </row>
    <row r="752" spans="2:13" x14ac:dyDescent="0.25">
      <c r="B752" t="s">
        <v>67</v>
      </c>
      <c r="C752" s="20">
        <v>73.833333333333329</v>
      </c>
      <c r="D752" t="s">
        <v>68</v>
      </c>
      <c r="E752" t="s">
        <v>69</v>
      </c>
      <c r="F752" t="s">
        <v>70</v>
      </c>
      <c r="G752" t="s">
        <v>71</v>
      </c>
      <c r="H752" t="s">
        <v>72</v>
      </c>
      <c r="I752" t="s">
        <v>73</v>
      </c>
      <c r="J752" t="str">
        <f>"45715"</f>
        <v>45715</v>
      </c>
      <c r="K752" t="s">
        <v>1181</v>
      </c>
      <c r="L752" t="s">
        <v>328</v>
      </c>
      <c r="M752" t="s">
        <v>76</v>
      </c>
    </row>
    <row r="753" spans="2:13" x14ac:dyDescent="0.25">
      <c r="B753" t="s">
        <v>67</v>
      </c>
      <c r="C753" s="20">
        <v>75.041666666666671</v>
      </c>
      <c r="D753" t="s">
        <v>68</v>
      </c>
      <c r="E753" t="s">
        <v>69</v>
      </c>
      <c r="F753" t="s">
        <v>70</v>
      </c>
      <c r="G753" t="s">
        <v>71</v>
      </c>
      <c r="H753" t="s">
        <v>72</v>
      </c>
      <c r="I753" t="s">
        <v>73</v>
      </c>
      <c r="J753" t="str">
        <f>"45716"</f>
        <v>45716</v>
      </c>
      <c r="K753" t="s">
        <v>1182</v>
      </c>
      <c r="L753" t="s">
        <v>779</v>
      </c>
      <c r="M753" t="s">
        <v>76</v>
      </c>
    </row>
    <row r="754" spans="2:13" x14ac:dyDescent="0.25">
      <c r="B754" t="s">
        <v>67</v>
      </c>
      <c r="C754" s="20">
        <v>76.25</v>
      </c>
      <c r="D754" t="s">
        <v>68</v>
      </c>
      <c r="E754" t="s">
        <v>69</v>
      </c>
      <c r="F754" t="s">
        <v>70</v>
      </c>
      <c r="G754" t="s">
        <v>71</v>
      </c>
      <c r="H754" t="s">
        <v>72</v>
      </c>
      <c r="I754" t="s">
        <v>73</v>
      </c>
      <c r="J754" t="str">
        <f>"45717"</f>
        <v>45717</v>
      </c>
      <c r="K754" t="s">
        <v>1183</v>
      </c>
      <c r="L754" t="s">
        <v>127</v>
      </c>
      <c r="M754" t="s">
        <v>76</v>
      </c>
    </row>
    <row r="755" spans="2:13" x14ac:dyDescent="0.25">
      <c r="B755" t="s">
        <v>67</v>
      </c>
      <c r="C755" s="20">
        <v>77.458333333333329</v>
      </c>
      <c r="D755" t="s">
        <v>68</v>
      </c>
      <c r="E755" t="s">
        <v>69</v>
      </c>
      <c r="F755" t="s">
        <v>70</v>
      </c>
      <c r="G755" t="s">
        <v>71</v>
      </c>
      <c r="H755" t="s">
        <v>72</v>
      </c>
      <c r="I755" t="s">
        <v>73</v>
      </c>
      <c r="J755" t="str">
        <f>"45718"</f>
        <v>45718</v>
      </c>
      <c r="K755" t="s">
        <v>1184</v>
      </c>
      <c r="L755" t="s">
        <v>779</v>
      </c>
      <c r="M755" t="s">
        <v>76</v>
      </c>
    </row>
    <row r="756" spans="2:13" x14ac:dyDescent="0.25">
      <c r="B756" t="s">
        <v>67</v>
      </c>
      <c r="C756" s="20">
        <v>78.666666666666671</v>
      </c>
      <c r="D756" t="s">
        <v>68</v>
      </c>
      <c r="E756" t="s">
        <v>69</v>
      </c>
      <c r="F756" t="s">
        <v>70</v>
      </c>
      <c r="G756" t="s">
        <v>71</v>
      </c>
      <c r="H756" t="s">
        <v>72</v>
      </c>
      <c r="I756" t="s">
        <v>73</v>
      </c>
      <c r="J756" t="str">
        <f>"45719"</f>
        <v>45719</v>
      </c>
      <c r="K756" t="s">
        <v>1185</v>
      </c>
      <c r="L756" t="s">
        <v>75</v>
      </c>
      <c r="M756" t="s">
        <v>76</v>
      </c>
    </row>
    <row r="757" spans="2:13" x14ac:dyDescent="0.25">
      <c r="B757" t="s">
        <v>67</v>
      </c>
      <c r="C757" s="20">
        <v>79.875</v>
      </c>
      <c r="D757" t="s">
        <v>68</v>
      </c>
      <c r="E757" t="s">
        <v>69</v>
      </c>
      <c r="F757" t="s">
        <v>70</v>
      </c>
      <c r="G757" t="s">
        <v>71</v>
      </c>
      <c r="H757" t="s">
        <v>72</v>
      </c>
      <c r="I757" t="s">
        <v>73</v>
      </c>
      <c r="J757" t="str">
        <f>"45720"</f>
        <v>45720</v>
      </c>
      <c r="K757" t="s">
        <v>1186</v>
      </c>
      <c r="L757" t="s">
        <v>328</v>
      </c>
      <c r="M757" t="s">
        <v>76</v>
      </c>
    </row>
    <row r="758" spans="2:13" x14ac:dyDescent="0.25">
      <c r="B758" t="s">
        <v>67</v>
      </c>
      <c r="C758" s="20">
        <v>81.083333333333329</v>
      </c>
      <c r="D758" t="s">
        <v>68</v>
      </c>
      <c r="E758" t="s">
        <v>69</v>
      </c>
      <c r="F758" t="s">
        <v>70</v>
      </c>
      <c r="G758" t="s">
        <v>71</v>
      </c>
      <c r="H758" t="s">
        <v>72</v>
      </c>
      <c r="I758" t="s">
        <v>73</v>
      </c>
      <c r="J758" t="str">
        <f>"45721"</f>
        <v>45721</v>
      </c>
      <c r="K758" t="s">
        <v>1187</v>
      </c>
      <c r="L758" t="s">
        <v>779</v>
      </c>
      <c r="M758" t="s">
        <v>76</v>
      </c>
    </row>
    <row r="759" spans="2:13" x14ac:dyDescent="0.25">
      <c r="B759" t="s">
        <v>67</v>
      </c>
      <c r="C759" s="20">
        <v>82.291666666666671</v>
      </c>
      <c r="D759" t="s">
        <v>68</v>
      </c>
      <c r="E759" t="s">
        <v>69</v>
      </c>
      <c r="F759" t="s">
        <v>70</v>
      </c>
      <c r="G759" t="s">
        <v>71</v>
      </c>
      <c r="H759" t="s">
        <v>72</v>
      </c>
      <c r="I759" t="s">
        <v>73</v>
      </c>
      <c r="J759" t="str">
        <f>"45722"</f>
        <v>45722</v>
      </c>
      <c r="K759" t="s">
        <v>1188</v>
      </c>
      <c r="L759" t="s">
        <v>75</v>
      </c>
      <c r="M759" t="s">
        <v>76</v>
      </c>
    </row>
    <row r="760" spans="2:13" x14ac:dyDescent="0.25">
      <c r="B760" t="s">
        <v>67</v>
      </c>
      <c r="C760" s="20">
        <v>83.5</v>
      </c>
      <c r="D760" t="s">
        <v>68</v>
      </c>
      <c r="E760" t="s">
        <v>69</v>
      </c>
      <c r="F760" t="s">
        <v>70</v>
      </c>
      <c r="G760" t="s">
        <v>71</v>
      </c>
      <c r="H760" t="s">
        <v>72</v>
      </c>
      <c r="I760" t="s">
        <v>73</v>
      </c>
      <c r="J760" t="str">
        <f>"45723"</f>
        <v>45723</v>
      </c>
      <c r="K760" t="s">
        <v>1189</v>
      </c>
      <c r="L760" t="s">
        <v>127</v>
      </c>
      <c r="M760" t="s">
        <v>76</v>
      </c>
    </row>
    <row r="761" spans="2:13" x14ac:dyDescent="0.25">
      <c r="B761" t="s">
        <v>67</v>
      </c>
      <c r="C761" s="20">
        <v>84.708333333333329</v>
      </c>
      <c r="D761" t="s">
        <v>68</v>
      </c>
      <c r="E761" t="s">
        <v>69</v>
      </c>
      <c r="F761" t="s">
        <v>70</v>
      </c>
      <c r="G761" t="s">
        <v>71</v>
      </c>
      <c r="H761" t="s">
        <v>72</v>
      </c>
      <c r="I761" t="s">
        <v>73</v>
      </c>
      <c r="J761" t="str">
        <f>"45724"</f>
        <v>45724</v>
      </c>
      <c r="K761" t="s">
        <v>1190</v>
      </c>
      <c r="L761" t="s">
        <v>779</v>
      </c>
      <c r="M761" t="s">
        <v>76</v>
      </c>
    </row>
    <row r="762" spans="2:13" x14ac:dyDescent="0.25">
      <c r="B762" t="s">
        <v>67</v>
      </c>
      <c r="C762" s="20">
        <v>85.916666666666671</v>
      </c>
      <c r="D762" t="s">
        <v>68</v>
      </c>
      <c r="E762" t="s">
        <v>69</v>
      </c>
      <c r="F762" t="s">
        <v>70</v>
      </c>
      <c r="G762" t="s">
        <v>71</v>
      </c>
      <c r="H762" t="s">
        <v>72</v>
      </c>
      <c r="I762" t="s">
        <v>73</v>
      </c>
      <c r="J762" t="str">
        <f>"45725"</f>
        <v>45725</v>
      </c>
      <c r="K762" t="s">
        <v>1191</v>
      </c>
      <c r="L762" t="s">
        <v>779</v>
      </c>
      <c r="M762" t="s">
        <v>76</v>
      </c>
    </row>
    <row r="763" spans="2:13" x14ac:dyDescent="0.25">
      <c r="B763" t="s">
        <v>67</v>
      </c>
      <c r="C763" s="20">
        <v>87.125</v>
      </c>
      <c r="D763" t="s">
        <v>68</v>
      </c>
      <c r="E763" t="s">
        <v>69</v>
      </c>
      <c r="F763" t="s">
        <v>70</v>
      </c>
      <c r="G763" t="s">
        <v>71</v>
      </c>
      <c r="H763" t="s">
        <v>72</v>
      </c>
      <c r="I763" t="s">
        <v>73</v>
      </c>
      <c r="J763" t="str">
        <f>"45726"</f>
        <v>45726</v>
      </c>
      <c r="K763" t="s">
        <v>1192</v>
      </c>
      <c r="L763" t="s">
        <v>127</v>
      </c>
      <c r="M763" t="s">
        <v>76</v>
      </c>
    </row>
    <row r="764" spans="2:13" x14ac:dyDescent="0.25">
      <c r="B764" t="s">
        <v>67</v>
      </c>
      <c r="C764" s="20">
        <v>88.333333333333329</v>
      </c>
      <c r="D764" t="s">
        <v>68</v>
      </c>
      <c r="E764" t="s">
        <v>69</v>
      </c>
      <c r="F764" t="s">
        <v>70</v>
      </c>
      <c r="G764" t="s">
        <v>71</v>
      </c>
      <c r="H764" t="s">
        <v>72</v>
      </c>
      <c r="I764" t="s">
        <v>73</v>
      </c>
      <c r="J764" t="str">
        <f>"45727"</f>
        <v>45727</v>
      </c>
      <c r="K764" t="s">
        <v>1193</v>
      </c>
      <c r="L764" t="s">
        <v>75</v>
      </c>
      <c r="M764" t="s">
        <v>76</v>
      </c>
    </row>
    <row r="765" spans="2:13" x14ac:dyDescent="0.25">
      <c r="B765" t="s">
        <v>67</v>
      </c>
      <c r="C765" s="20">
        <v>89.541666666666671</v>
      </c>
      <c r="D765" t="s">
        <v>68</v>
      </c>
      <c r="E765" t="s">
        <v>69</v>
      </c>
      <c r="F765" t="s">
        <v>70</v>
      </c>
      <c r="G765" t="s">
        <v>71</v>
      </c>
      <c r="H765" t="s">
        <v>72</v>
      </c>
      <c r="I765" t="s">
        <v>73</v>
      </c>
      <c r="J765" t="str">
        <f>"45728"</f>
        <v>45728</v>
      </c>
      <c r="K765" t="s">
        <v>1194</v>
      </c>
      <c r="L765" t="s">
        <v>75</v>
      </c>
      <c r="M765" t="s">
        <v>76</v>
      </c>
    </row>
    <row r="766" spans="2:13" x14ac:dyDescent="0.25">
      <c r="B766" t="s">
        <v>67</v>
      </c>
      <c r="C766" s="20">
        <v>90.75</v>
      </c>
      <c r="D766" t="s">
        <v>68</v>
      </c>
      <c r="E766" t="s">
        <v>69</v>
      </c>
      <c r="F766" t="s">
        <v>70</v>
      </c>
      <c r="G766" t="s">
        <v>71</v>
      </c>
      <c r="H766" t="s">
        <v>72</v>
      </c>
      <c r="I766" t="s">
        <v>73</v>
      </c>
      <c r="J766" t="str">
        <f>"45729"</f>
        <v>45729</v>
      </c>
      <c r="K766" t="s">
        <v>1195</v>
      </c>
      <c r="L766" t="s">
        <v>779</v>
      </c>
      <c r="M766" t="s">
        <v>76</v>
      </c>
    </row>
    <row r="767" spans="2:13" x14ac:dyDescent="0.25">
      <c r="B767" t="s">
        <v>67</v>
      </c>
      <c r="C767" s="20">
        <v>91.958333333333329</v>
      </c>
      <c r="D767" t="s">
        <v>68</v>
      </c>
      <c r="E767" t="s">
        <v>69</v>
      </c>
      <c r="F767" t="s">
        <v>70</v>
      </c>
      <c r="G767" t="s">
        <v>71</v>
      </c>
      <c r="H767" t="s">
        <v>72</v>
      </c>
      <c r="I767" t="s">
        <v>73</v>
      </c>
      <c r="J767" t="str">
        <f>"45730"</f>
        <v>45730</v>
      </c>
      <c r="K767" t="s">
        <v>1196</v>
      </c>
      <c r="L767" t="s">
        <v>75</v>
      </c>
      <c r="M767" t="s">
        <v>76</v>
      </c>
    </row>
    <row r="768" spans="2:13" x14ac:dyDescent="0.25">
      <c r="B768" t="s">
        <v>67</v>
      </c>
      <c r="C768" s="20">
        <v>93.166666666666671</v>
      </c>
      <c r="D768" t="s">
        <v>68</v>
      </c>
      <c r="E768" t="s">
        <v>69</v>
      </c>
      <c r="F768" t="s">
        <v>70</v>
      </c>
      <c r="G768" t="s">
        <v>71</v>
      </c>
      <c r="H768" t="s">
        <v>72</v>
      </c>
      <c r="I768" t="s">
        <v>73</v>
      </c>
      <c r="J768" t="str">
        <f>"45731"</f>
        <v>45731</v>
      </c>
      <c r="K768" t="s">
        <v>1197</v>
      </c>
      <c r="L768" t="s">
        <v>779</v>
      </c>
      <c r="M768" t="s">
        <v>76</v>
      </c>
    </row>
    <row r="769" spans="2:13" x14ac:dyDescent="0.25">
      <c r="B769" t="s">
        <v>67</v>
      </c>
      <c r="C769" s="20">
        <v>94.375</v>
      </c>
      <c r="D769" t="s">
        <v>68</v>
      </c>
      <c r="E769" t="s">
        <v>69</v>
      </c>
      <c r="F769" t="s">
        <v>70</v>
      </c>
      <c r="G769" t="s">
        <v>71</v>
      </c>
      <c r="H769" t="s">
        <v>72</v>
      </c>
      <c r="I769" t="s">
        <v>73</v>
      </c>
      <c r="J769" t="str">
        <f>"45732"</f>
        <v>45732</v>
      </c>
      <c r="K769" t="s">
        <v>1198</v>
      </c>
      <c r="L769" t="s">
        <v>1125</v>
      </c>
      <c r="M769" t="s">
        <v>76</v>
      </c>
    </row>
    <row r="770" spans="2:13" x14ac:dyDescent="0.25">
      <c r="B770" t="s">
        <v>67</v>
      </c>
      <c r="C770" s="20">
        <v>95.583333333333329</v>
      </c>
      <c r="D770" t="s">
        <v>68</v>
      </c>
      <c r="E770" t="s">
        <v>69</v>
      </c>
      <c r="F770" t="s">
        <v>70</v>
      </c>
      <c r="G770" t="s">
        <v>71</v>
      </c>
      <c r="H770" t="s">
        <v>72</v>
      </c>
      <c r="I770" t="s">
        <v>73</v>
      </c>
      <c r="J770" t="str">
        <f>"45733"</f>
        <v>45733</v>
      </c>
      <c r="K770" t="s">
        <v>1199</v>
      </c>
      <c r="L770" t="s">
        <v>127</v>
      </c>
      <c r="M770" t="s">
        <v>76</v>
      </c>
    </row>
    <row r="771" spans="2:13" x14ac:dyDescent="0.25">
      <c r="B771" t="s">
        <v>67</v>
      </c>
      <c r="C771" s="20">
        <v>96.791666666666671</v>
      </c>
      <c r="D771" t="s">
        <v>68</v>
      </c>
      <c r="E771" t="s">
        <v>69</v>
      </c>
      <c r="F771" t="s">
        <v>70</v>
      </c>
      <c r="G771" t="s">
        <v>71</v>
      </c>
      <c r="H771" t="s">
        <v>72</v>
      </c>
      <c r="I771" t="s">
        <v>73</v>
      </c>
      <c r="J771" t="str">
        <f>"45734"</f>
        <v>45734</v>
      </c>
      <c r="K771" t="s">
        <v>1200</v>
      </c>
      <c r="L771" t="s">
        <v>127</v>
      </c>
      <c r="M771" t="s">
        <v>76</v>
      </c>
    </row>
    <row r="772" spans="2:13" x14ac:dyDescent="0.25">
      <c r="B772" t="s">
        <v>67</v>
      </c>
      <c r="C772" s="20">
        <v>98</v>
      </c>
      <c r="D772" t="s">
        <v>68</v>
      </c>
      <c r="E772" t="s">
        <v>69</v>
      </c>
      <c r="F772" t="s">
        <v>70</v>
      </c>
      <c r="G772" t="s">
        <v>71</v>
      </c>
      <c r="H772" t="s">
        <v>72</v>
      </c>
      <c r="I772" t="s">
        <v>73</v>
      </c>
      <c r="J772" t="str">
        <f>"45735"</f>
        <v>45735</v>
      </c>
      <c r="K772" t="s">
        <v>1201</v>
      </c>
      <c r="L772" t="s">
        <v>328</v>
      </c>
      <c r="M772" t="s">
        <v>76</v>
      </c>
    </row>
    <row r="773" spans="2:13" x14ac:dyDescent="0.25">
      <c r="B773" t="s">
        <v>67</v>
      </c>
      <c r="C773" s="20">
        <v>99.208333333333329</v>
      </c>
      <c r="D773" t="s">
        <v>68</v>
      </c>
      <c r="E773" t="s">
        <v>69</v>
      </c>
      <c r="F773" t="s">
        <v>70</v>
      </c>
      <c r="G773" t="s">
        <v>71</v>
      </c>
      <c r="H773" t="s">
        <v>72</v>
      </c>
      <c r="I773" t="s">
        <v>73</v>
      </c>
      <c r="J773" t="str">
        <f>"45736"</f>
        <v>45736</v>
      </c>
      <c r="K773" t="s">
        <v>1202</v>
      </c>
      <c r="L773" t="s">
        <v>127</v>
      </c>
      <c r="M773" t="s">
        <v>76</v>
      </c>
    </row>
    <row r="774" spans="2:13" x14ac:dyDescent="0.25">
      <c r="B774" t="s">
        <v>67</v>
      </c>
      <c r="C774" s="20">
        <v>100.41666666666667</v>
      </c>
      <c r="D774" t="s">
        <v>68</v>
      </c>
      <c r="E774" t="s">
        <v>69</v>
      </c>
      <c r="F774" t="s">
        <v>70</v>
      </c>
      <c r="G774" t="s">
        <v>71</v>
      </c>
      <c r="H774" t="s">
        <v>72</v>
      </c>
      <c r="I774" t="s">
        <v>73</v>
      </c>
      <c r="J774" t="str">
        <f>"45737"</f>
        <v>45737</v>
      </c>
      <c r="K774" t="s">
        <v>1203</v>
      </c>
      <c r="L774" t="s">
        <v>127</v>
      </c>
      <c r="M774" t="s">
        <v>76</v>
      </c>
    </row>
    <row r="775" spans="2:13" x14ac:dyDescent="0.25">
      <c r="B775" t="s">
        <v>67</v>
      </c>
      <c r="C775" s="20">
        <v>101.625</v>
      </c>
      <c r="D775" t="s">
        <v>68</v>
      </c>
      <c r="E775" t="s">
        <v>69</v>
      </c>
      <c r="F775" t="s">
        <v>70</v>
      </c>
      <c r="G775" t="s">
        <v>71</v>
      </c>
      <c r="H775" t="s">
        <v>72</v>
      </c>
      <c r="I775" t="s">
        <v>73</v>
      </c>
      <c r="J775" t="str">
        <f>"45738"</f>
        <v>45738</v>
      </c>
      <c r="K775" t="s">
        <v>1204</v>
      </c>
      <c r="L775" t="s">
        <v>127</v>
      </c>
      <c r="M775" t="s">
        <v>76</v>
      </c>
    </row>
    <row r="776" spans="2:13" x14ac:dyDescent="0.25">
      <c r="B776" t="s">
        <v>67</v>
      </c>
      <c r="C776" s="20">
        <v>102.83333333333333</v>
      </c>
      <c r="D776" t="s">
        <v>68</v>
      </c>
      <c r="E776" t="s">
        <v>69</v>
      </c>
      <c r="F776" t="s">
        <v>70</v>
      </c>
      <c r="G776" t="s">
        <v>71</v>
      </c>
      <c r="H776" t="s">
        <v>72</v>
      </c>
      <c r="I776" t="s">
        <v>73</v>
      </c>
      <c r="J776" t="str">
        <f>"45739"</f>
        <v>45739</v>
      </c>
      <c r="K776" t="s">
        <v>1205</v>
      </c>
      <c r="L776" t="s">
        <v>328</v>
      </c>
      <c r="M776" t="s">
        <v>76</v>
      </c>
    </row>
    <row r="777" spans="2:13" x14ac:dyDescent="0.25">
      <c r="B777" t="s">
        <v>67</v>
      </c>
      <c r="C777" s="20">
        <v>104.04166666666667</v>
      </c>
      <c r="D777" t="s">
        <v>68</v>
      </c>
      <c r="E777" t="s">
        <v>69</v>
      </c>
      <c r="F777" t="s">
        <v>70</v>
      </c>
      <c r="G777" t="s">
        <v>71</v>
      </c>
      <c r="H777" t="s">
        <v>72</v>
      </c>
      <c r="I777" t="s">
        <v>73</v>
      </c>
      <c r="J777" t="str">
        <f>"45740"</f>
        <v>45740</v>
      </c>
      <c r="K777" t="s">
        <v>1206</v>
      </c>
      <c r="L777" t="s">
        <v>328</v>
      </c>
      <c r="M777" t="s">
        <v>76</v>
      </c>
    </row>
    <row r="778" spans="2:13" x14ac:dyDescent="0.25">
      <c r="B778" t="s">
        <v>67</v>
      </c>
      <c r="C778" s="20">
        <v>105.25</v>
      </c>
      <c r="D778" t="s">
        <v>68</v>
      </c>
      <c r="E778" t="s">
        <v>69</v>
      </c>
      <c r="F778" t="s">
        <v>70</v>
      </c>
      <c r="G778" t="s">
        <v>71</v>
      </c>
      <c r="H778" t="s">
        <v>72</v>
      </c>
      <c r="I778" t="s">
        <v>73</v>
      </c>
      <c r="J778" t="str">
        <f>"45741"</f>
        <v>45741</v>
      </c>
      <c r="K778" t="s">
        <v>1207</v>
      </c>
      <c r="L778" t="s">
        <v>127</v>
      </c>
      <c r="M778" t="s">
        <v>76</v>
      </c>
    </row>
    <row r="779" spans="2:13" x14ac:dyDescent="0.25">
      <c r="B779" t="s">
        <v>67</v>
      </c>
      <c r="C779" s="20">
        <v>106.45833333333333</v>
      </c>
      <c r="D779" t="s">
        <v>68</v>
      </c>
      <c r="E779" t="s">
        <v>69</v>
      </c>
      <c r="F779" t="s">
        <v>70</v>
      </c>
      <c r="G779" t="s">
        <v>71</v>
      </c>
      <c r="H779" t="s">
        <v>72</v>
      </c>
      <c r="I779" t="s">
        <v>73</v>
      </c>
      <c r="J779" t="str">
        <f>"45742"</f>
        <v>45742</v>
      </c>
      <c r="K779" t="s">
        <v>1208</v>
      </c>
      <c r="L779" t="s">
        <v>328</v>
      </c>
      <c r="M779" t="s">
        <v>76</v>
      </c>
    </row>
    <row r="780" spans="2:13" x14ac:dyDescent="0.25">
      <c r="B780" t="s">
        <v>67</v>
      </c>
      <c r="C780" s="20">
        <v>107.66666666666667</v>
      </c>
      <c r="D780" t="s">
        <v>68</v>
      </c>
      <c r="E780" t="s">
        <v>69</v>
      </c>
      <c r="F780" t="s">
        <v>70</v>
      </c>
      <c r="G780" t="s">
        <v>71</v>
      </c>
      <c r="H780" t="s">
        <v>72</v>
      </c>
      <c r="I780" t="s">
        <v>73</v>
      </c>
      <c r="J780" t="str">
        <f>"45743"</f>
        <v>45743</v>
      </c>
      <c r="K780" t="s">
        <v>1209</v>
      </c>
      <c r="L780" t="s">
        <v>127</v>
      </c>
      <c r="M780" t="s">
        <v>76</v>
      </c>
    </row>
    <row r="781" spans="2:13" x14ac:dyDescent="0.25">
      <c r="B781" t="s">
        <v>67</v>
      </c>
      <c r="C781" s="20">
        <v>108.875</v>
      </c>
      <c r="D781" t="s">
        <v>68</v>
      </c>
      <c r="E781" t="s">
        <v>69</v>
      </c>
      <c r="F781" t="s">
        <v>70</v>
      </c>
      <c r="G781" t="s">
        <v>71</v>
      </c>
      <c r="H781" t="s">
        <v>72</v>
      </c>
      <c r="I781" t="s">
        <v>73</v>
      </c>
      <c r="J781" t="str">
        <f>"45744"</f>
        <v>45744</v>
      </c>
      <c r="K781" t="s">
        <v>1210</v>
      </c>
      <c r="L781" t="s">
        <v>75</v>
      </c>
      <c r="M781" t="s">
        <v>76</v>
      </c>
    </row>
    <row r="782" spans="2:13" x14ac:dyDescent="0.25">
      <c r="B782" t="s">
        <v>67</v>
      </c>
      <c r="C782" s="20">
        <v>110.08333333333333</v>
      </c>
      <c r="D782" t="s">
        <v>68</v>
      </c>
      <c r="E782" t="s">
        <v>69</v>
      </c>
      <c r="F782" t="s">
        <v>70</v>
      </c>
      <c r="G782" t="s">
        <v>71</v>
      </c>
      <c r="H782" t="s">
        <v>72</v>
      </c>
      <c r="I782" t="s">
        <v>73</v>
      </c>
      <c r="J782" t="str">
        <f>"45745"</f>
        <v>45745</v>
      </c>
      <c r="K782" t="s">
        <v>1211</v>
      </c>
      <c r="L782" t="s">
        <v>328</v>
      </c>
      <c r="M782" t="s">
        <v>76</v>
      </c>
    </row>
    <row r="783" spans="2:13" x14ac:dyDescent="0.25">
      <c r="B783" t="s">
        <v>67</v>
      </c>
      <c r="C783" s="20">
        <v>111.29166666666667</v>
      </c>
      <c r="D783" t="s">
        <v>68</v>
      </c>
      <c r="E783" t="s">
        <v>69</v>
      </c>
      <c r="F783" t="s">
        <v>70</v>
      </c>
      <c r="G783" t="s">
        <v>71</v>
      </c>
      <c r="H783" t="s">
        <v>72</v>
      </c>
      <c r="I783" t="s">
        <v>73</v>
      </c>
      <c r="J783" t="str">
        <f>"45746"</f>
        <v>45746</v>
      </c>
      <c r="K783" t="s">
        <v>1212</v>
      </c>
      <c r="L783" t="s">
        <v>75</v>
      </c>
      <c r="M783" t="s">
        <v>76</v>
      </c>
    </row>
    <row r="784" spans="2:13" x14ac:dyDescent="0.25">
      <c r="B784" t="s">
        <v>67</v>
      </c>
      <c r="C784" s="20">
        <v>112.5</v>
      </c>
      <c r="D784" t="s">
        <v>68</v>
      </c>
      <c r="E784" t="s">
        <v>69</v>
      </c>
      <c r="F784" t="s">
        <v>70</v>
      </c>
      <c r="G784" t="s">
        <v>71</v>
      </c>
      <c r="H784" t="s">
        <v>72</v>
      </c>
      <c r="I784" t="s">
        <v>73</v>
      </c>
      <c r="J784" t="str">
        <f>"45747"</f>
        <v>45747</v>
      </c>
      <c r="K784" t="s">
        <v>1213</v>
      </c>
      <c r="L784" t="s">
        <v>328</v>
      </c>
      <c r="M784" t="s">
        <v>76</v>
      </c>
    </row>
    <row r="785" spans="2:13" x14ac:dyDescent="0.25">
      <c r="B785" t="s">
        <v>67</v>
      </c>
      <c r="C785" s="20">
        <v>113.70833333333333</v>
      </c>
      <c r="D785" t="s">
        <v>68</v>
      </c>
      <c r="E785" t="s">
        <v>69</v>
      </c>
      <c r="F785" t="s">
        <v>70</v>
      </c>
      <c r="G785" t="s">
        <v>71</v>
      </c>
      <c r="H785" t="s">
        <v>72</v>
      </c>
      <c r="I785" t="s">
        <v>73</v>
      </c>
      <c r="J785" t="str">
        <f>"45748"</f>
        <v>45748</v>
      </c>
      <c r="K785" t="s">
        <v>1214</v>
      </c>
      <c r="L785" t="s">
        <v>328</v>
      </c>
      <c r="M785" t="s">
        <v>76</v>
      </c>
    </row>
    <row r="786" spans="2:13" x14ac:dyDescent="0.25">
      <c r="B786" t="s">
        <v>67</v>
      </c>
      <c r="C786" s="20">
        <v>114.91666666666667</v>
      </c>
      <c r="D786" t="s">
        <v>68</v>
      </c>
      <c r="E786" t="s">
        <v>69</v>
      </c>
      <c r="F786" t="s">
        <v>70</v>
      </c>
      <c r="G786" t="s">
        <v>71</v>
      </c>
      <c r="H786" t="s">
        <v>72</v>
      </c>
      <c r="I786" t="s">
        <v>73</v>
      </c>
      <c r="J786" t="str">
        <f>"45749"</f>
        <v>45749</v>
      </c>
      <c r="K786" t="s">
        <v>1215</v>
      </c>
      <c r="L786" t="s">
        <v>779</v>
      </c>
      <c r="M786" t="s">
        <v>76</v>
      </c>
    </row>
    <row r="787" spans="2:13" x14ac:dyDescent="0.25">
      <c r="B787" t="s">
        <v>67</v>
      </c>
      <c r="C787" s="20">
        <v>116.125</v>
      </c>
      <c r="D787" t="s">
        <v>68</v>
      </c>
      <c r="E787" t="s">
        <v>69</v>
      </c>
      <c r="F787" t="s">
        <v>70</v>
      </c>
      <c r="G787" t="s">
        <v>71</v>
      </c>
      <c r="H787" t="s">
        <v>72</v>
      </c>
      <c r="I787" t="s">
        <v>73</v>
      </c>
      <c r="J787" t="str">
        <f>"45750"</f>
        <v>45750</v>
      </c>
      <c r="K787" t="s">
        <v>1216</v>
      </c>
      <c r="L787" t="s">
        <v>328</v>
      </c>
      <c r="M787" t="s">
        <v>76</v>
      </c>
    </row>
    <row r="788" spans="2:13" x14ac:dyDescent="0.25">
      <c r="B788" t="s">
        <v>67</v>
      </c>
      <c r="C788" s="20">
        <v>117.33333333333333</v>
      </c>
      <c r="D788" t="s">
        <v>68</v>
      </c>
      <c r="E788" t="s">
        <v>69</v>
      </c>
      <c r="F788" t="s">
        <v>70</v>
      </c>
      <c r="G788" t="s">
        <v>71</v>
      </c>
      <c r="H788" t="s">
        <v>72</v>
      </c>
      <c r="I788" t="s">
        <v>73</v>
      </c>
      <c r="J788" t="str">
        <f>"45751"</f>
        <v>45751</v>
      </c>
      <c r="K788" t="s">
        <v>1217</v>
      </c>
      <c r="L788" t="s">
        <v>127</v>
      </c>
      <c r="M788" t="s">
        <v>76</v>
      </c>
    </row>
    <row r="789" spans="2:13" x14ac:dyDescent="0.25">
      <c r="B789" t="s">
        <v>67</v>
      </c>
      <c r="C789" s="20">
        <v>118.54166666666667</v>
      </c>
      <c r="D789" t="s">
        <v>68</v>
      </c>
      <c r="E789" t="s">
        <v>69</v>
      </c>
      <c r="F789" t="s">
        <v>70</v>
      </c>
      <c r="G789" t="s">
        <v>71</v>
      </c>
      <c r="H789" t="s">
        <v>72</v>
      </c>
      <c r="I789" t="s">
        <v>73</v>
      </c>
      <c r="J789" t="str">
        <f>"45752"</f>
        <v>45752</v>
      </c>
      <c r="K789" t="s">
        <v>1218</v>
      </c>
      <c r="L789" t="s">
        <v>328</v>
      </c>
      <c r="M789" t="s">
        <v>76</v>
      </c>
    </row>
    <row r="790" spans="2:13" x14ac:dyDescent="0.25">
      <c r="B790" t="s">
        <v>67</v>
      </c>
      <c r="C790" s="20">
        <v>119.75</v>
      </c>
      <c r="D790" t="s">
        <v>68</v>
      </c>
      <c r="E790" t="s">
        <v>69</v>
      </c>
      <c r="F790" t="s">
        <v>70</v>
      </c>
      <c r="G790" t="s">
        <v>71</v>
      </c>
      <c r="H790" t="s">
        <v>72</v>
      </c>
      <c r="I790" t="s">
        <v>73</v>
      </c>
      <c r="J790" t="str">
        <f>"45753"</f>
        <v>45753</v>
      </c>
      <c r="K790" t="s">
        <v>1219</v>
      </c>
      <c r="L790" t="s">
        <v>127</v>
      </c>
      <c r="M790" t="s">
        <v>76</v>
      </c>
    </row>
    <row r="791" spans="2:13" x14ac:dyDescent="0.25">
      <c r="B791" t="s">
        <v>67</v>
      </c>
      <c r="C791" s="20">
        <v>120.95833333333333</v>
      </c>
      <c r="D791" t="s">
        <v>68</v>
      </c>
      <c r="E791" t="s">
        <v>69</v>
      </c>
      <c r="F791" t="s">
        <v>70</v>
      </c>
      <c r="G791" t="s">
        <v>71</v>
      </c>
      <c r="H791" t="s">
        <v>72</v>
      </c>
      <c r="I791" t="s">
        <v>73</v>
      </c>
      <c r="J791" t="str">
        <f>"45754"</f>
        <v>45754</v>
      </c>
      <c r="K791" t="s">
        <v>1220</v>
      </c>
      <c r="L791" t="s">
        <v>1125</v>
      </c>
      <c r="M791" t="s">
        <v>76</v>
      </c>
    </row>
    <row r="792" spans="2:13" x14ac:dyDescent="0.25">
      <c r="B792" t="s">
        <v>67</v>
      </c>
      <c r="C792" s="20">
        <v>122.16666666666667</v>
      </c>
      <c r="D792" t="s">
        <v>68</v>
      </c>
      <c r="E792" t="s">
        <v>69</v>
      </c>
      <c r="F792" t="s">
        <v>70</v>
      </c>
      <c r="G792" t="s">
        <v>71</v>
      </c>
      <c r="H792" t="s">
        <v>72</v>
      </c>
      <c r="I792" t="s">
        <v>73</v>
      </c>
      <c r="J792" t="str">
        <f>"45755"</f>
        <v>45755</v>
      </c>
      <c r="K792" t="s">
        <v>1221</v>
      </c>
      <c r="L792" t="s">
        <v>328</v>
      </c>
      <c r="M792" t="s">
        <v>76</v>
      </c>
    </row>
    <row r="793" spans="2:13" x14ac:dyDescent="0.25">
      <c r="B793" t="s">
        <v>67</v>
      </c>
      <c r="C793" s="20">
        <v>123.375</v>
      </c>
      <c r="D793" t="s">
        <v>68</v>
      </c>
      <c r="E793" t="s">
        <v>69</v>
      </c>
      <c r="F793" t="s">
        <v>70</v>
      </c>
      <c r="G793" t="s">
        <v>71</v>
      </c>
      <c r="H793" t="s">
        <v>72</v>
      </c>
      <c r="I793" t="s">
        <v>73</v>
      </c>
      <c r="J793" t="str">
        <f>"45756"</f>
        <v>45756</v>
      </c>
      <c r="K793" t="s">
        <v>1222</v>
      </c>
      <c r="L793" t="s">
        <v>1125</v>
      </c>
      <c r="M793" t="s">
        <v>76</v>
      </c>
    </row>
    <row r="794" spans="2:13" x14ac:dyDescent="0.25">
      <c r="B794" t="s">
        <v>67</v>
      </c>
      <c r="C794" s="20">
        <v>124.58333333333333</v>
      </c>
      <c r="D794" t="s">
        <v>68</v>
      </c>
      <c r="E794" t="s">
        <v>69</v>
      </c>
      <c r="F794" t="s">
        <v>70</v>
      </c>
      <c r="G794" t="s">
        <v>71</v>
      </c>
      <c r="H794" t="s">
        <v>72</v>
      </c>
      <c r="I794" t="s">
        <v>73</v>
      </c>
      <c r="J794" t="str">
        <f>"45757"</f>
        <v>45757</v>
      </c>
      <c r="K794" t="s">
        <v>1223</v>
      </c>
      <c r="L794" t="s">
        <v>328</v>
      </c>
      <c r="M794" t="s">
        <v>76</v>
      </c>
    </row>
    <row r="795" spans="2:13" x14ac:dyDescent="0.25">
      <c r="B795" t="s">
        <v>67</v>
      </c>
      <c r="C795" s="20">
        <v>125.79166666666667</v>
      </c>
      <c r="D795" t="s">
        <v>68</v>
      </c>
      <c r="E795" t="s">
        <v>69</v>
      </c>
      <c r="F795" t="s">
        <v>70</v>
      </c>
      <c r="G795" t="s">
        <v>71</v>
      </c>
      <c r="H795" t="s">
        <v>72</v>
      </c>
      <c r="I795" t="s">
        <v>73</v>
      </c>
      <c r="J795" t="str">
        <f>"45758"</f>
        <v>45758</v>
      </c>
      <c r="K795" t="s">
        <v>1224</v>
      </c>
      <c r="L795" t="s">
        <v>75</v>
      </c>
      <c r="M795" t="s">
        <v>76</v>
      </c>
    </row>
    <row r="796" spans="2:13" x14ac:dyDescent="0.25">
      <c r="B796" t="s">
        <v>67</v>
      </c>
      <c r="C796" s="20">
        <v>127</v>
      </c>
      <c r="D796" t="s">
        <v>68</v>
      </c>
      <c r="E796" t="s">
        <v>69</v>
      </c>
      <c r="F796" t="s">
        <v>70</v>
      </c>
      <c r="G796" t="s">
        <v>71</v>
      </c>
      <c r="H796" t="s">
        <v>72</v>
      </c>
      <c r="I796" t="s">
        <v>73</v>
      </c>
      <c r="J796" t="str">
        <f>"45759"</f>
        <v>45759</v>
      </c>
      <c r="K796" t="s">
        <v>1225</v>
      </c>
      <c r="L796" t="s">
        <v>328</v>
      </c>
      <c r="M796" t="s">
        <v>76</v>
      </c>
    </row>
    <row r="797" spans="2:13" x14ac:dyDescent="0.25">
      <c r="B797" t="s">
        <v>67</v>
      </c>
      <c r="C797" s="20">
        <v>128.20833333333334</v>
      </c>
      <c r="D797" t="s">
        <v>68</v>
      </c>
      <c r="E797" t="s">
        <v>69</v>
      </c>
      <c r="F797" t="s">
        <v>70</v>
      </c>
      <c r="G797" t="s">
        <v>71</v>
      </c>
      <c r="H797" t="s">
        <v>72</v>
      </c>
      <c r="I797" t="s">
        <v>73</v>
      </c>
      <c r="J797" t="str">
        <f>"45760"</f>
        <v>45760</v>
      </c>
      <c r="K797" t="s">
        <v>1226</v>
      </c>
      <c r="L797" t="s">
        <v>328</v>
      </c>
      <c r="M797" t="s">
        <v>76</v>
      </c>
    </row>
    <row r="798" spans="2:13" x14ac:dyDescent="0.25">
      <c r="B798" t="s">
        <v>67</v>
      </c>
      <c r="C798" s="20">
        <v>129.41666666666666</v>
      </c>
      <c r="D798" t="s">
        <v>68</v>
      </c>
      <c r="E798" t="s">
        <v>69</v>
      </c>
      <c r="F798" t="s">
        <v>70</v>
      </c>
      <c r="G798" t="s">
        <v>71</v>
      </c>
      <c r="H798" t="s">
        <v>72</v>
      </c>
      <c r="I798" t="s">
        <v>73</v>
      </c>
      <c r="J798" t="str">
        <f>"45761"</f>
        <v>45761</v>
      </c>
      <c r="K798" t="s">
        <v>1227</v>
      </c>
      <c r="L798" t="s">
        <v>779</v>
      </c>
      <c r="M798" t="s">
        <v>76</v>
      </c>
    </row>
    <row r="799" spans="2:13" x14ac:dyDescent="0.25">
      <c r="B799" t="s">
        <v>67</v>
      </c>
      <c r="C799" s="20">
        <v>130.625</v>
      </c>
      <c r="D799" t="s">
        <v>68</v>
      </c>
      <c r="E799" t="s">
        <v>69</v>
      </c>
      <c r="F799" t="s">
        <v>70</v>
      </c>
      <c r="G799" t="s">
        <v>71</v>
      </c>
      <c r="H799" t="s">
        <v>72</v>
      </c>
      <c r="I799" t="s">
        <v>73</v>
      </c>
      <c r="J799" t="str">
        <f>"45762"</f>
        <v>45762</v>
      </c>
      <c r="K799" t="s">
        <v>1228</v>
      </c>
      <c r="L799" t="s">
        <v>1125</v>
      </c>
      <c r="M799" t="s">
        <v>76</v>
      </c>
    </row>
    <row r="800" spans="2:13" x14ac:dyDescent="0.25">
      <c r="B800" t="s">
        <v>67</v>
      </c>
      <c r="C800" s="20">
        <v>131.83333333333334</v>
      </c>
      <c r="D800" t="s">
        <v>68</v>
      </c>
      <c r="E800" t="s">
        <v>69</v>
      </c>
      <c r="F800" t="s">
        <v>70</v>
      </c>
      <c r="G800" t="s">
        <v>71</v>
      </c>
      <c r="H800" t="s">
        <v>72</v>
      </c>
      <c r="I800" t="s">
        <v>73</v>
      </c>
      <c r="J800" t="str">
        <f>"45763"</f>
        <v>45763</v>
      </c>
      <c r="K800" t="s">
        <v>1229</v>
      </c>
      <c r="L800" t="s">
        <v>75</v>
      </c>
      <c r="M800" t="s">
        <v>76</v>
      </c>
    </row>
    <row r="801" spans="2:13" x14ac:dyDescent="0.25">
      <c r="B801" t="s">
        <v>67</v>
      </c>
      <c r="C801" s="20">
        <v>133.04166666666666</v>
      </c>
      <c r="D801" t="s">
        <v>68</v>
      </c>
      <c r="E801" t="s">
        <v>69</v>
      </c>
      <c r="F801" t="s">
        <v>70</v>
      </c>
      <c r="G801" t="s">
        <v>71</v>
      </c>
      <c r="H801" t="s">
        <v>72</v>
      </c>
      <c r="I801" t="s">
        <v>73</v>
      </c>
      <c r="J801" t="str">
        <f>"45764"</f>
        <v>45764</v>
      </c>
      <c r="K801" t="s">
        <v>1230</v>
      </c>
      <c r="L801" t="s">
        <v>75</v>
      </c>
      <c r="M801" t="s">
        <v>76</v>
      </c>
    </row>
    <row r="802" spans="2:13" x14ac:dyDescent="0.25">
      <c r="B802" t="s">
        <v>67</v>
      </c>
      <c r="C802" s="20">
        <v>134.25</v>
      </c>
      <c r="D802" t="s">
        <v>68</v>
      </c>
      <c r="E802" t="s">
        <v>69</v>
      </c>
      <c r="F802" t="s">
        <v>70</v>
      </c>
      <c r="G802" t="s">
        <v>71</v>
      </c>
      <c r="H802" t="s">
        <v>72</v>
      </c>
      <c r="I802" t="s">
        <v>73</v>
      </c>
      <c r="J802" t="str">
        <f>"45765"</f>
        <v>45765</v>
      </c>
      <c r="K802" t="s">
        <v>1231</v>
      </c>
      <c r="L802" t="s">
        <v>779</v>
      </c>
      <c r="M802" t="s">
        <v>76</v>
      </c>
    </row>
    <row r="803" spans="2:13" x14ac:dyDescent="0.25">
      <c r="B803" t="s">
        <v>67</v>
      </c>
      <c r="C803" s="20">
        <v>135.45833333333334</v>
      </c>
      <c r="D803" t="s">
        <v>68</v>
      </c>
      <c r="E803" t="s">
        <v>69</v>
      </c>
      <c r="F803" t="s">
        <v>70</v>
      </c>
      <c r="G803" t="s">
        <v>71</v>
      </c>
      <c r="H803" t="s">
        <v>72</v>
      </c>
      <c r="I803" t="s">
        <v>73</v>
      </c>
      <c r="J803" t="str">
        <f>"45766"</f>
        <v>45766</v>
      </c>
      <c r="K803" t="s">
        <v>1232</v>
      </c>
      <c r="L803" t="s">
        <v>1125</v>
      </c>
      <c r="M803" t="s">
        <v>76</v>
      </c>
    </row>
    <row r="804" spans="2:13" x14ac:dyDescent="0.25">
      <c r="B804" t="s">
        <v>67</v>
      </c>
      <c r="C804" s="20">
        <v>136.66666666666666</v>
      </c>
      <c r="D804" t="s">
        <v>68</v>
      </c>
      <c r="E804" t="s">
        <v>69</v>
      </c>
      <c r="F804" t="s">
        <v>70</v>
      </c>
      <c r="G804" t="s">
        <v>71</v>
      </c>
      <c r="H804" t="s">
        <v>72</v>
      </c>
      <c r="I804" t="s">
        <v>73</v>
      </c>
      <c r="J804" t="str">
        <f>"45767"</f>
        <v>45767</v>
      </c>
      <c r="K804" t="s">
        <v>1233</v>
      </c>
      <c r="L804" t="s">
        <v>75</v>
      </c>
      <c r="M804" t="s">
        <v>76</v>
      </c>
    </row>
    <row r="805" spans="2:13" x14ac:dyDescent="0.25">
      <c r="B805" t="s">
        <v>67</v>
      </c>
      <c r="C805" s="20">
        <v>137.875</v>
      </c>
      <c r="D805" t="s">
        <v>68</v>
      </c>
      <c r="E805" t="s">
        <v>69</v>
      </c>
      <c r="F805" t="s">
        <v>70</v>
      </c>
      <c r="G805" t="s">
        <v>71</v>
      </c>
      <c r="H805" t="s">
        <v>72</v>
      </c>
      <c r="I805" t="s">
        <v>73</v>
      </c>
      <c r="J805" t="str">
        <f>"45768"</f>
        <v>45768</v>
      </c>
      <c r="K805" t="s">
        <v>1234</v>
      </c>
      <c r="L805" t="s">
        <v>328</v>
      </c>
      <c r="M805" t="s">
        <v>76</v>
      </c>
    </row>
    <row r="806" spans="2:13" x14ac:dyDescent="0.25">
      <c r="B806" t="s">
        <v>67</v>
      </c>
      <c r="C806" s="20">
        <v>139.08333333333334</v>
      </c>
      <c r="D806" t="s">
        <v>68</v>
      </c>
      <c r="E806" t="s">
        <v>69</v>
      </c>
      <c r="F806" t="s">
        <v>70</v>
      </c>
      <c r="G806" t="s">
        <v>71</v>
      </c>
      <c r="H806" t="s">
        <v>72</v>
      </c>
      <c r="I806" t="s">
        <v>73</v>
      </c>
      <c r="J806" t="str">
        <f>"45769"</f>
        <v>45769</v>
      </c>
      <c r="K806" t="s">
        <v>1235</v>
      </c>
      <c r="L806" t="s">
        <v>1125</v>
      </c>
      <c r="M806" t="s">
        <v>76</v>
      </c>
    </row>
    <row r="807" spans="2:13" x14ac:dyDescent="0.25">
      <c r="B807" t="s">
        <v>67</v>
      </c>
      <c r="C807" s="20">
        <v>140.29166666666666</v>
      </c>
      <c r="D807" t="s">
        <v>68</v>
      </c>
      <c r="E807" t="s">
        <v>69</v>
      </c>
      <c r="F807" t="s">
        <v>70</v>
      </c>
      <c r="G807" t="s">
        <v>71</v>
      </c>
      <c r="H807" t="s">
        <v>72</v>
      </c>
      <c r="I807" t="s">
        <v>73</v>
      </c>
      <c r="J807" t="str">
        <f>"45770"</f>
        <v>45770</v>
      </c>
      <c r="K807" t="s">
        <v>1236</v>
      </c>
      <c r="L807" t="s">
        <v>779</v>
      </c>
      <c r="M807" t="s">
        <v>76</v>
      </c>
    </row>
    <row r="808" spans="2:13" x14ac:dyDescent="0.25">
      <c r="B808" t="s">
        <v>67</v>
      </c>
      <c r="C808" s="20">
        <v>141.5</v>
      </c>
      <c r="D808" t="s">
        <v>68</v>
      </c>
      <c r="E808" t="s">
        <v>69</v>
      </c>
      <c r="F808" t="s">
        <v>70</v>
      </c>
      <c r="G808" t="s">
        <v>71</v>
      </c>
      <c r="H808" t="s">
        <v>72</v>
      </c>
      <c r="I808" t="s">
        <v>73</v>
      </c>
      <c r="J808" t="str">
        <f>"45771"</f>
        <v>45771</v>
      </c>
      <c r="K808" t="s">
        <v>1237</v>
      </c>
      <c r="L808" t="s">
        <v>75</v>
      </c>
      <c r="M808" t="s">
        <v>76</v>
      </c>
    </row>
    <row r="809" spans="2:13" x14ac:dyDescent="0.25">
      <c r="B809" t="s">
        <v>67</v>
      </c>
      <c r="C809" s="20">
        <v>142.70833333333334</v>
      </c>
      <c r="D809" t="s">
        <v>68</v>
      </c>
      <c r="E809" t="s">
        <v>69</v>
      </c>
      <c r="F809" t="s">
        <v>70</v>
      </c>
      <c r="G809" t="s">
        <v>71</v>
      </c>
      <c r="H809" t="s">
        <v>72</v>
      </c>
      <c r="I809" t="s">
        <v>73</v>
      </c>
      <c r="J809" t="str">
        <f>"45772"</f>
        <v>45772</v>
      </c>
      <c r="K809" t="s">
        <v>1238</v>
      </c>
      <c r="L809" t="s">
        <v>328</v>
      </c>
      <c r="M809" t="s">
        <v>76</v>
      </c>
    </row>
    <row r="810" spans="2:13" x14ac:dyDescent="0.25">
      <c r="B810" t="s">
        <v>67</v>
      </c>
      <c r="C810" s="20">
        <v>143.91666666666666</v>
      </c>
      <c r="D810" t="s">
        <v>68</v>
      </c>
      <c r="E810" t="s">
        <v>69</v>
      </c>
      <c r="F810" t="s">
        <v>70</v>
      </c>
      <c r="G810" t="s">
        <v>71</v>
      </c>
      <c r="H810" t="s">
        <v>72</v>
      </c>
      <c r="I810" t="s">
        <v>73</v>
      </c>
      <c r="J810" t="str">
        <f>"45773"</f>
        <v>45773</v>
      </c>
      <c r="K810" t="s">
        <v>1239</v>
      </c>
      <c r="L810" t="s">
        <v>328</v>
      </c>
      <c r="M810" t="s">
        <v>76</v>
      </c>
    </row>
    <row r="811" spans="2:13" x14ac:dyDescent="0.25">
      <c r="B811" t="s">
        <v>67</v>
      </c>
      <c r="C811" s="20">
        <v>145.125</v>
      </c>
      <c r="D811" t="s">
        <v>68</v>
      </c>
      <c r="E811" t="s">
        <v>69</v>
      </c>
      <c r="F811" t="s">
        <v>70</v>
      </c>
      <c r="G811" t="s">
        <v>71</v>
      </c>
      <c r="H811" t="s">
        <v>72</v>
      </c>
      <c r="I811" t="s">
        <v>73</v>
      </c>
      <c r="J811" t="str">
        <f>"45774"</f>
        <v>45774</v>
      </c>
      <c r="K811" t="s">
        <v>1240</v>
      </c>
      <c r="L811" t="s">
        <v>75</v>
      </c>
      <c r="M811" t="s">
        <v>76</v>
      </c>
    </row>
    <row r="812" spans="2:13" x14ac:dyDescent="0.25">
      <c r="B812" t="s">
        <v>67</v>
      </c>
      <c r="C812" s="20">
        <v>146.33333333333334</v>
      </c>
      <c r="D812" t="s">
        <v>68</v>
      </c>
      <c r="E812" t="s">
        <v>69</v>
      </c>
      <c r="F812" t="s">
        <v>70</v>
      </c>
      <c r="G812" t="s">
        <v>71</v>
      </c>
      <c r="H812" t="s">
        <v>72</v>
      </c>
      <c r="I812" t="s">
        <v>73</v>
      </c>
      <c r="J812" t="str">
        <f>"45775"</f>
        <v>45775</v>
      </c>
      <c r="K812" t="s">
        <v>1241</v>
      </c>
      <c r="L812" t="s">
        <v>328</v>
      </c>
      <c r="M812" t="s">
        <v>76</v>
      </c>
    </row>
    <row r="813" spans="2:13" x14ac:dyDescent="0.25">
      <c r="B813" t="s">
        <v>67</v>
      </c>
      <c r="C813" s="20">
        <v>147.54166666666666</v>
      </c>
      <c r="D813" t="s">
        <v>68</v>
      </c>
      <c r="E813" t="s">
        <v>69</v>
      </c>
      <c r="F813" t="s">
        <v>70</v>
      </c>
      <c r="G813" t="s">
        <v>71</v>
      </c>
      <c r="H813" t="s">
        <v>72</v>
      </c>
      <c r="I813" t="s">
        <v>73</v>
      </c>
      <c r="J813" t="str">
        <f>"45776"</f>
        <v>45776</v>
      </c>
      <c r="K813" t="s">
        <v>1242</v>
      </c>
      <c r="L813" t="s">
        <v>1125</v>
      </c>
      <c r="M813" t="s">
        <v>76</v>
      </c>
    </row>
    <row r="814" spans="2:13" x14ac:dyDescent="0.25">
      <c r="B814" t="s">
        <v>67</v>
      </c>
      <c r="C814" s="20">
        <v>148.75</v>
      </c>
      <c r="D814" t="s">
        <v>68</v>
      </c>
      <c r="E814" t="s">
        <v>69</v>
      </c>
      <c r="F814" t="s">
        <v>70</v>
      </c>
      <c r="G814" t="s">
        <v>71</v>
      </c>
      <c r="H814" t="s">
        <v>72</v>
      </c>
      <c r="I814" t="s">
        <v>73</v>
      </c>
      <c r="J814" t="str">
        <f>"45777"</f>
        <v>45777</v>
      </c>
      <c r="K814" t="s">
        <v>1243</v>
      </c>
      <c r="L814" t="s">
        <v>75</v>
      </c>
      <c r="M814" t="s">
        <v>76</v>
      </c>
    </row>
    <row r="815" spans="2:13" x14ac:dyDescent="0.25">
      <c r="B815" t="s">
        <v>67</v>
      </c>
      <c r="C815" s="20">
        <v>149.95833333333334</v>
      </c>
      <c r="D815" t="s">
        <v>68</v>
      </c>
      <c r="E815" t="s">
        <v>69</v>
      </c>
      <c r="F815" t="s">
        <v>70</v>
      </c>
      <c r="G815" t="s">
        <v>71</v>
      </c>
      <c r="H815" t="s">
        <v>72</v>
      </c>
      <c r="I815" t="s">
        <v>73</v>
      </c>
      <c r="J815" t="str">
        <f>"45778"</f>
        <v>45778</v>
      </c>
      <c r="K815" t="s">
        <v>1244</v>
      </c>
      <c r="L815" t="s">
        <v>127</v>
      </c>
      <c r="M815" t="s">
        <v>76</v>
      </c>
    </row>
    <row r="816" spans="2:13" x14ac:dyDescent="0.25">
      <c r="B816" t="s">
        <v>67</v>
      </c>
      <c r="C816" s="20">
        <v>151.16666666666666</v>
      </c>
      <c r="D816" t="s">
        <v>68</v>
      </c>
      <c r="E816" t="s">
        <v>69</v>
      </c>
      <c r="F816" t="s">
        <v>70</v>
      </c>
      <c r="G816" t="s">
        <v>71</v>
      </c>
      <c r="H816" t="s">
        <v>72</v>
      </c>
      <c r="I816" t="s">
        <v>73</v>
      </c>
      <c r="J816" t="str">
        <f>"45779"</f>
        <v>45779</v>
      </c>
      <c r="K816" t="s">
        <v>1245</v>
      </c>
      <c r="L816" t="s">
        <v>328</v>
      </c>
      <c r="M816" t="s">
        <v>76</v>
      </c>
    </row>
    <row r="817" spans="2:13" x14ac:dyDescent="0.25">
      <c r="B817" t="s">
        <v>67</v>
      </c>
      <c r="C817" s="20">
        <v>152.375</v>
      </c>
      <c r="D817" t="s">
        <v>68</v>
      </c>
      <c r="E817" t="s">
        <v>69</v>
      </c>
      <c r="F817" t="s">
        <v>70</v>
      </c>
      <c r="G817" t="s">
        <v>71</v>
      </c>
      <c r="H817" t="s">
        <v>72</v>
      </c>
      <c r="I817" t="s">
        <v>73</v>
      </c>
      <c r="J817" t="str">
        <f>"45780"</f>
        <v>45780</v>
      </c>
      <c r="K817" t="s">
        <v>1246</v>
      </c>
      <c r="L817" t="s">
        <v>328</v>
      </c>
      <c r="M817" t="s">
        <v>76</v>
      </c>
    </row>
    <row r="818" spans="2:13" x14ac:dyDescent="0.25">
      <c r="B818" t="s">
        <v>67</v>
      </c>
      <c r="C818" s="20">
        <v>153.58333333333334</v>
      </c>
      <c r="D818" t="s">
        <v>68</v>
      </c>
      <c r="E818" t="s">
        <v>69</v>
      </c>
      <c r="F818" t="s">
        <v>70</v>
      </c>
      <c r="G818" t="s">
        <v>71</v>
      </c>
      <c r="H818" t="s">
        <v>72</v>
      </c>
      <c r="I818" t="s">
        <v>73</v>
      </c>
      <c r="J818" t="str">
        <f>"45781"</f>
        <v>45781</v>
      </c>
      <c r="K818" t="s">
        <v>1247</v>
      </c>
      <c r="L818" t="s">
        <v>127</v>
      </c>
      <c r="M818" t="s">
        <v>76</v>
      </c>
    </row>
    <row r="819" spans="2:13" x14ac:dyDescent="0.25">
      <c r="B819" t="s">
        <v>67</v>
      </c>
      <c r="C819" s="20">
        <v>154.79166666666666</v>
      </c>
      <c r="D819" t="s">
        <v>68</v>
      </c>
      <c r="E819" t="s">
        <v>69</v>
      </c>
      <c r="F819" t="s">
        <v>70</v>
      </c>
      <c r="G819" t="s">
        <v>71</v>
      </c>
      <c r="H819" t="s">
        <v>72</v>
      </c>
      <c r="I819" t="s">
        <v>73</v>
      </c>
      <c r="J819" t="str">
        <f>"45782"</f>
        <v>45782</v>
      </c>
      <c r="K819" t="s">
        <v>1248</v>
      </c>
      <c r="L819" t="s">
        <v>328</v>
      </c>
      <c r="M819" t="s">
        <v>76</v>
      </c>
    </row>
    <row r="820" spans="2:13" x14ac:dyDescent="0.25">
      <c r="B820" t="s">
        <v>67</v>
      </c>
      <c r="C820" s="20">
        <v>156</v>
      </c>
      <c r="D820" t="s">
        <v>68</v>
      </c>
      <c r="E820" t="s">
        <v>69</v>
      </c>
      <c r="F820" t="s">
        <v>70</v>
      </c>
      <c r="G820" t="s">
        <v>71</v>
      </c>
      <c r="H820" t="s">
        <v>72</v>
      </c>
      <c r="I820" t="s">
        <v>73</v>
      </c>
      <c r="J820" t="str">
        <f>"45783"</f>
        <v>45783</v>
      </c>
      <c r="K820" t="s">
        <v>1249</v>
      </c>
      <c r="L820" t="s">
        <v>75</v>
      </c>
      <c r="M820" t="s">
        <v>76</v>
      </c>
    </row>
    <row r="821" spans="2:13" x14ac:dyDescent="0.25">
      <c r="B821" t="s">
        <v>67</v>
      </c>
      <c r="C821" s="20">
        <v>157.20833333333334</v>
      </c>
      <c r="D821" t="s">
        <v>68</v>
      </c>
      <c r="E821" t="s">
        <v>69</v>
      </c>
      <c r="F821" t="s">
        <v>70</v>
      </c>
      <c r="G821" t="s">
        <v>71</v>
      </c>
      <c r="H821" t="s">
        <v>72</v>
      </c>
      <c r="I821" t="s">
        <v>73</v>
      </c>
      <c r="J821" t="str">
        <f>"45784"</f>
        <v>45784</v>
      </c>
      <c r="K821" t="s">
        <v>1250</v>
      </c>
      <c r="L821" t="s">
        <v>328</v>
      </c>
      <c r="M821" t="s">
        <v>76</v>
      </c>
    </row>
    <row r="822" spans="2:13" x14ac:dyDescent="0.25">
      <c r="B822" t="s">
        <v>67</v>
      </c>
      <c r="C822" s="20">
        <v>158.41666666666666</v>
      </c>
      <c r="D822" t="s">
        <v>68</v>
      </c>
      <c r="E822" t="s">
        <v>69</v>
      </c>
      <c r="F822" t="s">
        <v>70</v>
      </c>
      <c r="G822" t="s">
        <v>71</v>
      </c>
      <c r="H822" t="s">
        <v>72</v>
      </c>
      <c r="I822" t="s">
        <v>73</v>
      </c>
      <c r="J822" t="str">
        <f>"45785"</f>
        <v>45785</v>
      </c>
      <c r="K822" t="s">
        <v>1251</v>
      </c>
      <c r="L822" t="s">
        <v>779</v>
      </c>
      <c r="M822" t="s">
        <v>76</v>
      </c>
    </row>
    <row r="823" spans="2:13" x14ac:dyDescent="0.25">
      <c r="B823" t="s">
        <v>67</v>
      </c>
      <c r="C823" s="20">
        <v>159.625</v>
      </c>
      <c r="D823" t="s">
        <v>68</v>
      </c>
      <c r="E823" t="s">
        <v>69</v>
      </c>
      <c r="F823" t="s">
        <v>70</v>
      </c>
      <c r="G823" t="s">
        <v>71</v>
      </c>
      <c r="H823" t="s">
        <v>72</v>
      </c>
      <c r="I823" t="s">
        <v>73</v>
      </c>
      <c r="J823" t="str">
        <f>"45786"</f>
        <v>45786</v>
      </c>
      <c r="K823" t="s">
        <v>1252</v>
      </c>
      <c r="L823" t="s">
        <v>1125</v>
      </c>
      <c r="M823" t="s">
        <v>76</v>
      </c>
    </row>
    <row r="824" spans="2:13" x14ac:dyDescent="0.25">
      <c r="B824" t="s">
        <v>67</v>
      </c>
      <c r="C824" s="20">
        <v>160.83333333333334</v>
      </c>
      <c r="D824" t="s">
        <v>68</v>
      </c>
      <c r="E824" t="s">
        <v>69</v>
      </c>
      <c r="F824" t="s">
        <v>70</v>
      </c>
      <c r="G824" t="s">
        <v>71</v>
      </c>
      <c r="H824" t="s">
        <v>72</v>
      </c>
      <c r="I824" t="s">
        <v>73</v>
      </c>
      <c r="J824" t="str">
        <f>"45787"</f>
        <v>45787</v>
      </c>
      <c r="K824" t="s">
        <v>1253</v>
      </c>
      <c r="L824" t="s">
        <v>328</v>
      </c>
      <c r="M824" t="s">
        <v>76</v>
      </c>
    </row>
    <row r="825" spans="2:13" x14ac:dyDescent="0.25">
      <c r="B825" t="s">
        <v>67</v>
      </c>
      <c r="C825" s="20">
        <v>162.04166666666666</v>
      </c>
      <c r="D825" t="s">
        <v>68</v>
      </c>
      <c r="E825" t="s">
        <v>69</v>
      </c>
      <c r="F825" t="s">
        <v>70</v>
      </c>
      <c r="G825" t="s">
        <v>71</v>
      </c>
      <c r="H825" t="s">
        <v>72</v>
      </c>
      <c r="I825" t="s">
        <v>73</v>
      </c>
      <c r="J825" t="str">
        <f>"45788"</f>
        <v>45788</v>
      </c>
      <c r="K825" t="s">
        <v>1254</v>
      </c>
      <c r="L825" t="s">
        <v>328</v>
      </c>
      <c r="M825" t="s">
        <v>76</v>
      </c>
    </row>
    <row r="826" spans="2:13" x14ac:dyDescent="0.25">
      <c r="B826" t="s">
        <v>67</v>
      </c>
      <c r="C826" s="20">
        <v>163.25</v>
      </c>
      <c r="D826" t="s">
        <v>68</v>
      </c>
      <c r="E826" t="s">
        <v>69</v>
      </c>
      <c r="F826" t="s">
        <v>70</v>
      </c>
      <c r="G826" t="s">
        <v>71</v>
      </c>
      <c r="H826" t="s">
        <v>72</v>
      </c>
      <c r="I826" t="s">
        <v>73</v>
      </c>
      <c r="J826" t="str">
        <f>"45789"</f>
        <v>45789</v>
      </c>
      <c r="K826" t="s">
        <v>1255</v>
      </c>
      <c r="L826" t="s">
        <v>75</v>
      </c>
      <c r="M826" t="s">
        <v>76</v>
      </c>
    </row>
    <row r="827" spans="2:13" x14ac:dyDescent="0.25">
      <c r="B827" t="s">
        <v>67</v>
      </c>
      <c r="C827" s="20">
        <v>164.45833333333334</v>
      </c>
      <c r="D827" t="s">
        <v>68</v>
      </c>
      <c r="E827" t="s">
        <v>69</v>
      </c>
      <c r="F827" t="s">
        <v>70</v>
      </c>
      <c r="G827" t="s">
        <v>71</v>
      </c>
      <c r="H827" t="s">
        <v>72</v>
      </c>
      <c r="I827" t="s">
        <v>73</v>
      </c>
      <c r="J827" t="str">
        <f>"45790"</f>
        <v>45790</v>
      </c>
      <c r="K827" t="s">
        <v>1256</v>
      </c>
      <c r="L827" t="s">
        <v>779</v>
      </c>
      <c r="M827" t="s">
        <v>76</v>
      </c>
    </row>
    <row r="828" spans="2:13" x14ac:dyDescent="0.25">
      <c r="B828" t="s">
        <v>67</v>
      </c>
      <c r="C828" s="20">
        <v>165.66666666666666</v>
      </c>
      <c r="D828" t="s">
        <v>68</v>
      </c>
      <c r="E828" t="s">
        <v>69</v>
      </c>
      <c r="F828" t="s">
        <v>70</v>
      </c>
      <c r="G828" t="s">
        <v>71</v>
      </c>
      <c r="H828" t="s">
        <v>72</v>
      </c>
      <c r="I828" t="s">
        <v>73</v>
      </c>
      <c r="J828" t="str">
        <f>"45791"</f>
        <v>45791</v>
      </c>
      <c r="K828" t="s">
        <v>1257</v>
      </c>
      <c r="L828" t="s">
        <v>328</v>
      </c>
      <c r="M828" t="s">
        <v>76</v>
      </c>
    </row>
    <row r="829" spans="2:13" x14ac:dyDescent="0.25">
      <c r="B829" t="s">
        <v>67</v>
      </c>
      <c r="C829" s="20">
        <v>166.875</v>
      </c>
      <c r="D829" t="s">
        <v>68</v>
      </c>
      <c r="E829" t="s">
        <v>69</v>
      </c>
      <c r="F829" t="s">
        <v>70</v>
      </c>
      <c r="G829" t="s">
        <v>71</v>
      </c>
      <c r="H829" t="s">
        <v>72</v>
      </c>
      <c r="I829" t="s">
        <v>73</v>
      </c>
      <c r="J829" t="str">
        <f>"45792"</f>
        <v>45792</v>
      </c>
      <c r="K829" t="s">
        <v>1258</v>
      </c>
      <c r="L829" t="s">
        <v>1125</v>
      </c>
      <c r="M829" t="s">
        <v>76</v>
      </c>
    </row>
    <row r="830" spans="2:13" x14ac:dyDescent="0.25">
      <c r="B830" t="s">
        <v>67</v>
      </c>
      <c r="C830" s="20">
        <v>168.08333333333334</v>
      </c>
      <c r="D830" t="s">
        <v>68</v>
      </c>
      <c r="E830" t="s">
        <v>69</v>
      </c>
      <c r="F830" t="s">
        <v>70</v>
      </c>
      <c r="G830" t="s">
        <v>71</v>
      </c>
      <c r="H830" t="s">
        <v>72</v>
      </c>
      <c r="I830" t="s">
        <v>73</v>
      </c>
      <c r="J830" t="str">
        <f>"45793"</f>
        <v>45793</v>
      </c>
      <c r="K830" t="s">
        <v>1259</v>
      </c>
      <c r="L830" t="s">
        <v>127</v>
      </c>
      <c r="M830" t="s">
        <v>76</v>
      </c>
    </row>
    <row r="831" spans="2:13" x14ac:dyDescent="0.25">
      <c r="B831" t="s">
        <v>67</v>
      </c>
      <c r="C831" s="20">
        <v>169.29166666666666</v>
      </c>
      <c r="D831" t="s">
        <v>68</v>
      </c>
      <c r="E831" t="s">
        <v>69</v>
      </c>
      <c r="F831" t="s">
        <v>70</v>
      </c>
      <c r="G831" t="s">
        <v>71</v>
      </c>
      <c r="H831" t="s">
        <v>72</v>
      </c>
      <c r="I831" t="s">
        <v>73</v>
      </c>
      <c r="J831" t="str">
        <f>"45794"</f>
        <v>45794</v>
      </c>
      <c r="K831" t="s">
        <v>1260</v>
      </c>
      <c r="L831" t="s">
        <v>328</v>
      </c>
      <c r="M831" t="s">
        <v>76</v>
      </c>
    </row>
    <row r="832" spans="2:13" x14ac:dyDescent="0.25">
      <c r="B832" t="s">
        <v>67</v>
      </c>
      <c r="C832" s="20">
        <v>170.5</v>
      </c>
      <c r="D832" t="s">
        <v>68</v>
      </c>
      <c r="E832" t="s">
        <v>69</v>
      </c>
      <c r="F832" t="s">
        <v>70</v>
      </c>
      <c r="G832" t="s">
        <v>71</v>
      </c>
      <c r="H832" t="s">
        <v>72</v>
      </c>
      <c r="I832" t="s">
        <v>73</v>
      </c>
      <c r="J832" t="str">
        <f>"45795"</f>
        <v>45795</v>
      </c>
      <c r="K832" t="s">
        <v>1261</v>
      </c>
      <c r="L832" t="s">
        <v>75</v>
      </c>
      <c r="M832" t="s">
        <v>76</v>
      </c>
    </row>
    <row r="833" spans="2:13" x14ac:dyDescent="0.25">
      <c r="B833" t="s">
        <v>67</v>
      </c>
      <c r="C833" s="20">
        <v>171.70833333333334</v>
      </c>
      <c r="D833" t="s">
        <v>68</v>
      </c>
      <c r="E833" t="s">
        <v>69</v>
      </c>
      <c r="F833" t="s">
        <v>70</v>
      </c>
      <c r="G833" t="s">
        <v>71</v>
      </c>
      <c r="H833" t="s">
        <v>72</v>
      </c>
      <c r="I833" t="s">
        <v>73</v>
      </c>
      <c r="J833" t="str">
        <f>"45796"</f>
        <v>45796</v>
      </c>
      <c r="K833" t="s">
        <v>1262</v>
      </c>
      <c r="L833" t="s">
        <v>75</v>
      </c>
      <c r="M833" t="s">
        <v>76</v>
      </c>
    </row>
    <row r="834" spans="2:13" x14ac:dyDescent="0.25">
      <c r="B834" t="s">
        <v>67</v>
      </c>
      <c r="C834" s="20">
        <v>172.91666666666666</v>
      </c>
      <c r="D834" t="s">
        <v>68</v>
      </c>
      <c r="E834" t="s">
        <v>69</v>
      </c>
      <c r="F834" t="s">
        <v>70</v>
      </c>
      <c r="G834" t="s">
        <v>71</v>
      </c>
      <c r="H834" t="s">
        <v>72</v>
      </c>
      <c r="I834" t="s">
        <v>73</v>
      </c>
      <c r="J834" t="str">
        <f>"45797"</f>
        <v>45797</v>
      </c>
      <c r="K834" t="s">
        <v>1263</v>
      </c>
      <c r="L834" t="s">
        <v>328</v>
      </c>
      <c r="M834" t="s">
        <v>76</v>
      </c>
    </row>
    <row r="835" spans="2:13" x14ac:dyDescent="0.25">
      <c r="B835" t="s">
        <v>67</v>
      </c>
      <c r="C835" s="20">
        <v>174.125</v>
      </c>
      <c r="D835" t="s">
        <v>68</v>
      </c>
      <c r="E835" t="s">
        <v>69</v>
      </c>
      <c r="F835" t="s">
        <v>70</v>
      </c>
      <c r="G835" t="s">
        <v>71</v>
      </c>
      <c r="H835" t="s">
        <v>72</v>
      </c>
      <c r="I835" t="s">
        <v>73</v>
      </c>
      <c r="J835" t="str">
        <f>"45798"</f>
        <v>45798</v>
      </c>
      <c r="K835" t="s">
        <v>1264</v>
      </c>
      <c r="L835" t="s">
        <v>328</v>
      </c>
      <c r="M835" t="s">
        <v>76</v>
      </c>
    </row>
    <row r="836" spans="2:13" x14ac:dyDescent="0.25">
      <c r="B836" t="s">
        <v>67</v>
      </c>
      <c r="C836" s="20">
        <v>175.33333333333334</v>
      </c>
      <c r="D836" t="s">
        <v>68</v>
      </c>
      <c r="E836" t="s">
        <v>69</v>
      </c>
      <c r="F836" t="s">
        <v>70</v>
      </c>
      <c r="G836" t="s">
        <v>71</v>
      </c>
      <c r="H836" t="s">
        <v>72</v>
      </c>
      <c r="I836" t="s">
        <v>73</v>
      </c>
      <c r="J836" t="str">
        <f>"45799"</f>
        <v>45799</v>
      </c>
      <c r="K836" t="s">
        <v>1265</v>
      </c>
      <c r="L836" t="s">
        <v>75</v>
      </c>
      <c r="M836" t="s">
        <v>76</v>
      </c>
    </row>
    <row r="837" spans="2:13" x14ac:dyDescent="0.25">
      <c r="B837" t="s">
        <v>67</v>
      </c>
      <c r="C837" s="20">
        <v>176.54166666666666</v>
      </c>
      <c r="D837" t="s">
        <v>68</v>
      </c>
      <c r="E837" t="s">
        <v>69</v>
      </c>
      <c r="F837" t="s">
        <v>70</v>
      </c>
      <c r="G837" t="s">
        <v>71</v>
      </c>
      <c r="H837" t="s">
        <v>72</v>
      </c>
      <c r="I837" t="s">
        <v>73</v>
      </c>
      <c r="J837" t="str">
        <f>"45800"</f>
        <v>45800</v>
      </c>
      <c r="K837" t="s">
        <v>1266</v>
      </c>
      <c r="L837" t="s">
        <v>779</v>
      </c>
      <c r="M837" t="s">
        <v>76</v>
      </c>
    </row>
    <row r="838" spans="2:13" x14ac:dyDescent="0.25">
      <c r="B838" t="s">
        <v>67</v>
      </c>
      <c r="C838" s="20">
        <v>177.75</v>
      </c>
      <c r="D838" t="s">
        <v>68</v>
      </c>
      <c r="E838" t="s">
        <v>69</v>
      </c>
      <c r="F838" t="s">
        <v>70</v>
      </c>
      <c r="G838" t="s">
        <v>71</v>
      </c>
      <c r="H838" t="s">
        <v>72</v>
      </c>
      <c r="I838" t="s">
        <v>73</v>
      </c>
      <c r="J838" t="str">
        <f>"45801"</f>
        <v>45801</v>
      </c>
      <c r="K838" t="s">
        <v>1267</v>
      </c>
      <c r="L838" t="s">
        <v>328</v>
      </c>
      <c r="M838" t="s">
        <v>76</v>
      </c>
    </row>
    <row r="839" spans="2:13" x14ac:dyDescent="0.25">
      <c r="B839" t="s">
        <v>67</v>
      </c>
      <c r="C839" s="20">
        <v>178.95833333333334</v>
      </c>
      <c r="D839" t="s">
        <v>68</v>
      </c>
      <c r="E839" t="s">
        <v>69</v>
      </c>
      <c r="F839" t="s">
        <v>70</v>
      </c>
      <c r="G839" t="s">
        <v>71</v>
      </c>
      <c r="H839" t="s">
        <v>72</v>
      </c>
      <c r="I839" t="s">
        <v>73</v>
      </c>
      <c r="J839" t="str">
        <f>"45802"</f>
        <v>45802</v>
      </c>
      <c r="K839" t="s">
        <v>1268</v>
      </c>
      <c r="L839" t="s">
        <v>779</v>
      </c>
      <c r="M839" t="s">
        <v>76</v>
      </c>
    </row>
    <row r="840" spans="2:13" x14ac:dyDescent="0.25">
      <c r="B840" t="s">
        <v>67</v>
      </c>
      <c r="C840" s="20">
        <v>180.16666666666666</v>
      </c>
      <c r="D840" t="s">
        <v>68</v>
      </c>
      <c r="E840" t="s">
        <v>69</v>
      </c>
      <c r="F840" t="s">
        <v>70</v>
      </c>
      <c r="G840" t="s">
        <v>71</v>
      </c>
      <c r="H840" t="s">
        <v>72</v>
      </c>
      <c r="I840" t="s">
        <v>73</v>
      </c>
      <c r="J840" t="str">
        <f>"45803"</f>
        <v>45803</v>
      </c>
      <c r="K840" t="s">
        <v>1269</v>
      </c>
      <c r="L840" t="s">
        <v>328</v>
      </c>
      <c r="M840" t="s">
        <v>76</v>
      </c>
    </row>
    <row r="841" spans="2:13" x14ac:dyDescent="0.25">
      <c r="B841" t="s">
        <v>67</v>
      </c>
      <c r="C841" s="20">
        <v>181.375</v>
      </c>
      <c r="D841" t="s">
        <v>68</v>
      </c>
      <c r="E841" t="s">
        <v>69</v>
      </c>
      <c r="F841" t="s">
        <v>70</v>
      </c>
      <c r="G841" t="s">
        <v>71</v>
      </c>
      <c r="H841" t="s">
        <v>72</v>
      </c>
      <c r="I841" t="s">
        <v>73</v>
      </c>
      <c r="J841" t="str">
        <f>"45804"</f>
        <v>45804</v>
      </c>
      <c r="K841" t="s">
        <v>1270</v>
      </c>
      <c r="L841" t="s">
        <v>75</v>
      </c>
      <c r="M841" t="s">
        <v>76</v>
      </c>
    </row>
    <row r="842" spans="2:13" x14ac:dyDescent="0.25">
      <c r="B842" t="s">
        <v>67</v>
      </c>
      <c r="C842" s="20">
        <v>182.58333333333334</v>
      </c>
      <c r="D842" t="s">
        <v>68</v>
      </c>
      <c r="E842" t="s">
        <v>69</v>
      </c>
      <c r="F842" t="s">
        <v>70</v>
      </c>
      <c r="G842" t="s">
        <v>71</v>
      </c>
      <c r="H842" t="s">
        <v>72</v>
      </c>
      <c r="I842" t="s">
        <v>73</v>
      </c>
      <c r="J842" t="str">
        <f>"45805"</f>
        <v>45805</v>
      </c>
      <c r="K842" t="s">
        <v>1271</v>
      </c>
      <c r="L842" t="s">
        <v>779</v>
      </c>
      <c r="M842" t="s">
        <v>76</v>
      </c>
    </row>
    <row r="843" spans="2:13" x14ac:dyDescent="0.25">
      <c r="B843" t="s">
        <v>67</v>
      </c>
      <c r="C843" s="20">
        <v>183.79166666666666</v>
      </c>
      <c r="D843" t="s">
        <v>68</v>
      </c>
      <c r="E843" t="s">
        <v>69</v>
      </c>
      <c r="F843" t="s">
        <v>70</v>
      </c>
      <c r="G843" t="s">
        <v>71</v>
      </c>
      <c r="H843" t="s">
        <v>72</v>
      </c>
      <c r="I843" t="s">
        <v>73</v>
      </c>
      <c r="J843" t="str">
        <f>"45806"</f>
        <v>45806</v>
      </c>
      <c r="K843" t="s">
        <v>1272</v>
      </c>
      <c r="L843" t="s">
        <v>328</v>
      </c>
      <c r="M843" t="s">
        <v>76</v>
      </c>
    </row>
    <row r="844" spans="2:13" x14ac:dyDescent="0.25">
      <c r="B844" t="s">
        <v>67</v>
      </c>
      <c r="C844" s="20">
        <v>185</v>
      </c>
      <c r="D844" t="s">
        <v>68</v>
      </c>
      <c r="E844" t="s">
        <v>69</v>
      </c>
      <c r="F844" t="s">
        <v>70</v>
      </c>
      <c r="G844" t="s">
        <v>71</v>
      </c>
      <c r="H844" t="s">
        <v>72</v>
      </c>
      <c r="I844" t="s">
        <v>73</v>
      </c>
      <c r="J844" t="str">
        <f>"45807"</f>
        <v>45807</v>
      </c>
      <c r="K844" t="s">
        <v>1273</v>
      </c>
      <c r="L844" t="s">
        <v>328</v>
      </c>
      <c r="M844" t="s">
        <v>76</v>
      </c>
    </row>
    <row r="845" spans="2:13" x14ac:dyDescent="0.25">
      <c r="B845" t="s">
        <v>67</v>
      </c>
      <c r="C845" s="20">
        <v>186.20833333333334</v>
      </c>
      <c r="D845" t="s">
        <v>68</v>
      </c>
      <c r="E845" t="s">
        <v>69</v>
      </c>
      <c r="F845" t="s">
        <v>70</v>
      </c>
      <c r="G845" t="s">
        <v>71</v>
      </c>
      <c r="H845" t="s">
        <v>72</v>
      </c>
      <c r="I845" t="s">
        <v>73</v>
      </c>
      <c r="J845" t="str">
        <f>"45808"</f>
        <v>45808</v>
      </c>
      <c r="K845" t="s">
        <v>1274</v>
      </c>
      <c r="L845" t="s">
        <v>75</v>
      </c>
      <c r="M845" t="s">
        <v>76</v>
      </c>
    </row>
    <row r="846" spans="2:13" x14ac:dyDescent="0.25">
      <c r="B846" t="s">
        <v>67</v>
      </c>
      <c r="C846" s="20">
        <v>187.41666666666666</v>
      </c>
      <c r="D846" t="s">
        <v>68</v>
      </c>
      <c r="E846" t="s">
        <v>69</v>
      </c>
      <c r="F846" t="s">
        <v>70</v>
      </c>
      <c r="G846" t="s">
        <v>71</v>
      </c>
      <c r="H846" t="s">
        <v>72</v>
      </c>
      <c r="I846" t="s">
        <v>73</v>
      </c>
      <c r="J846" t="str">
        <f>"45809"</f>
        <v>45809</v>
      </c>
      <c r="K846" t="s">
        <v>1275</v>
      </c>
      <c r="L846" t="s">
        <v>328</v>
      </c>
      <c r="M846" t="s">
        <v>76</v>
      </c>
    </row>
    <row r="847" spans="2:13" x14ac:dyDescent="0.25">
      <c r="B847" t="s">
        <v>67</v>
      </c>
      <c r="C847" s="20">
        <v>188.625</v>
      </c>
      <c r="D847" t="s">
        <v>68</v>
      </c>
      <c r="E847" t="s">
        <v>69</v>
      </c>
      <c r="F847" t="s">
        <v>70</v>
      </c>
      <c r="G847" t="s">
        <v>71</v>
      </c>
      <c r="H847" t="s">
        <v>72</v>
      </c>
      <c r="I847" t="s">
        <v>73</v>
      </c>
      <c r="J847" t="str">
        <f>"45810"</f>
        <v>45810</v>
      </c>
      <c r="K847" t="s">
        <v>1276</v>
      </c>
      <c r="L847" t="s">
        <v>75</v>
      </c>
      <c r="M847" t="s">
        <v>76</v>
      </c>
    </row>
    <row r="848" spans="2:13" x14ac:dyDescent="0.25">
      <c r="B848" t="s">
        <v>67</v>
      </c>
      <c r="C848" s="20">
        <v>189.83333333333334</v>
      </c>
      <c r="D848" t="s">
        <v>68</v>
      </c>
      <c r="E848" t="s">
        <v>69</v>
      </c>
      <c r="F848" t="s">
        <v>70</v>
      </c>
      <c r="G848" t="s">
        <v>71</v>
      </c>
      <c r="H848" t="s">
        <v>72</v>
      </c>
      <c r="I848" t="s">
        <v>73</v>
      </c>
      <c r="J848" t="str">
        <f>"45811"</f>
        <v>45811</v>
      </c>
      <c r="K848" t="s">
        <v>1277</v>
      </c>
      <c r="L848" t="s">
        <v>779</v>
      </c>
      <c r="M848" t="s">
        <v>76</v>
      </c>
    </row>
    <row r="849" spans="2:13" x14ac:dyDescent="0.25">
      <c r="B849" t="s">
        <v>67</v>
      </c>
      <c r="C849" s="20">
        <v>191.04166666666666</v>
      </c>
      <c r="D849" t="s">
        <v>68</v>
      </c>
      <c r="E849" t="s">
        <v>69</v>
      </c>
      <c r="F849" t="s">
        <v>70</v>
      </c>
      <c r="G849" t="s">
        <v>71</v>
      </c>
      <c r="H849" t="s">
        <v>72</v>
      </c>
      <c r="I849" t="s">
        <v>73</v>
      </c>
      <c r="J849" t="str">
        <f>"45812"</f>
        <v>45812</v>
      </c>
      <c r="K849" t="s">
        <v>1278</v>
      </c>
      <c r="L849" t="s">
        <v>779</v>
      </c>
      <c r="M849" t="s">
        <v>76</v>
      </c>
    </row>
    <row r="850" spans="2:13" x14ac:dyDescent="0.25">
      <c r="B850" t="s">
        <v>67</v>
      </c>
      <c r="C850" s="20">
        <v>192.25</v>
      </c>
      <c r="D850" t="s">
        <v>68</v>
      </c>
      <c r="E850" t="s">
        <v>69</v>
      </c>
      <c r="F850" t="s">
        <v>70</v>
      </c>
      <c r="G850" t="s">
        <v>71</v>
      </c>
      <c r="H850" t="s">
        <v>72</v>
      </c>
      <c r="I850" t="s">
        <v>73</v>
      </c>
      <c r="J850" t="str">
        <f>"45813"</f>
        <v>45813</v>
      </c>
      <c r="K850" t="s">
        <v>1279</v>
      </c>
      <c r="L850" t="s">
        <v>127</v>
      </c>
      <c r="M850" t="s">
        <v>76</v>
      </c>
    </row>
    <row r="851" spans="2:13" x14ac:dyDescent="0.25">
      <c r="B851" t="s">
        <v>67</v>
      </c>
      <c r="C851" s="20">
        <v>193.45833333333334</v>
      </c>
      <c r="D851" t="s">
        <v>68</v>
      </c>
      <c r="E851" t="s">
        <v>69</v>
      </c>
      <c r="F851" t="s">
        <v>70</v>
      </c>
      <c r="G851" t="s">
        <v>71</v>
      </c>
      <c r="H851" t="s">
        <v>72</v>
      </c>
      <c r="I851" t="s">
        <v>73</v>
      </c>
      <c r="J851" t="str">
        <f>"45814"</f>
        <v>45814</v>
      </c>
      <c r="K851" t="s">
        <v>1280</v>
      </c>
      <c r="L851" t="s">
        <v>127</v>
      </c>
      <c r="M851" t="s">
        <v>76</v>
      </c>
    </row>
    <row r="852" spans="2:13" x14ac:dyDescent="0.25">
      <c r="B852" t="s">
        <v>67</v>
      </c>
      <c r="C852" s="20">
        <v>194.66666666666666</v>
      </c>
      <c r="D852" t="s">
        <v>68</v>
      </c>
      <c r="E852" t="s">
        <v>69</v>
      </c>
      <c r="F852" t="s">
        <v>70</v>
      </c>
      <c r="G852" t="s">
        <v>71</v>
      </c>
      <c r="H852" t="s">
        <v>72</v>
      </c>
      <c r="I852" t="s">
        <v>73</v>
      </c>
      <c r="J852" t="str">
        <f>"45815"</f>
        <v>45815</v>
      </c>
      <c r="K852" t="s">
        <v>1281</v>
      </c>
      <c r="L852" t="s">
        <v>779</v>
      </c>
      <c r="M852" t="s">
        <v>76</v>
      </c>
    </row>
    <row r="853" spans="2:13" x14ac:dyDescent="0.25">
      <c r="B853" t="s">
        <v>67</v>
      </c>
      <c r="C853" s="20">
        <v>195.875</v>
      </c>
      <c r="D853" t="s">
        <v>68</v>
      </c>
      <c r="E853" t="s">
        <v>69</v>
      </c>
      <c r="F853" t="s">
        <v>70</v>
      </c>
      <c r="G853" t="s">
        <v>71</v>
      </c>
      <c r="H853" t="s">
        <v>72</v>
      </c>
      <c r="I853" t="s">
        <v>73</v>
      </c>
      <c r="J853" t="str">
        <f>"45816"</f>
        <v>45816</v>
      </c>
      <c r="K853" t="s">
        <v>1282</v>
      </c>
      <c r="L853" t="s">
        <v>779</v>
      </c>
      <c r="M853" t="s">
        <v>76</v>
      </c>
    </row>
    <row r="854" spans="2:13" x14ac:dyDescent="0.25">
      <c r="B854" t="s">
        <v>67</v>
      </c>
      <c r="C854" s="20">
        <v>197.08333333333334</v>
      </c>
      <c r="D854" t="s">
        <v>68</v>
      </c>
      <c r="E854" t="s">
        <v>69</v>
      </c>
      <c r="F854" t="s">
        <v>70</v>
      </c>
      <c r="G854" t="s">
        <v>71</v>
      </c>
      <c r="H854" t="s">
        <v>72</v>
      </c>
      <c r="I854" t="s">
        <v>73</v>
      </c>
      <c r="J854" t="str">
        <f>"45817"</f>
        <v>45817</v>
      </c>
      <c r="K854" t="s">
        <v>1283</v>
      </c>
      <c r="L854" t="s">
        <v>1125</v>
      </c>
      <c r="M854" t="s">
        <v>76</v>
      </c>
    </row>
    <row r="855" spans="2:13" x14ac:dyDescent="0.25">
      <c r="B855" t="s">
        <v>67</v>
      </c>
      <c r="C855" s="20">
        <v>198.29166666666666</v>
      </c>
      <c r="D855" t="s">
        <v>68</v>
      </c>
      <c r="E855" t="s">
        <v>69</v>
      </c>
      <c r="F855" t="s">
        <v>70</v>
      </c>
      <c r="G855" t="s">
        <v>71</v>
      </c>
      <c r="H855" t="s">
        <v>72</v>
      </c>
      <c r="I855" t="s">
        <v>73</v>
      </c>
      <c r="J855" t="str">
        <f>"45818"</f>
        <v>45818</v>
      </c>
      <c r="K855" t="s">
        <v>1284</v>
      </c>
      <c r="L855" t="s">
        <v>328</v>
      </c>
      <c r="M855" t="s">
        <v>76</v>
      </c>
    </row>
    <row r="856" spans="2:13" x14ac:dyDescent="0.25">
      <c r="B856" t="s">
        <v>67</v>
      </c>
      <c r="C856" s="20">
        <v>199.5</v>
      </c>
      <c r="D856" t="s">
        <v>68</v>
      </c>
      <c r="E856" t="s">
        <v>69</v>
      </c>
      <c r="F856" t="s">
        <v>70</v>
      </c>
      <c r="G856" t="s">
        <v>71</v>
      </c>
      <c r="H856" t="s">
        <v>72</v>
      </c>
      <c r="I856" t="s">
        <v>73</v>
      </c>
      <c r="J856" t="str">
        <f>"45819"</f>
        <v>45819</v>
      </c>
      <c r="K856" t="s">
        <v>1285</v>
      </c>
      <c r="L856" t="s">
        <v>779</v>
      </c>
      <c r="M856" t="s">
        <v>76</v>
      </c>
    </row>
    <row r="857" spans="2:13" x14ac:dyDescent="0.25">
      <c r="B857" t="s">
        <v>67</v>
      </c>
      <c r="C857" s="20">
        <v>200.70833333333334</v>
      </c>
      <c r="D857" t="s">
        <v>68</v>
      </c>
      <c r="E857" t="s">
        <v>69</v>
      </c>
      <c r="F857" t="s">
        <v>70</v>
      </c>
      <c r="G857" t="s">
        <v>71</v>
      </c>
      <c r="H857" t="s">
        <v>72</v>
      </c>
      <c r="I857" t="s">
        <v>73</v>
      </c>
      <c r="J857" t="str">
        <f>"45820"</f>
        <v>45820</v>
      </c>
      <c r="K857" t="s">
        <v>1286</v>
      </c>
      <c r="L857" t="s">
        <v>328</v>
      </c>
      <c r="M857" t="s">
        <v>76</v>
      </c>
    </row>
    <row r="858" spans="2:13" x14ac:dyDescent="0.25">
      <c r="B858" t="s">
        <v>67</v>
      </c>
      <c r="C858" s="20">
        <v>201.91666666666666</v>
      </c>
      <c r="D858" t="s">
        <v>68</v>
      </c>
      <c r="E858" t="s">
        <v>69</v>
      </c>
      <c r="F858" t="s">
        <v>70</v>
      </c>
      <c r="G858" t="s">
        <v>71</v>
      </c>
      <c r="H858" t="s">
        <v>72</v>
      </c>
      <c r="I858" t="s">
        <v>73</v>
      </c>
      <c r="J858" t="str">
        <f>"45821"</f>
        <v>45821</v>
      </c>
      <c r="K858" t="s">
        <v>1287</v>
      </c>
      <c r="L858" t="s">
        <v>75</v>
      </c>
      <c r="M858" t="s">
        <v>76</v>
      </c>
    </row>
    <row r="859" spans="2:13" x14ac:dyDescent="0.25">
      <c r="B859" t="s">
        <v>67</v>
      </c>
      <c r="C859" s="20">
        <v>203.125</v>
      </c>
      <c r="D859" t="s">
        <v>68</v>
      </c>
      <c r="E859" t="s">
        <v>69</v>
      </c>
      <c r="F859" t="s">
        <v>70</v>
      </c>
      <c r="G859" t="s">
        <v>71</v>
      </c>
      <c r="H859" t="s">
        <v>72</v>
      </c>
      <c r="I859" t="s">
        <v>73</v>
      </c>
      <c r="J859" t="str">
        <f>"45822"</f>
        <v>45822</v>
      </c>
      <c r="K859" t="s">
        <v>1288</v>
      </c>
      <c r="L859" t="s">
        <v>1125</v>
      </c>
      <c r="M859" t="s">
        <v>76</v>
      </c>
    </row>
    <row r="860" spans="2:13" x14ac:dyDescent="0.25">
      <c r="B860" t="s">
        <v>67</v>
      </c>
      <c r="C860" s="20">
        <v>204.33333333333334</v>
      </c>
      <c r="D860" t="s">
        <v>68</v>
      </c>
      <c r="E860" t="s">
        <v>69</v>
      </c>
      <c r="F860" t="s">
        <v>70</v>
      </c>
      <c r="G860" t="s">
        <v>71</v>
      </c>
      <c r="H860" t="s">
        <v>72</v>
      </c>
      <c r="I860" t="s">
        <v>73</v>
      </c>
      <c r="J860" t="str">
        <f>"45823"</f>
        <v>45823</v>
      </c>
      <c r="K860" t="s">
        <v>1289</v>
      </c>
      <c r="L860" t="s">
        <v>328</v>
      </c>
      <c r="M860" t="s">
        <v>76</v>
      </c>
    </row>
    <row r="861" spans="2:13" x14ac:dyDescent="0.25">
      <c r="B861" t="s">
        <v>67</v>
      </c>
      <c r="C861" s="20">
        <v>205.54166666666666</v>
      </c>
      <c r="D861" t="s">
        <v>68</v>
      </c>
      <c r="E861" t="s">
        <v>69</v>
      </c>
      <c r="F861" t="s">
        <v>70</v>
      </c>
      <c r="G861" t="s">
        <v>71</v>
      </c>
      <c r="H861" t="s">
        <v>72</v>
      </c>
      <c r="I861" t="s">
        <v>73</v>
      </c>
      <c r="J861" t="str">
        <f>"45824"</f>
        <v>45824</v>
      </c>
      <c r="K861" t="s">
        <v>1290</v>
      </c>
      <c r="L861" t="s">
        <v>779</v>
      </c>
      <c r="M861" t="s">
        <v>76</v>
      </c>
    </row>
    <row r="862" spans="2:13" x14ac:dyDescent="0.25">
      <c r="B862" t="s">
        <v>67</v>
      </c>
      <c r="C862" s="20">
        <v>206.75</v>
      </c>
      <c r="D862" t="s">
        <v>68</v>
      </c>
      <c r="E862" t="s">
        <v>69</v>
      </c>
      <c r="F862" t="s">
        <v>70</v>
      </c>
      <c r="G862" t="s">
        <v>71</v>
      </c>
      <c r="H862" t="s">
        <v>72</v>
      </c>
      <c r="I862" t="s">
        <v>73</v>
      </c>
      <c r="J862" t="str">
        <f>"45825"</f>
        <v>45825</v>
      </c>
      <c r="K862" t="s">
        <v>1291</v>
      </c>
      <c r="L862" t="s">
        <v>75</v>
      </c>
      <c r="M862" t="s">
        <v>76</v>
      </c>
    </row>
    <row r="863" spans="2:13" x14ac:dyDescent="0.25">
      <c r="B863" t="s">
        <v>67</v>
      </c>
      <c r="C863" s="20">
        <v>207.95833333333334</v>
      </c>
      <c r="D863" t="s">
        <v>68</v>
      </c>
      <c r="E863" t="s">
        <v>69</v>
      </c>
      <c r="F863" t="s">
        <v>70</v>
      </c>
      <c r="G863" t="s">
        <v>71</v>
      </c>
      <c r="H863" t="s">
        <v>72</v>
      </c>
      <c r="I863" t="s">
        <v>73</v>
      </c>
      <c r="J863" t="str">
        <f>"45826"</f>
        <v>45826</v>
      </c>
      <c r="K863" t="s">
        <v>1292</v>
      </c>
      <c r="L863" t="s">
        <v>1125</v>
      </c>
      <c r="M863" t="s">
        <v>76</v>
      </c>
    </row>
    <row r="864" spans="2:13" x14ac:dyDescent="0.25">
      <c r="B864" t="s">
        <v>67</v>
      </c>
      <c r="C864" s="20">
        <v>209.16666666666666</v>
      </c>
      <c r="D864" t="s">
        <v>68</v>
      </c>
      <c r="E864" t="s">
        <v>69</v>
      </c>
      <c r="F864" t="s">
        <v>70</v>
      </c>
      <c r="G864" t="s">
        <v>71</v>
      </c>
      <c r="H864" t="s">
        <v>72</v>
      </c>
      <c r="I864" t="s">
        <v>73</v>
      </c>
      <c r="J864" t="str">
        <f>"45827"</f>
        <v>45827</v>
      </c>
      <c r="K864" t="s">
        <v>1293</v>
      </c>
      <c r="L864" t="s">
        <v>127</v>
      </c>
      <c r="M864" t="s">
        <v>76</v>
      </c>
    </row>
    <row r="865" spans="2:13" x14ac:dyDescent="0.25">
      <c r="B865" t="s">
        <v>67</v>
      </c>
      <c r="C865" s="20">
        <v>210.375</v>
      </c>
      <c r="D865" t="s">
        <v>68</v>
      </c>
      <c r="E865" t="s">
        <v>69</v>
      </c>
      <c r="F865" t="s">
        <v>70</v>
      </c>
      <c r="G865" t="s">
        <v>71</v>
      </c>
      <c r="H865" t="s">
        <v>72</v>
      </c>
      <c r="I865" t="s">
        <v>73</v>
      </c>
      <c r="J865" t="str">
        <f>"45828"</f>
        <v>45828</v>
      </c>
      <c r="K865" t="s">
        <v>1294</v>
      </c>
      <c r="L865" t="s">
        <v>779</v>
      </c>
      <c r="M865" t="s">
        <v>76</v>
      </c>
    </row>
    <row r="866" spans="2:13" x14ac:dyDescent="0.25">
      <c r="B866" t="s">
        <v>67</v>
      </c>
      <c r="C866" s="20">
        <v>211.58333333333334</v>
      </c>
      <c r="D866" t="s">
        <v>68</v>
      </c>
      <c r="E866" t="s">
        <v>69</v>
      </c>
      <c r="F866" t="s">
        <v>70</v>
      </c>
      <c r="G866" t="s">
        <v>71</v>
      </c>
      <c r="H866" t="s">
        <v>72</v>
      </c>
      <c r="I866" t="s">
        <v>73</v>
      </c>
      <c r="J866" t="str">
        <f>"45829"</f>
        <v>45829</v>
      </c>
      <c r="K866" t="s">
        <v>1295</v>
      </c>
      <c r="L866" t="s">
        <v>779</v>
      </c>
      <c r="M866" t="s">
        <v>76</v>
      </c>
    </row>
    <row r="867" spans="2:13" x14ac:dyDescent="0.25">
      <c r="B867" t="s">
        <v>67</v>
      </c>
      <c r="C867" s="20">
        <v>212.79166666666666</v>
      </c>
      <c r="D867" t="s">
        <v>68</v>
      </c>
      <c r="E867" t="s">
        <v>69</v>
      </c>
      <c r="F867" t="s">
        <v>70</v>
      </c>
      <c r="G867" t="s">
        <v>71</v>
      </c>
      <c r="H867" t="s">
        <v>72</v>
      </c>
      <c r="I867" t="s">
        <v>73</v>
      </c>
      <c r="J867" t="str">
        <f>"45830"</f>
        <v>45830</v>
      </c>
      <c r="K867" t="s">
        <v>1296</v>
      </c>
      <c r="L867" t="s">
        <v>75</v>
      </c>
      <c r="M867" t="s">
        <v>76</v>
      </c>
    </row>
    <row r="868" spans="2:13" x14ac:dyDescent="0.25">
      <c r="B868" t="s">
        <v>67</v>
      </c>
      <c r="C868" s="20">
        <v>214</v>
      </c>
      <c r="D868" t="s">
        <v>68</v>
      </c>
      <c r="E868" t="s">
        <v>69</v>
      </c>
      <c r="F868" t="s">
        <v>70</v>
      </c>
      <c r="G868" t="s">
        <v>71</v>
      </c>
      <c r="H868" t="s">
        <v>72</v>
      </c>
      <c r="I868" t="s">
        <v>73</v>
      </c>
      <c r="J868" t="str">
        <f>"45831"</f>
        <v>45831</v>
      </c>
      <c r="K868" t="s">
        <v>1297</v>
      </c>
      <c r="L868" t="s">
        <v>328</v>
      </c>
      <c r="M868" t="s">
        <v>76</v>
      </c>
    </row>
    <row r="869" spans="2:13" x14ac:dyDescent="0.25">
      <c r="B869" t="s">
        <v>67</v>
      </c>
      <c r="C869" s="20">
        <v>215.20833333333334</v>
      </c>
      <c r="D869" t="s">
        <v>68</v>
      </c>
      <c r="E869" t="s">
        <v>69</v>
      </c>
      <c r="F869" t="s">
        <v>70</v>
      </c>
      <c r="G869" t="s">
        <v>71</v>
      </c>
      <c r="H869" t="s">
        <v>72</v>
      </c>
      <c r="I869" t="s">
        <v>73</v>
      </c>
      <c r="J869" t="str">
        <f>"45832"</f>
        <v>45832</v>
      </c>
      <c r="K869" t="s">
        <v>1298</v>
      </c>
      <c r="L869" t="s">
        <v>1125</v>
      </c>
      <c r="M869" t="s">
        <v>76</v>
      </c>
    </row>
    <row r="870" spans="2:13" x14ac:dyDescent="0.25">
      <c r="B870" t="s">
        <v>67</v>
      </c>
      <c r="C870" s="20">
        <v>216.41666666666666</v>
      </c>
      <c r="D870" t="s">
        <v>68</v>
      </c>
      <c r="E870" t="s">
        <v>69</v>
      </c>
      <c r="F870" t="s">
        <v>70</v>
      </c>
      <c r="G870" t="s">
        <v>71</v>
      </c>
      <c r="H870" t="s">
        <v>72</v>
      </c>
      <c r="I870" t="s">
        <v>73</v>
      </c>
      <c r="J870" t="str">
        <f>"45833"</f>
        <v>45833</v>
      </c>
      <c r="K870" t="s">
        <v>1299</v>
      </c>
      <c r="L870" t="s">
        <v>127</v>
      </c>
      <c r="M870" t="s">
        <v>76</v>
      </c>
    </row>
    <row r="871" spans="2:13" x14ac:dyDescent="0.25">
      <c r="B871" t="s">
        <v>67</v>
      </c>
      <c r="C871" s="20">
        <v>217.625</v>
      </c>
      <c r="D871" t="s">
        <v>68</v>
      </c>
      <c r="E871" t="s">
        <v>69</v>
      </c>
      <c r="F871" t="s">
        <v>70</v>
      </c>
      <c r="G871" t="s">
        <v>71</v>
      </c>
      <c r="H871" t="s">
        <v>72</v>
      </c>
      <c r="I871" t="s">
        <v>73</v>
      </c>
      <c r="J871" t="str">
        <f>"45834"</f>
        <v>45834</v>
      </c>
      <c r="K871" t="s">
        <v>1300</v>
      </c>
      <c r="L871" t="s">
        <v>1125</v>
      </c>
      <c r="M871" t="s">
        <v>76</v>
      </c>
    </row>
    <row r="872" spans="2:13" x14ac:dyDescent="0.25">
      <c r="B872" t="s">
        <v>67</v>
      </c>
      <c r="C872" s="20">
        <v>218.83333333333334</v>
      </c>
      <c r="D872" t="s">
        <v>68</v>
      </c>
      <c r="E872" t="s">
        <v>69</v>
      </c>
      <c r="F872" t="s">
        <v>70</v>
      </c>
      <c r="G872" t="s">
        <v>71</v>
      </c>
      <c r="H872" t="s">
        <v>72</v>
      </c>
      <c r="I872" t="s">
        <v>73</v>
      </c>
      <c r="J872" t="str">
        <f>"45835"</f>
        <v>45835</v>
      </c>
      <c r="K872" t="s">
        <v>1301</v>
      </c>
      <c r="L872" t="s">
        <v>1125</v>
      </c>
      <c r="M872" t="s">
        <v>76</v>
      </c>
    </row>
    <row r="873" spans="2:13" x14ac:dyDescent="0.25">
      <c r="B873" t="s">
        <v>67</v>
      </c>
      <c r="C873" s="20">
        <v>220.04166666666666</v>
      </c>
      <c r="D873" t="s">
        <v>68</v>
      </c>
      <c r="E873" t="s">
        <v>69</v>
      </c>
      <c r="F873" t="s">
        <v>70</v>
      </c>
      <c r="G873" t="s">
        <v>71</v>
      </c>
      <c r="H873" t="s">
        <v>72</v>
      </c>
      <c r="I873" t="s">
        <v>73</v>
      </c>
      <c r="J873" t="str">
        <f>"45836"</f>
        <v>45836</v>
      </c>
      <c r="K873" t="s">
        <v>1302</v>
      </c>
      <c r="L873" t="s">
        <v>1125</v>
      </c>
      <c r="M873" t="s">
        <v>76</v>
      </c>
    </row>
    <row r="874" spans="2:13" x14ac:dyDescent="0.25">
      <c r="B874" t="s">
        <v>67</v>
      </c>
      <c r="C874" s="20">
        <v>221.25</v>
      </c>
      <c r="D874" t="s">
        <v>68</v>
      </c>
      <c r="E874" t="s">
        <v>69</v>
      </c>
      <c r="F874" t="s">
        <v>70</v>
      </c>
      <c r="G874" t="s">
        <v>71</v>
      </c>
      <c r="H874" t="s">
        <v>72</v>
      </c>
      <c r="I874" t="s">
        <v>73</v>
      </c>
      <c r="J874" t="str">
        <f>"45837"</f>
        <v>45837</v>
      </c>
      <c r="K874" t="s">
        <v>1303</v>
      </c>
      <c r="L874" t="s">
        <v>1125</v>
      </c>
      <c r="M874" t="s">
        <v>76</v>
      </c>
    </row>
    <row r="875" spans="2:13" x14ac:dyDescent="0.25">
      <c r="B875" t="s">
        <v>67</v>
      </c>
      <c r="C875" s="20">
        <v>222.45833333333334</v>
      </c>
      <c r="D875" t="s">
        <v>68</v>
      </c>
      <c r="E875" t="s">
        <v>69</v>
      </c>
      <c r="F875" t="s">
        <v>70</v>
      </c>
      <c r="G875" t="s">
        <v>71</v>
      </c>
      <c r="H875" t="s">
        <v>72</v>
      </c>
      <c r="I875" t="s">
        <v>73</v>
      </c>
      <c r="J875" t="str">
        <f>"45838"</f>
        <v>45838</v>
      </c>
      <c r="K875" t="s">
        <v>1304</v>
      </c>
      <c r="L875" t="s">
        <v>1125</v>
      </c>
      <c r="M875" t="s">
        <v>76</v>
      </c>
    </row>
    <row r="876" spans="2:13" x14ac:dyDescent="0.25">
      <c r="B876" t="s">
        <v>67</v>
      </c>
      <c r="C876" s="20">
        <v>223.66666666666666</v>
      </c>
      <c r="D876" t="s">
        <v>68</v>
      </c>
      <c r="E876" t="s">
        <v>69</v>
      </c>
      <c r="F876" t="s">
        <v>70</v>
      </c>
      <c r="G876" t="s">
        <v>71</v>
      </c>
      <c r="H876" t="s">
        <v>72</v>
      </c>
      <c r="I876" t="s">
        <v>73</v>
      </c>
      <c r="J876" t="str">
        <f>"45839"</f>
        <v>45839</v>
      </c>
      <c r="K876" t="s">
        <v>1305</v>
      </c>
      <c r="L876" t="s">
        <v>1125</v>
      </c>
      <c r="M876" t="s">
        <v>76</v>
      </c>
    </row>
    <row r="877" spans="2:13" x14ac:dyDescent="0.25">
      <c r="B877" t="s">
        <v>67</v>
      </c>
      <c r="C877" s="20">
        <v>224.875</v>
      </c>
      <c r="D877" t="s">
        <v>68</v>
      </c>
      <c r="E877" t="s">
        <v>69</v>
      </c>
      <c r="F877" t="s">
        <v>70</v>
      </c>
      <c r="G877" t="s">
        <v>71</v>
      </c>
      <c r="H877" t="s">
        <v>72</v>
      </c>
      <c r="I877" t="s">
        <v>73</v>
      </c>
      <c r="J877" t="str">
        <f>"45840"</f>
        <v>45840</v>
      </c>
      <c r="K877" t="s">
        <v>1306</v>
      </c>
      <c r="L877" t="s">
        <v>1125</v>
      </c>
      <c r="M877" t="s">
        <v>76</v>
      </c>
    </row>
    <row r="878" spans="2:13" x14ac:dyDescent="0.25">
      <c r="B878" t="s">
        <v>67</v>
      </c>
      <c r="C878" s="20">
        <v>226.08333333333334</v>
      </c>
      <c r="D878" t="s">
        <v>68</v>
      </c>
      <c r="E878" t="s">
        <v>69</v>
      </c>
      <c r="F878" t="s">
        <v>70</v>
      </c>
      <c r="G878" t="s">
        <v>71</v>
      </c>
      <c r="H878" t="s">
        <v>72</v>
      </c>
      <c r="I878" t="s">
        <v>73</v>
      </c>
      <c r="J878" t="str">
        <f>"45841"</f>
        <v>45841</v>
      </c>
      <c r="K878" t="s">
        <v>1307</v>
      </c>
      <c r="L878" t="s">
        <v>1125</v>
      </c>
      <c r="M878" t="s">
        <v>76</v>
      </c>
    </row>
    <row r="879" spans="2:13" x14ac:dyDescent="0.25">
      <c r="B879" t="s">
        <v>67</v>
      </c>
      <c r="C879" s="20">
        <v>227.29166666666666</v>
      </c>
      <c r="D879" t="s">
        <v>68</v>
      </c>
      <c r="E879" t="s">
        <v>69</v>
      </c>
      <c r="F879" t="s">
        <v>70</v>
      </c>
      <c r="G879" t="s">
        <v>71</v>
      </c>
      <c r="H879" t="s">
        <v>72</v>
      </c>
      <c r="I879" t="s">
        <v>73</v>
      </c>
      <c r="J879" t="str">
        <f>"45842"</f>
        <v>45842</v>
      </c>
      <c r="K879" t="s">
        <v>1308</v>
      </c>
      <c r="L879" t="s">
        <v>1125</v>
      </c>
      <c r="M879" t="s">
        <v>76</v>
      </c>
    </row>
    <row r="880" spans="2:13" x14ac:dyDescent="0.25">
      <c r="B880" t="s">
        <v>67</v>
      </c>
      <c r="C880" s="20">
        <v>228.5</v>
      </c>
      <c r="D880" t="s">
        <v>68</v>
      </c>
      <c r="E880" t="s">
        <v>69</v>
      </c>
      <c r="F880" t="s">
        <v>70</v>
      </c>
      <c r="G880" t="s">
        <v>71</v>
      </c>
      <c r="H880" t="s">
        <v>72</v>
      </c>
      <c r="I880" t="s">
        <v>73</v>
      </c>
      <c r="J880" t="str">
        <f>"45843"</f>
        <v>45843</v>
      </c>
      <c r="K880" t="s">
        <v>1309</v>
      </c>
      <c r="L880" t="s">
        <v>1125</v>
      </c>
      <c r="M880" t="s">
        <v>76</v>
      </c>
    </row>
    <row r="881" spans="2:13" x14ac:dyDescent="0.25">
      <c r="B881" t="s">
        <v>67</v>
      </c>
      <c r="C881" s="20">
        <v>229.70833333333334</v>
      </c>
      <c r="D881" t="s">
        <v>68</v>
      </c>
      <c r="E881" t="s">
        <v>69</v>
      </c>
      <c r="F881" t="s">
        <v>70</v>
      </c>
      <c r="G881" t="s">
        <v>71</v>
      </c>
      <c r="H881" t="s">
        <v>72</v>
      </c>
      <c r="I881" t="s">
        <v>73</v>
      </c>
      <c r="J881" t="str">
        <f>"45844"</f>
        <v>45844</v>
      </c>
      <c r="K881" t="s">
        <v>1310</v>
      </c>
      <c r="L881" t="s">
        <v>1125</v>
      </c>
      <c r="M881" t="s">
        <v>76</v>
      </c>
    </row>
    <row r="882" spans="2:13" x14ac:dyDescent="0.25">
      <c r="B882" t="s">
        <v>67</v>
      </c>
      <c r="C882" s="20">
        <v>230.91666666666666</v>
      </c>
      <c r="D882" t="s">
        <v>68</v>
      </c>
      <c r="E882" t="s">
        <v>69</v>
      </c>
      <c r="F882" t="s">
        <v>70</v>
      </c>
      <c r="G882" t="s">
        <v>71</v>
      </c>
      <c r="H882" t="s">
        <v>72</v>
      </c>
      <c r="I882" t="s">
        <v>73</v>
      </c>
      <c r="J882" t="str">
        <f>"45845"</f>
        <v>45845</v>
      </c>
      <c r="K882" t="s">
        <v>1311</v>
      </c>
      <c r="L882" t="s">
        <v>1125</v>
      </c>
      <c r="M882" t="s">
        <v>76</v>
      </c>
    </row>
    <row r="883" spans="2:13" x14ac:dyDescent="0.25">
      <c r="B883" t="s">
        <v>67</v>
      </c>
      <c r="C883" s="20">
        <v>232.125</v>
      </c>
      <c r="D883" t="s">
        <v>68</v>
      </c>
      <c r="E883" t="s">
        <v>69</v>
      </c>
      <c r="F883" t="s">
        <v>70</v>
      </c>
      <c r="G883" t="s">
        <v>71</v>
      </c>
      <c r="H883" t="s">
        <v>72</v>
      </c>
      <c r="I883" t="s">
        <v>73</v>
      </c>
      <c r="J883" t="str">
        <f>"45846"</f>
        <v>45846</v>
      </c>
      <c r="K883" t="s">
        <v>1312</v>
      </c>
      <c r="L883" t="s">
        <v>1125</v>
      </c>
      <c r="M883" t="s">
        <v>76</v>
      </c>
    </row>
    <row r="884" spans="2:13" x14ac:dyDescent="0.25">
      <c r="B884" t="s">
        <v>67</v>
      </c>
      <c r="C884" s="20">
        <v>233.33333333333334</v>
      </c>
      <c r="D884" t="s">
        <v>68</v>
      </c>
      <c r="E884" t="s">
        <v>69</v>
      </c>
      <c r="F884" t="s">
        <v>70</v>
      </c>
      <c r="G884" t="s">
        <v>71</v>
      </c>
      <c r="H884" t="s">
        <v>72</v>
      </c>
      <c r="I884" t="s">
        <v>73</v>
      </c>
      <c r="J884" t="str">
        <f>"45847"</f>
        <v>45847</v>
      </c>
      <c r="K884" t="s">
        <v>1313</v>
      </c>
      <c r="L884" t="s">
        <v>1125</v>
      </c>
      <c r="M884" t="s">
        <v>76</v>
      </c>
    </row>
    <row r="885" spans="2:13" x14ac:dyDescent="0.25">
      <c r="B885" t="s">
        <v>67</v>
      </c>
      <c r="C885" s="20">
        <v>234.54166666666666</v>
      </c>
      <c r="D885" t="s">
        <v>68</v>
      </c>
      <c r="E885" t="s">
        <v>69</v>
      </c>
      <c r="F885" t="s">
        <v>70</v>
      </c>
      <c r="G885" t="s">
        <v>71</v>
      </c>
      <c r="H885" t="s">
        <v>72</v>
      </c>
      <c r="I885" t="s">
        <v>73</v>
      </c>
      <c r="J885" t="str">
        <f>"45848"</f>
        <v>45848</v>
      </c>
      <c r="K885" t="s">
        <v>1314</v>
      </c>
      <c r="L885" t="s">
        <v>1125</v>
      </c>
      <c r="M885" t="s">
        <v>76</v>
      </c>
    </row>
    <row r="886" spans="2:13" x14ac:dyDescent="0.25">
      <c r="B886" t="s">
        <v>67</v>
      </c>
      <c r="C886" s="20">
        <v>235.75</v>
      </c>
      <c r="D886" t="s">
        <v>68</v>
      </c>
      <c r="E886" t="s">
        <v>69</v>
      </c>
      <c r="F886" t="s">
        <v>70</v>
      </c>
      <c r="G886" t="s">
        <v>71</v>
      </c>
      <c r="H886" t="s">
        <v>72</v>
      </c>
      <c r="I886" t="s">
        <v>73</v>
      </c>
      <c r="J886" t="str">
        <f>"45849"</f>
        <v>45849</v>
      </c>
      <c r="K886" t="s">
        <v>1315</v>
      </c>
      <c r="L886" t="s">
        <v>1125</v>
      </c>
      <c r="M886" t="s">
        <v>76</v>
      </c>
    </row>
    <row r="887" spans="2:13" x14ac:dyDescent="0.25">
      <c r="B887" t="s">
        <v>67</v>
      </c>
      <c r="C887" s="20">
        <v>236.95833333333334</v>
      </c>
      <c r="D887" t="s">
        <v>68</v>
      </c>
      <c r="E887" t="s">
        <v>69</v>
      </c>
      <c r="F887" t="s">
        <v>70</v>
      </c>
      <c r="G887" t="s">
        <v>71</v>
      </c>
      <c r="H887" t="s">
        <v>72</v>
      </c>
      <c r="I887" t="s">
        <v>73</v>
      </c>
      <c r="J887" t="str">
        <f>"45850"</f>
        <v>45850</v>
      </c>
      <c r="K887" t="s">
        <v>1316</v>
      </c>
      <c r="L887" t="s">
        <v>1125</v>
      </c>
      <c r="M887" t="s">
        <v>76</v>
      </c>
    </row>
    <row r="888" spans="2:13" x14ac:dyDescent="0.25">
      <c r="B888" t="s">
        <v>67</v>
      </c>
      <c r="C888" s="20">
        <v>238.16666666666666</v>
      </c>
      <c r="D888" t="s">
        <v>68</v>
      </c>
      <c r="E888" t="s">
        <v>69</v>
      </c>
      <c r="F888" t="s">
        <v>70</v>
      </c>
      <c r="G888" t="s">
        <v>71</v>
      </c>
      <c r="H888" t="s">
        <v>72</v>
      </c>
      <c r="I888" t="s">
        <v>73</v>
      </c>
      <c r="J888" t="str">
        <f>"45851"</f>
        <v>45851</v>
      </c>
      <c r="K888" t="s">
        <v>1317</v>
      </c>
      <c r="L888" t="s">
        <v>1125</v>
      </c>
      <c r="M888" t="s">
        <v>76</v>
      </c>
    </row>
    <row r="889" spans="2:13" x14ac:dyDescent="0.25">
      <c r="B889" t="s">
        <v>67</v>
      </c>
      <c r="C889" s="20">
        <v>239.375</v>
      </c>
      <c r="D889" t="s">
        <v>68</v>
      </c>
      <c r="E889" t="s">
        <v>69</v>
      </c>
      <c r="F889" t="s">
        <v>70</v>
      </c>
      <c r="G889" t="s">
        <v>71</v>
      </c>
      <c r="H889" t="s">
        <v>72</v>
      </c>
      <c r="I889" t="s">
        <v>73</v>
      </c>
      <c r="J889" t="str">
        <f>"45852"</f>
        <v>45852</v>
      </c>
      <c r="K889" t="s">
        <v>1318</v>
      </c>
      <c r="L889" t="s">
        <v>1125</v>
      </c>
      <c r="M889" t="s">
        <v>76</v>
      </c>
    </row>
    <row r="890" spans="2:13" x14ac:dyDescent="0.25">
      <c r="B890" t="s">
        <v>67</v>
      </c>
      <c r="C890" s="20">
        <v>240.58333333333334</v>
      </c>
      <c r="D890" t="s">
        <v>68</v>
      </c>
      <c r="E890" t="s">
        <v>69</v>
      </c>
      <c r="F890" t="s">
        <v>70</v>
      </c>
      <c r="G890" t="s">
        <v>71</v>
      </c>
      <c r="H890" t="s">
        <v>72</v>
      </c>
      <c r="I890" t="s">
        <v>73</v>
      </c>
      <c r="J890" t="str">
        <f>"45853"</f>
        <v>45853</v>
      </c>
      <c r="K890" t="s">
        <v>1319</v>
      </c>
      <c r="L890" t="s">
        <v>1125</v>
      </c>
      <c r="M890" t="s">
        <v>76</v>
      </c>
    </row>
    <row r="891" spans="2:13" x14ac:dyDescent="0.25">
      <c r="B891" t="s">
        <v>67</v>
      </c>
      <c r="C891" s="20">
        <v>241.79166666666666</v>
      </c>
      <c r="D891" t="s">
        <v>68</v>
      </c>
      <c r="E891" t="s">
        <v>69</v>
      </c>
      <c r="F891" t="s">
        <v>70</v>
      </c>
      <c r="G891" t="s">
        <v>71</v>
      </c>
      <c r="H891" t="s">
        <v>72</v>
      </c>
      <c r="I891" t="s">
        <v>73</v>
      </c>
      <c r="J891" t="str">
        <f>"45854"</f>
        <v>45854</v>
      </c>
      <c r="K891" t="s">
        <v>1320</v>
      </c>
      <c r="L891" t="s">
        <v>1125</v>
      </c>
      <c r="M891" t="s">
        <v>76</v>
      </c>
    </row>
    <row r="892" spans="2:13" x14ac:dyDescent="0.25">
      <c r="B892" t="s">
        <v>67</v>
      </c>
      <c r="C892" s="20">
        <v>243</v>
      </c>
      <c r="D892" t="s">
        <v>68</v>
      </c>
      <c r="E892" t="s">
        <v>69</v>
      </c>
      <c r="F892" t="s">
        <v>70</v>
      </c>
      <c r="G892" t="s">
        <v>71</v>
      </c>
      <c r="H892" t="s">
        <v>72</v>
      </c>
      <c r="I892" t="s">
        <v>73</v>
      </c>
      <c r="J892" t="str">
        <f>"45855"</f>
        <v>45855</v>
      </c>
      <c r="K892" t="s">
        <v>1321</v>
      </c>
      <c r="L892" t="s">
        <v>1125</v>
      </c>
      <c r="M892" t="s">
        <v>76</v>
      </c>
    </row>
    <row r="893" spans="2:13" x14ac:dyDescent="0.25">
      <c r="B893" t="s">
        <v>67</v>
      </c>
      <c r="C893" s="20">
        <v>244.20833333333334</v>
      </c>
      <c r="D893" t="s">
        <v>68</v>
      </c>
      <c r="E893" t="s">
        <v>69</v>
      </c>
      <c r="F893" t="s">
        <v>70</v>
      </c>
      <c r="G893" t="s">
        <v>71</v>
      </c>
      <c r="H893" t="s">
        <v>72</v>
      </c>
      <c r="I893" t="s">
        <v>73</v>
      </c>
      <c r="J893" t="str">
        <f>"45856"</f>
        <v>45856</v>
      </c>
      <c r="K893" t="s">
        <v>1322</v>
      </c>
      <c r="L893" t="s">
        <v>1125</v>
      </c>
      <c r="M893" t="s">
        <v>76</v>
      </c>
    </row>
    <row r="894" spans="2:13" x14ac:dyDescent="0.25">
      <c r="B894" t="s">
        <v>67</v>
      </c>
      <c r="C894" s="20">
        <v>245.41666666666666</v>
      </c>
      <c r="D894" t="s">
        <v>68</v>
      </c>
      <c r="E894" t="s">
        <v>69</v>
      </c>
      <c r="F894" t="s">
        <v>70</v>
      </c>
      <c r="G894" t="s">
        <v>71</v>
      </c>
      <c r="H894" t="s">
        <v>72</v>
      </c>
      <c r="I894" t="s">
        <v>73</v>
      </c>
      <c r="J894" t="str">
        <f>"45857"</f>
        <v>45857</v>
      </c>
      <c r="K894" t="s">
        <v>1323</v>
      </c>
      <c r="L894" t="s">
        <v>1125</v>
      </c>
      <c r="M894" t="s">
        <v>76</v>
      </c>
    </row>
    <row r="895" spans="2:13" x14ac:dyDescent="0.25">
      <c r="B895" t="s">
        <v>67</v>
      </c>
      <c r="C895" s="20">
        <v>246.625</v>
      </c>
      <c r="D895" t="s">
        <v>68</v>
      </c>
      <c r="E895" t="s">
        <v>69</v>
      </c>
      <c r="F895" t="s">
        <v>70</v>
      </c>
      <c r="G895" t="s">
        <v>71</v>
      </c>
      <c r="H895" t="s">
        <v>72</v>
      </c>
      <c r="I895" t="s">
        <v>73</v>
      </c>
      <c r="J895" t="str">
        <f>"45858"</f>
        <v>45858</v>
      </c>
      <c r="K895" t="s">
        <v>1324</v>
      </c>
      <c r="L895" t="s">
        <v>1125</v>
      </c>
      <c r="M895" t="s">
        <v>76</v>
      </c>
    </row>
    <row r="896" spans="2:13" x14ac:dyDescent="0.25">
      <c r="B896" t="s">
        <v>67</v>
      </c>
      <c r="C896" s="20">
        <v>247.83333333333334</v>
      </c>
      <c r="D896" t="s">
        <v>68</v>
      </c>
      <c r="E896" t="s">
        <v>69</v>
      </c>
      <c r="F896" t="s">
        <v>70</v>
      </c>
      <c r="G896" t="s">
        <v>71</v>
      </c>
      <c r="H896" t="s">
        <v>72</v>
      </c>
      <c r="I896" t="s">
        <v>73</v>
      </c>
      <c r="J896" t="str">
        <f>"45859"</f>
        <v>45859</v>
      </c>
      <c r="K896" t="s">
        <v>1325</v>
      </c>
      <c r="L896" t="s">
        <v>1125</v>
      </c>
      <c r="M896" t="s">
        <v>76</v>
      </c>
    </row>
    <row r="897" spans="2:13" x14ac:dyDescent="0.25">
      <c r="B897" t="s">
        <v>67</v>
      </c>
      <c r="C897" s="20">
        <v>249.04166666666666</v>
      </c>
      <c r="D897" t="s">
        <v>68</v>
      </c>
      <c r="E897" t="s">
        <v>69</v>
      </c>
      <c r="F897" t="s">
        <v>70</v>
      </c>
      <c r="G897" t="s">
        <v>71</v>
      </c>
      <c r="H897" t="s">
        <v>72</v>
      </c>
      <c r="I897" t="s">
        <v>73</v>
      </c>
      <c r="J897" t="str">
        <f>"45860"</f>
        <v>45860</v>
      </c>
      <c r="K897" t="s">
        <v>1326</v>
      </c>
      <c r="L897" t="s">
        <v>1125</v>
      </c>
      <c r="M897" t="s">
        <v>76</v>
      </c>
    </row>
    <row r="898" spans="2:13" x14ac:dyDescent="0.25">
      <c r="B898" t="s">
        <v>67</v>
      </c>
      <c r="C898" s="20">
        <v>250.25</v>
      </c>
      <c r="D898" t="s">
        <v>68</v>
      </c>
      <c r="E898" t="s">
        <v>69</v>
      </c>
      <c r="F898" t="s">
        <v>70</v>
      </c>
      <c r="G898" t="s">
        <v>71</v>
      </c>
      <c r="H898" t="s">
        <v>72</v>
      </c>
      <c r="I898" t="s">
        <v>73</v>
      </c>
      <c r="J898" t="str">
        <f>"45861"</f>
        <v>45861</v>
      </c>
      <c r="K898" t="s">
        <v>1327</v>
      </c>
      <c r="L898" t="s">
        <v>1125</v>
      </c>
      <c r="M898" t="s">
        <v>76</v>
      </c>
    </row>
    <row r="899" spans="2:13" x14ac:dyDescent="0.25">
      <c r="B899" t="s">
        <v>67</v>
      </c>
      <c r="C899" s="20">
        <v>251.45833333333334</v>
      </c>
      <c r="D899" t="s">
        <v>68</v>
      </c>
      <c r="E899" t="s">
        <v>69</v>
      </c>
      <c r="F899" t="s">
        <v>70</v>
      </c>
      <c r="G899" t="s">
        <v>71</v>
      </c>
      <c r="H899" t="s">
        <v>72</v>
      </c>
      <c r="I899" t="s">
        <v>73</v>
      </c>
      <c r="J899" t="str">
        <f>"45862"</f>
        <v>45862</v>
      </c>
      <c r="K899" t="s">
        <v>1328</v>
      </c>
      <c r="L899" t="s">
        <v>1125</v>
      </c>
      <c r="M899" t="s">
        <v>76</v>
      </c>
    </row>
    <row r="900" spans="2:13" x14ac:dyDescent="0.25">
      <c r="B900" t="s">
        <v>67</v>
      </c>
      <c r="C900" s="20">
        <v>252.66666666666666</v>
      </c>
      <c r="D900" t="s">
        <v>68</v>
      </c>
      <c r="E900" t="s">
        <v>69</v>
      </c>
      <c r="F900" t="s">
        <v>70</v>
      </c>
      <c r="G900" t="s">
        <v>71</v>
      </c>
      <c r="H900" t="s">
        <v>72</v>
      </c>
      <c r="I900" t="s">
        <v>73</v>
      </c>
      <c r="J900" t="str">
        <f>"45863"</f>
        <v>45863</v>
      </c>
      <c r="K900" t="s">
        <v>1329</v>
      </c>
      <c r="L900" t="s">
        <v>1125</v>
      </c>
      <c r="M900" t="s">
        <v>76</v>
      </c>
    </row>
    <row r="901" spans="2:13" x14ac:dyDescent="0.25">
      <c r="B901" t="s">
        <v>67</v>
      </c>
      <c r="C901" s="20">
        <v>253.875</v>
      </c>
      <c r="D901" t="s">
        <v>68</v>
      </c>
      <c r="E901" t="s">
        <v>69</v>
      </c>
      <c r="F901" t="s">
        <v>70</v>
      </c>
      <c r="G901" t="s">
        <v>71</v>
      </c>
      <c r="H901" t="s">
        <v>72</v>
      </c>
      <c r="I901" t="s">
        <v>73</v>
      </c>
      <c r="J901" t="str">
        <f>"45864"</f>
        <v>45864</v>
      </c>
      <c r="K901" t="s">
        <v>1330</v>
      </c>
      <c r="L901" t="s">
        <v>1125</v>
      </c>
      <c r="M901" t="s">
        <v>76</v>
      </c>
    </row>
    <row r="902" spans="2:13" x14ac:dyDescent="0.25">
      <c r="B902" t="s">
        <v>67</v>
      </c>
      <c r="C902" s="20">
        <v>255.08333333333334</v>
      </c>
      <c r="D902" t="s">
        <v>68</v>
      </c>
      <c r="E902" t="s">
        <v>69</v>
      </c>
      <c r="F902" t="s">
        <v>70</v>
      </c>
      <c r="G902" t="s">
        <v>71</v>
      </c>
      <c r="H902" t="s">
        <v>72</v>
      </c>
      <c r="I902" t="s">
        <v>73</v>
      </c>
      <c r="J902" t="str">
        <f>"45865"</f>
        <v>45865</v>
      </c>
      <c r="K902" t="s">
        <v>1331</v>
      </c>
      <c r="L902" t="s">
        <v>1125</v>
      </c>
      <c r="M902" t="s">
        <v>76</v>
      </c>
    </row>
    <row r="903" spans="2:13" x14ac:dyDescent="0.25">
      <c r="B903" t="s">
        <v>67</v>
      </c>
      <c r="C903" s="20">
        <v>256.29166666666669</v>
      </c>
      <c r="D903" t="s">
        <v>68</v>
      </c>
      <c r="E903" t="s">
        <v>69</v>
      </c>
      <c r="F903" t="s">
        <v>70</v>
      </c>
      <c r="G903" t="s">
        <v>71</v>
      </c>
      <c r="H903" t="s">
        <v>72</v>
      </c>
      <c r="I903" t="s">
        <v>73</v>
      </c>
      <c r="J903" t="str">
        <f>"45866"</f>
        <v>45866</v>
      </c>
      <c r="K903" t="s">
        <v>1332</v>
      </c>
      <c r="L903" t="s">
        <v>1125</v>
      </c>
      <c r="M903" t="s">
        <v>76</v>
      </c>
    </row>
    <row r="904" spans="2:13" x14ac:dyDescent="0.25">
      <c r="B904" t="s">
        <v>67</v>
      </c>
      <c r="C904" s="20">
        <v>257.5</v>
      </c>
      <c r="D904" t="s">
        <v>68</v>
      </c>
      <c r="E904" t="s">
        <v>69</v>
      </c>
      <c r="F904" t="s">
        <v>70</v>
      </c>
      <c r="G904" t="s">
        <v>71</v>
      </c>
      <c r="H904" t="s">
        <v>72</v>
      </c>
      <c r="I904" t="s">
        <v>73</v>
      </c>
      <c r="J904" t="str">
        <f>"45867"</f>
        <v>45867</v>
      </c>
      <c r="K904" t="s">
        <v>1333</v>
      </c>
      <c r="L904" t="s">
        <v>1125</v>
      </c>
      <c r="M904" t="s">
        <v>76</v>
      </c>
    </row>
    <row r="905" spans="2:13" x14ac:dyDescent="0.25">
      <c r="B905" t="s">
        <v>67</v>
      </c>
      <c r="C905" s="20">
        <v>258.70833333333331</v>
      </c>
      <c r="D905" t="s">
        <v>68</v>
      </c>
      <c r="E905" t="s">
        <v>69</v>
      </c>
      <c r="F905" t="s">
        <v>70</v>
      </c>
      <c r="G905" t="s">
        <v>71</v>
      </c>
      <c r="H905" t="s">
        <v>72</v>
      </c>
      <c r="I905" t="s">
        <v>73</v>
      </c>
      <c r="J905" t="str">
        <f>"45868"</f>
        <v>45868</v>
      </c>
      <c r="K905" t="s">
        <v>1334</v>
      </c>
      <c r="L905" t="s">
        <v>1125</v>
      </c>
      <c r="M905" t="s">
        <v>76</v>
      </c>
    </row>
    <row r="906" spans="2:13" x14ac:dyDescent="0.25">
      <c r="B906" t="s">
        <v>67</v>
      </c>
      <c r="C906" s="20">
        <v>259.91666666666669</v>
      </c>
      <c r="D906" t="s">
        <v>68</v>
      </c>
      <c r="E906" t="s">
        <v>69</v>
      </c>
      <c r="F906" t="s">
        <v>70</v>
      </c>
      <c r="G906" t="s">
        <v>71</v>
      </c>
      <c r="H906" t="s">
        <v>72</v>
      </c>
      <c r="I906" t="s">
        <v>73</v>
      </c>
      <c r="J906" t="str">
        <f>"45869"</f>
        <v>45869</v>
      </c>
      <c r="K906" t="s">
        <v>1335</v>
      </c>
      <c r="L906" t="s">
        <v>1125</v>
      </c>
      <c r="M906" t="s">
        <v>76</v>
      </c>
    </row>
    <row r="907" spans="2:13" x14ac:dyDescent="0.25">
      <c r="B907" t="s">
        <v>67</v>
      </c>
      <c r="C907" s="20">
        <v>261.125</v>
      </c>
      <c r="D907" t="s">
        <v>68</v>
      </c>
      <c r="E907" t="s">
        <v>69</v>
      </c>
      <c r="F907" t="s">
        <v>70</v>
      </c>
      <c r="G907" t="s">
        <v>71</v>
      </c>
      <c r="H907" t="s">
        <v>72</v>
      </c>
      <c r="I907" t="s">
        <v>73</v>
      </c>
      <c r="J907" t="str">
        <f>"45870"</f>
        <v>45870</v>
      </c>
      <c r="K907" t="s">
        <v>1336</v>
      </c>
      <c r="L907" t="s">
        <v>1125</v>
      </c>
      <c r="M907" t="s">
        <v>76</v>
      </c>
    </row>
    <row r="908" spans="2:13" x14ac:dyDescent="0.25">
      <c r="B908" t="s">
        <v>67</v>
      </c>
      <c r="C908" s="20">
        <v>262.33333333333331</v>
      </c>
      <c r="D908" t="s">
        <v>68</v>
      </c>
      <c r="E908" t="s">
        <v>69</v>
      </c>
      <c r="F908" t="s">
        <v>70</v>
      </c>
      <c r="G908" t="s">
        <v>71</v>
      </c>
      <c r="H908" t="s">
        <v>72</v>
      </c>
      <c r="I908" t="s">
        <v>73</v>
      </c>
      <c r="J908" t="str">
        <f>"45871"</f>
        <v>45871</v>
      </c>
      <c r="K908" t="s">
        <v>1337</v>
      </c>
      <c r="L908" t="s">
        <v>1125</v>
      </c>
      <c r="M908" t="s">
        <v>76</v>
      </c>
    </row>
    <row r="909" spans="2:13" x14ac:dyDescent="0.25">
      <c r="B909" t="s">
        <v>67</v>
      </c>
      <c r="C909" s="20">
        <v>263.54166666666669</v>
      </c>
      <c r="D909" t="s">
        <v>68</v>
      </c>
      <c r="E909" t="s">
        <v>69</v>
      </c>
      <c r="F909" t="s">
        <v>70</v>
      </c>
      <c r="G909" t="s">
        <v>71</v>
      </c>
      <c r="H909" t="s">
        <v>72</v>
      </c>
      <c r="I909" t="s">
        <v>73</v>
      </c>
      <c r="J909" t="str">
        <f>"45872"</f>
        <v>45872</v>
      </c>
      <c r="K909" t="s">
        <v>1338</v>
      </c>
      <c r="L909" t="s">
        <v>1125</v>
      </c>
      <c r="M909" t="s">
        <v>76</v>
      </c>
    </row>
    <row r="910" spans="2:13" x14ac:dyDescent="0.25">
      <c r="B910" t="s">
        <v>67</v>
      </c>
      <c r="C910" s="20">
        <v>264.75</v>
      </c>
      <c r="D910" t="s">
        <v>68</v>
      </c>
      <c r="E910" t="s">
        <v>69</v>
      </c>
      <c r="F910" t="s">
        <v>70</v>
      </c>
      <c r="G910" t="s">
        <v>71</v>
      </c>
      <c r="H910" t="s">
        <v>72</v>
      </c>
      <c r="I910" t="s">
        <v>73</v>
      </c>
      <c r="J910" t="str">
        <f>"45873"</f>
        <v>45873</v>
      </c>
      <c r="K910" t="s">
        <v>1339</v>
      </c>
      <c r="L910" t="s">
        <v>1125</v>
      </c>
      <c r="M910" t="s">
        <v>76</v>
      </c>
    </row>
    <row r="911" spans="2:13" x14ac:dyDescent="0.25">
      <c r="B911" t="s">
        <v>67</v>
      </c>
      <c r="C911" s="20">
        <v>265.95833333333331</v>
      </c>
      <c r="D911" t="s">
        <v>68</v>
      </c>
      <c r="E911" t="s">
        <v>69</v>
      </c>
      <c r="F911" t="s">
        <v>70</v>
      </c>
      <c r="G911" t="s">
        <v>71</v>
      </c>
      <c r="H911" t="s">
        <v>72</v>
      </c>
      <c r="I911" t="s">
        <v>73</v>
      </c>
      <c r="J911" t="str">
        <f>"45874"</f>
        <v>45874</v>
      </c>
      <c r="K911" t="s">
        <v>1340</v>
      </c>
      <c r="L911" t="s">
        <v>1125</v>
      </c>
      <c r="M911" t="s">
        <v>76</v>
      </c>
    </row>
    <row r="912" spans="2:13" x14ac:dyDescent="0.25">
      <c r="B912" t="s">
        <v>67</v>
      </c>
      <c r="C912" s="20">
        <v>267.16666666666669</v>
      </c>
      <c r="D912" t="s">
        <v>68</v>
      </c>
      <c r="E912" t="s">
        <v>69</v>
      </c>
      <c r="F912" t="s">
        <v>70</v>
      </c>
      <c r="G912" t="s">
        <v>71</v>
      </c>
      <c r="H912" t="s">
        <v>72</v>
      </c>
      <c r="I912" t="s">
        <v>73</v>
      </c>
      <c r="J912" t="str">
        <f>"45875"</f>
        <v>45875</v>
      </c>
      <c r="K912" t="s">
        <v>1341</v>
      </c>
      <c r="L912" t="s">
        <v>1125</v>
      </c>
      <c r="M912" t="s">
        <v>76</v>
      </c>
    </row>
    <row r="913" spans="2:13" x14ac:dyDescent="0.25">
      <c r="B913" t="s">
        <v>67</v>
      </c>
      <c r="C913" s="20">
        <v>268.375</v>
      </c>
      <c r="D913" t="s">
        <v>68</v>
      </c>
      <c r="E913" t="s">
        <v>69</v>
      </c>
      <c r="F913" t="s">
        <v>70</v>
      </c>
      <c r="G913" t="s">
        <v>71</v>
      </c>
      <c r="H913" t="s">
        <v>72</v>
      </c>
      <c r="I913" t="s">
        <v>73</v>
      </c>
      <c r="J913" t="str">
        <f>"45876"</f>
        <v>45876</v>
      </c>
      <c r="K913" t="s">
        <v>1342</v>
      </c>
      <c r="L913" t="s">
        <v>1125</v>
      </c>
      <c r="M913" t="s">
        <v>76</v>
      </c>
    </row>
    <row r="914" spans="2:13" x14ac:dyDescent="0.25">
      <c r="B914" t="s">
        <v>67</v>
      </c>
      <c r="C914" s="20">
        <v>269.58333333333331</v>
      </c>
      <c r="D914" t="s">
        <v>68</v>
      </c>
      <c r="E914" t="s">
        <v>69</v>
      </c>
      <c r="F914" t="s">
        <v>70</v>
      </c>
      <c r="G914" t="s">
        <v>71</v>
      </c>
      <c r="H914" t="s">
        <v>72</v>
      </c>
      <c r="I914" t="s">
        <v>73</v>
      </c>
      <c r="J914" t="str">
        <f>"45877"</f>
        <v>45877</v>
      </c>
      <c r="K914" t="s">
        <v>1343</v>
      </c>
      <c r="L914" t="s">
        <v>1125</v>
      </c>
      <c r="M914" t="s">
        <v>76</v>
      </c>
    </row>
    <row r="915" spans="2:13" x14ac:dyDescent="0.25">
      <c r="B915" t="s">
        <v>67</v>
      </c>
      <c r="C915" s="20">
        <v>270.79166666666669</v>
      </c>
      <c r="D915" t="s">
        <v>68</v>
      </c>
      <c r="E915" t="s">
        <v>69</v>
      </c>
      <c r="F915" t="s">
        <v>70</v>
      </c>
      <c r="G915" t="s">
        <v>71</v>
      </c>
      <c r="H915" t="s">
        <v>72</v>
      </c>
      <c r="I915" t="s">
        <v>73</v>
      </c>
      <c r="J915" t="str">
        <f>"45878"</f>
        <v>45878</v>
      </c>
      <c r="K915" t="s">
        <v>1344</v>
      </c>
      <c r="L915" t="s">
        <v>1125</v>
      </c>
      <c r="M915" t="s">
        <v>76</v>
      </c>
    </row>
    <row r="916" spans="2:13" x14ac:dyDescent="0.25">
      <c r="B916" t="s">
        <v>67</v>
      </c>
      <c r="C916" s="20">
        <v>272</v>
      </c>
      <c r="D916" t="s">
        <v>68</v>
      </c>
      <c r="E916" t="s">
        <v>69</v>
      </c>
      <c r="F916" t="s">
        <v>70</v>
      </c>
      <c r="G916" t="s">
        <v>71</v>
      </c>
      <c r="H916" t="s">
        <v>72</v>
      </c>
      <c r="I916" t="s">
        <v>73</v>
      </c>
      <c r="J916" t="str">
        <f>"45879"</f>
        <v>45879</v>
      </c>
      <c r="K916" t="s">
        <v>1345</v>
      </c>
      <c r="L916" t="s">
        <v>1125</v>
      </c>
      <c r="M916" t="s">
        <v>76</v>
      </c>
    </row>
    <row r="917" spans="2:13" x14ac:dyDescent="0.25">
      <c r="B917" t="s">
        <v>67</v>
      </c>
      <c r="C917" s="20">
        <v>273.20833333333331</v>
      </c>
      <c r="D917" t="s">
        <v>68</v>
      </c>
      <c r="E917" t="s">
        <v>69</v>
      </c>
      <c r="F917" t="s">
        <v>70</v>
      </c>
      <c r="G917" t="s">
        <v>71</v>
      </c>
      <c r="H917" t="s">
        <v>72</v>
      </c>
      <c r="I917" t="s">
        <v>73</v>
      </c>
      <c r="J917" t="str">
        <f>"45880"</f>
        <v>45880</v>
      </c>
      <c r="K917" t="s">
        <v>1346</v>
      </c>
      <c r="L917" t="s">
        <v>1125</v>
      </c>
      <c r="M917" t="s">
        <v>76</v>
      </c>
    </row>
    <row r="918" spans="2:13" x14ac:dyDescent="0.25">
      <c r="B918" t="s">
        <v>67</v>
      </c>
      <c r="C918" s="20">
        <v>274.41666666666669</v>
      </c>
      <c r="D918" t="s">
        <v>68</v>
      </c>
      <c r="E918" t="s">
        <v>69</v>
      </c>
      <c r="F918" t="s">
        <v>70</v>
      </c>
      <c r="G918" t="s">
        <v>71</v>
      </c>
      <c r="H918" t="s">
        <v>72</v>
      </c>
      <c r="I918" t="s">
        <v>73</v>
      </c>
      <c r="J918" t="str">
        <f>"45881"</f>
        <v>45881</v>
      </c>
      <c r="K918" t="s">
        <v>1347</v>
      </c>
      <c r="L918" t="s">
        <v>1125</v>
      </c>
      <c r="M918" t="s">
        <v>76</v>
      </c>
    </row>
    <row r="919" spans="2:13" x14ac:dyDescent="0.25">
      <c r="B919" t="s">
        <v>67</v>
      </c>
      <c r="C919" s="20">
        <v>275.625</v>
      </c>
      <c r="D919" t="s">
        <v>68</v>
      </c>
      <c r="E919" t="s">
        <v>69</v>
      </c>
      <c r="F919" t="s">
        <v>70</v>
      </c>
      <c r="G919" t="s">
        <v>71</v>
      </c>
      <c r="H919" t="s">
        <v>72</v>
      </c>
      <c r="I919" t="s">
        <v>73</v>
      </c>
      <c r="J919" t="str">
        <f>"45882"</f>
        <v>45882</v>
      </c>
      <c r="K919" t="s">
        <v>1348</v>
      </c>
      <c r="L919" t="s">
        <v>1125</v>
      </c>
      <c r="M919" t="s">
        <v>76</v>
      </c>
    </row>
    <row r="920" spans="2:13" x14ac:dyDescent="0.25">
      <c r="B920" t="s">
        <v>67</v>
      </c>
      <c r="C920" s="20">
        <v>276.83333333333331</v>
      </c>
      <c r="D920" t="s">
        <v>68</v>
      </c>
      <c r="E920" t="s">
        <v>69</v>
      </c>
      <c r="F920" t="s">
        <v>70</v>
      </c>
      <c r="G920" t="s">
        <v>71</v>
      </c>
      <c r="H920" t="s">
        <v>72</v>
      </c>
      <c r="I920" t="s">
        <v>73</v>
      </c>
      <c r="J920" t="str">
        <f>"45883"</f>
        <v>45883</v>
      </c>
      <c r="K920" t="s">
        <v>1349</v>
      </c>
      <c r="L920" t="s">
        <v>1125</v>
      </c>
      <c r="M920" t="s">
        <v>76</v>
      </c>
    </row>
    <row r="921" spans="2:13" x14ac:dyDescent="0.25">
      <c r="B921" t="s">
        <v>67</v>
      </c>
      <c r="C921" s="20">
        <v>278.04166666666669</v>
      </c>
      <c r="D921" t="s">
        <v>68</v>
      </c>
      <c r="E921" t="s">
        <v>69</v>
      </c>
      <c r="F921" t="s">
        <v>70</v>
      </c>
      <c r="G921" t="s">
        <v>71</v>
      </c>
      <c r="H921" t="s">
        <v>72</v>
      </c>
      <c r="I921" t="s">
        <v>73</v>
      </c>
      <c r="J921" t="str">
        <f>"45884"</f>
        <v>45884</v>
      </c>
      <c r="K921" t="s">
        <v>1350</v>
      </c>
      <c r="L921" t="s">
        <v>1125</v>
      </c>
      <c r="M921" t="s">
        <v>76</v>
      </c>
    </row>
    <row r="922" spans="2:13" x14ac:dyDescent="0.25">
      <c r="B922" t="s">
        <v>67</v>
      </c>
      <c r="C922" s="20">
        <v>279.25</v>
      </c>
      <c r="D922" t="s">
        <v>68</v>
      </c>
      <c r="E922" t="s">
        <v>69</v>
      </c>
      <c r="F922" t="s">
        <v>70</v>
      </c>
      <c r="G922" t="s">
        <v>71</v>
      </c>
      <c r="H922" t="s">
        <v>72</v>
      </c>
      <c r="I922" t="s">
        <v>73</v>
      </c>
      <c r="J922" t="str">
        <f>"45885"</f>
        <v>45885</v>
      </c>
      <c r="K922" t="s">
        <v>1351</v>
      </c>
      <c r="L922" t="s">
        <v>1125</v>
      </c>
      <c r="M922" t="s">
        <v>76</v>
      </c>
    </row>
    <row r="923" spans="2:13" x14ac:dyDescent="0.25">
      <c r="B923" t="s">
        <v>67</v>
      </c>
      <c r="C923" s="20">
        <v>280.45833333333331</v>
      </c>
      <c r="D923" t="s">
        <v>68</v>
      </c>
      <c r="E923" t="s">
        <v>69</v>
      </c>
      <c r="F923" t="s">
        <v>70</v>
      </c>
      <c r="G923" t="s">
        <v>71</v>
      </c>
      <c r="H923" t="s">
        <v>72</v>
      </c>
      <c r="I923" t="s">
        <v>73</v>
      </c>
      <c r="J923" t="str">
        <f>"45886"</f>
        <v>45886</v>
      </c>
      <c r="K923" t="s">
        <v>1352</v>
      </c>
      <c r="L923" t="s">
        <v>1125</v>
      </c>
      <c r="M923" t="s">
        <v>76</v>
      </c>
    </row>
    <row r="924" spans="2:13" x14ac:dyDescent="0.25">
      <c r="B924" t="s">
        <v>67</v>
      </c>
      <c r="C924" s="20">
        <v>281.66666666666669</v>
      </c>
      <c r="D924" t="s">
        <v>68</v>
      </c>
      <c r="E924" t="s">
        <v>69</v>
      </c>
      <c r="F924" t="s">
        <v>70</v>
      </c>
      <c r="G924" t="s">
        <v>71</v>
      </c>
      <c r="H924" t="s">
        <v>72</v>
      </c>
      <c r="I924" t="s">
        <v>73</v>
      </c>
      <c r="J924" t="str">
        <f>"45887"</f>
        <v>45887</v>
      </c>
      <c r="K924" t="s">
        <v>1353</v>
      </c>
      <c r="L924" t="s">
        <v>1125</v>
      </c>
      <c r="M924" t="s">
        <v>76</v>
      </c>
    </row>
    <row r="925" spans="2:13" x14ac:dyDescent="0.25">
      <c r="B925" t="s">
        <v>67</v>
      </c>
      <c r="C925" s="20">
        <v>282.875</v>
      </c>
      <c r="D925" t="s">
        <v>68</v>
      </c>
      <c r="E925" t="s">
        <v>69</v>
      </c>
      <c r="F925" t="s">
        <v>70</v>
      </c>
      <c r="G925" t="s">
        <v>71</v>
      </c>
      <c r="H925" t="s">
        <v>72</v>
      </c>
      <c r="I925" t="s">
        <v>73</v>
      </c>
      <c r="J925" t="str">
        <f>"45888"</f>
        <v>45888</v>
      </c>
      <c r="K925" t="s">
        <v>1354</v>
      </c>
      <c r="L925" t="s">
        <v>1125</v>
      </c>
      <c r="M925" t="s">
        <v>76</v>
      </c>
    </row>
    <row r="926" spans="2:13" x14ac:dyDescent="0.25">
      <c r="B926" t="s">
        <v>67</v>
      </c>
      <c r="C926" s="20">
        <v>284.08333333333331</v>
      </c>
      <c r="D926" t="s">
        <v>68</v>
      </c>
      <c r="E926" t="s">
        <v>69</v>
      </c>
      <c r="F926" t="s">
        <v>70</v>
      </c>
      <c r="G926" t="s">
        <v>71</v>
      </c>
      <c r="H926" t="s">
        <v>72</v>
      </c>
      <c r="I926" t="s">
        <v>73</v>
      </c>
      <c r="J926" t="str">
        <f>"45889"</f>
        <v>45889</v>
      </c>
      <c r="K926" t="s">
        <v>1355</v>
      </c>
      <c r="L926" t="s">
        <v>1125</v>
      </c>
      <c r="M926" t="s">
        <v>76</v>
      </c>
    </row>
    <row r="927" spans="2:13" x14ac:dyDescent="0.25">
      <c r="B927" t="s">
        <v>67</v>
      </c>
      <c r="C927" s="20">
        <v>285.29166666666669</v>
      </c>
      <c r="D927" t="s">
        <v>68</v>
      </c>
      <c r="E927" t="s">
        <v>69</v>
      </c>
      <c r="F927" t="s">
        <v>70</v>
      </c>
      <c r="G927" t="s">
        <v>71</v>
      </c>
      <c r="H927" t="s">
        <v>72</v>
      </c>
      <c r="I927" t="s">
        <v>73</v>
      </c>
      <c r="J927" t="str">
        <f>"45890"</f>
        <v>45890</v>
      </c>
      <c r="K927" t="s">
        <v>1356</v>
      </c>
      <c r="L927" t="s">
        <v>1125</v>
      </c>
      <c r="M927" t="s">
        <v>76</v>
      </c>
    </row>
    <row r="928" spans="2:13" x14ac:dyDescent="0.25">
      <c r="B928" t="s">
        <v>67</v>
      </c>
      <c r="C928" s="20">
        <v>286.5</v>
      </c>
      <c r="D928" t="s">
        <v>68</v>
      </c>
      <c r="E928" t="s">
        <v>69</v>
      </c>
      <c r="F928" t="s">
        <v>70</v>
      </c>
      <c r="G928" t="s">
        <v>71</v>
      </c>
      <c r="H928" t="s">
        <v>72</v>
      </c>
      <c r="I928" t="s">
        <v>73</v>
      </c>
      <c r="J928" t="str">
        <f>"45891"</f>
        <v>45891</v>
      </c>
      <c r="K928" t="s">
        <v>1357</v>
      </c>
      <c r="L928" t="s">
        <v>1125</v>
      </c>
      <c r="M928" t="s">
        <v>76</v>
      </c>
    </row>
    <row r="929" spans="2:13" x14ac:dyDescent="0.25">
      <c r="B929" t="s">
        <v>67</v>
      </c>
      <c r="C929" s="20">
        <v>287.70833333333331</v>
      </c>
      <c r="D929" t="s">
        <v>68</v>
      </c>
      <c r="E929" t="s">
        <v>69</v>
      </c>
      <c r="F929" t="s">
        <v>70</v>
      </c>
      <c r="G929" t="s">
        <v>71</v>
      </c>
      <c r="H929" t="s">
        <v>72</v>
      </c>
      <c r="I929" t="s">
        <v>73</v>
      </c>
      <c r="J929" t="str">
        <f>"45892"</f>
        <v>45892</v>
      </c>
      <c r="K929" t="s">
        <v>1358</v>
      </c>
      <c r="L929" t="s">
        <v>1125</v>
      </c>
      <c r="M929" t="s">
        <v>76</v>
      </c>
    </row>
    <row r="930" spans="2:13" x14ac:dyDescent="0.25">
      <c r="B930" t="s">
        <v>67</v>
      </c>
      <c r="C930" s="20">
        <v>288.91666666666669</v>
      </c>
      <c r="D930" t="s">
        <v>68</v>
      </c>
      <c r="E930" t="s">
        <v>69</v>
      </c>
      <c r="F930" t="s">
        <v>70</v>
      </c>
      <c r="G930" t="s">
        <v>71</v>
      </c>
      <c r="H930" t="s">
        <v>72</v>
      </c>
      <c r="I930" t="s">
        <v>73</v>
      </c>
      <c r="J930" t="str">
        <f>"45893"</f>
        <v>45893</v>
      </c>
      <c r="K930" t="s">
        <v>1359</v>
      </c>
      <c r="L930" t="s">
        <v>1125</v>
      </c>
      <c r="M930" t="s">
        <v>76</v>
      </c>
    </row>
    <row r="931" spans="2:13" x14ac:dyDescent="0.25">
      <c r="B931" t="s">
        <v>67</v>
      </c>
      <c r="C931" s="20">
        <v>290.125</v>
      </c>
      <c r="D931" t="s">
        <v>68</v>
      </c>
      <c r="E931" t="s">
        <v>69</v>
      </c>
      <c r="F931" t="s">
        <v>70</v>
      </c>
      <c r="G931" t="s">
        <v>71</v>
      </c>
      <c r="H931" t="s">
        <v>72</v>
      </c>
      <c r="I931" t="s">
        <v>73</v>
      </c>
      <c r="J931" t="str">
        <f>"45894"</f>
        <v>45894</v>
      </c>
      <c r="K931" t="s">
        <v>1360</v>
      </c>
      <c r="L931" t="s">
        <v>1125</v>
      </c>
      <c r="M931" t="s">
        <v>76</v>
      </c>
    </row>
    <row r="932" spans="2:13" x14ac:dyDescent="0.25">
      <c r="B932" t="s">
        <v>67</v>
      </c>
      <c r="C932" s="20">
        <v>291.33333333333331</v>
      </c>
      <c r="D932" t="s">
        <v>68</v>
      </c>
      <c r="E932" t="s">
        <v>69</v>
      </c>
      <c r="F932" t="s">
        <v>70</v>
      </c>
      <c r="G932" t="s">
        <v>71</v>
      </c>
      <c r="H932" t="s">
        <v>72</v>
      </c>
      <c r="I932" t="s">
        <v>73</v>
      </c>
      <c r="J932" t="str">
        <f>"45895"</f>
        <v>45895</v>
      </c>
      <c r="K932" t="s">
        <v>1361</v>
      </c>
      <c r="L932" t="s">
        <v>1125</v>
      </c>
      <c r="M932" t="s">
        <v>76</v>
      </c>
    </row>
    <row r="933" spans="2:13" x14ac:dyDescent="0.25">
      <c r="B933" t="s">
        <v>67</v>
      </c>
      <c r="C933" s="20">
        <v>292.54166666666669</v>
      </c>
      <c r="D933" t="s">
        <v>68</v>
      </c>
      <c r="E933" t="s">
        <v>69</v>
      </c>
      <c r="F933" t="s">
        <v>70</v>
      </c>
      <c r="G933" t="s">
        <v>71</v>
      </c>
      <c r="H933" t="s">
        <v>72</v>
      </c>
      <c r="I933" t="s">
        <v>73</v>
      </c>
      <c r="J933" t="str">
        <f>"45896"</f>
        <v>45896</v>
      </c>
      <c r="K933" t="s">
        <v>1362</v>
      </c>
      <c r="L933" t="s">
        <v>1125</v>
      </c>
      <c r="M933" t="s">
        <v>76</v>
      </c>
    </row>
    <row r="934" spans="2:13" x14ac:dyDescent="0.25">
      <c r="B934" t="s">
        <v>67</v>
      </c>
      <c r="C934" s="20">
        <v>293.75</v>
      </c>
      <c r="D934" t="s">
        <v>68</v>
      </c>
      <c r="E934" t="s">
        <v>69</v>
      </c>
      <c r="F934" t="s">
        <v>70</v>
      </c>
      <c r="G934" t="s">
        <v>71</v>
      </c>
      <c r="H934" t="s">
        <v>72</v>
      </c>
      <c r="I934" t="s">
        <v>73</v>
      </c>
      <c r="J934" t="str">
        <f>"45897"</f>
        <v>45897</v>
      </c>
      <c r="K934" t="s">
        <v>1363</v>
      </c>
      <c r="L934" t="s">
        <v>1125</v>
      </c>
      <c r="M934" t="s">
        <v>76</v>
      </c>
    </row>
    <row r="935" spans="2:13" x14ac:dyDescent="0.25">
      <c r="B935" t="s">
        <v>67</v>
      </c>
      <c r="C935" s="20">
        <v>294.95833333333331</v>
      </c>
      <c r="D935" t="s">
        <v>68</v>
      </c>
      <c r="E935" t="s">
        <v>69</v>
      </c>
      <c r="F935" t="s">
        <v>70</v>
      </c>
      <c r="G935" t="s">
        <v>71</v>
      </c>
      <c r="H935" t="s">
        <v>72</v>
      </c>
      <c r="I935" t="s">
        <v>73</v>
      </c>
      <c r="J935" t="str">
        <f>"45898"</f>
        <v>45898</v>
      </c>
      <c r="K935" t="s">
        <v>1364</v>
      </c>
      <c r="L935" t="s">
        <v>1125</v>
      </c>
      <c r="M935" t="s">
        <v>76</v>
      </c>
    </row>
    <row r="936" spans="2:13" x14ac:dyDescent="0.25">
      <c r="B936" t="s">
        <v>67</v>
      </c>
      <c r="C936" s="20">
        <v>296.16666666666669</v>
      </c>
      <c r="D936" t="s">
        <v>68</v>
      </c>
      <c r="E936" t="s">
        <v>69</v>
      </c>
      <c r="F936" t="s">
        <v>70</v>
      </c>
      <c r="G936" t="s">
        <v>71</v>
      </c>
      <c r="H936" t="s">
        <v>72</v>
      </c>
      <c r="I936" t="s">
        <v>73</v>
      </c>
      <c r="J936" t="str">
        <f>"45899"</f>
        <v>45899</v>
      </c>
      <c r="K936" t="s">
        <v>1365</v>
      </c>
      <c r="L936" t="s">
        <v>1125</v>
      </c>
      <c r="M936" t="s">
        <v>76</v>
      </c>
    </row>
    <row r="937" spans="2:13" x14ac:dyDescent="0.25">
      <c r="B937" t="s">
        <v>67</v>
      </c>
      <c r="C937" s="20">
        <v>297.375</v>
      </c>
      <c r="D937" t="s">
        <v>68</v>
      </c>
      <c r="E937" t="s">
        <v>69</v>
      </c>
      <c r="F937" t="s">
        <v>70</v>
      </c>
      <c r="G937" t="s">
        <v>71</v>
      </c>
      <c r="H937" t="s">
        <v>72</v>
      </c>
      <c r="I937" t="s">
        <v>73</v>
      </c>
      <c r="J937" t="str">
        <f>"45900"</f>
        <v>45900</v>
      </c>
      <c r="K937" t="s">
        <v>1366</v>
      </c>
      <c r="L937" t="s">
        <v>1125</v>
      </c>
      <c r="M937" t="s">
        <v>76</v>
      </c>
    </row>
    <row r="938" spans="2:13" x14ac:dyDescent="0.25">
      <c r="B938" t="s">
        <v>67</v>
      </c>
      <c r="C938" s="20">
        <v>298.58333333333331</v>
      </c>
      <c r="D938" t="s">
        <v>68</v>
      </c>
      <c r="E938" t="s">
        <v>69</v>
      </c>
      <c r="F938" t="s">
        <v>70</v>
      </c>
      <c r="G938" t="s">
        <v>71</v>
      </c>
      <c r="H938" t="s">
        <v>72</v>
      </c>
      <c r="I938" t="s">
        <v>73</v>
      </c>
      <c r="J938" t="str">
        <f>"45901"</f>
        <v>45901</v>
      </c>
      <c r="K938" t="s">
        <v>1367</v>
      </c>
      <c r="L938" t="s">
        <v>1125</v>
      </c>
      <c r="M938" t="s">
        <v>76</v>
      </c>
    </row>
    <row r="939" spans="2:13" x14ac:dyDescent="0.25">
      <c r="B939" t="s">
        <v>67</v>
      </c>
      <c r="C939" s="20">
        <v>299.79166666666669</v>
      </c>
      <c r="D939" t="s">
        <v>68</v>
      </c>
      <c r="E939" t="s">
        <v>69</v>
      </c>
      <c r="F939" t="s">
        <v>70</v>
      </c>
      <c r="G939" t="s">
        <v>71</v>
      </c>
      <c r="H939" t="s">
        <v>72</v>
      </c>
      <c r="I939" t="s">
        <v>73</v>
      </c>
      <c r="J939" t="str">
        <f>"45902"</f>
        <v>45902</v>
      </c>
      <c r="K939" t="s">
        <v>1368</v>
      </c>
      <c r="L939" t="s">
        <v>1125</v>
      </c>
      <c r="M939" t="s">
        <v>76</v>
      </c>
    </row>
    <row r="940" spans="2:13" x14ac:dyDescent="0.25">
      <c r="B940" t="s">
        <v>67</v>
      </c>
      <c r="C940" s="20">
        <v>301</v>
      </c>
      <c r="D940" t="s">
        <v>68</v>
      </c>
      <c r="E940" t="s">
        <v>69</v>
      </c>
      <c r="F940" t="s">
        <v>70</v>
      </c>
      <c r="G940" t="s">
        <v>71</v>
      </c>
      <c r="H940" t="s">
        <v>72</v>
      </c>
      <c r="I940" t="s">
        <v>73</v>
      </c>
      <c r="J940" t="str">
        <f>"45903"</f>
        <v>45903</v>
      </c>
      <c r="K940" t="s">
        <v>1369</v>
      </c>
      <c r="L940" t="s">
        <v>1125</v>
      </c>
      <c r="M940" t="s">
        <v>76</v>
      </c>
    </row>
    <row r="941" spans="2:13" x14ac:dyDescent="0.25">
      <c r="B941" t="s">
        <v>67</v>
      </c>
      <c r="C941" s="20">
        <v>302.20833333333331</v>
      </c>
      <c r="D941" t="s">
        <v>68</v>
      </c>
      <c r="E941" t="s">
        <v>69</v>
      </c>
      <c r="F941" t="s">
        <v>70</v>
      </c>
      <c r="G941" t="s">
        <v>71</v>
      </c>
      <c r="H941" t="s">
        <v>72</v>
      </c>
      <c r="I941" t="s">
        <v>73</v>
      </c>
      <c r="J941" t="str">
        <f>"45904"</f>
        <v>45904</v>
      </c>
      <c r="K941" t="s">
        <v>1370</v>
      </c>
      <c r="L941" t="s">
        <v>1125</v>
      </c>
      <c r="M941" t="s">
        <v>76</v>
      </c>
    </row>
    <row r="942" spans="2:13" x14ac:dyDescent="0.25">
      <c r="B942" t="s">
        <v>67</v>
      </c>
      <c r="C942" s="20">
        <v>303.41666666666669</v>
      </c>
      <c r="D942" t="s">
        <v>68</v>
      </c>
      <c r="E942" t="s">
        <v>69</v>
      </c>
      <c r="F942" t="s">
        <v>70</v>
      </c>
      <c r="G942" t="s">
        <v>71</v>
      </c>
      <c r="H942" t="s">
        <v>72</v>
      </c>
      <c r="I942" t="s">
        <v>73</v>
      </c>
      <c r="J942" t="str">
        <f>"45905"</f>
        <v>45905</v>
      </c>
      <c r="K942" t="s">
        <v>1371</v>
      </c>
      <c r="L942" t="s">
        <v>1125</v>
      </c>
      <c r="M942" t="s">
        <v>76</v>
      </c>
    </row>
    <row r="943" spans="2:13" x14ac:dyDescent="0.25">
      <c r="B943" t="s">
        <v>67</v>
      </c>
      <c r="C943" s="20">
        <v>304.625</v>
      </c>
      <c r="D943" t="s">
        <v>68</v>
      </c>
      <c r="E943" t="s">
        <v>69</v>
      </c>
      <c r="F943" t="s">
        <v>70</v>
      </c>
      <c r="G943" t="s">
        <v>71</v>
      </c>
      <c r="H943" t="s">
        <v>72</v>
      </c>
      <c r="I943" t="s">
        <v>73</v>
      </c>
      <c r="J943" t="str">
        <f>"45906"</f>
        <v>45906</v>
      </c>
      <c r="K943" t="s">
        <v>1372</v>
      </c>
      <c r="L943" t="s">
        <v>1125</v>
      </c>
      <c r="M943" t="s">
        <v>76</v>
      </c>
    </row>
    <row r="944" spans="2:13" x14ac:dyDescent="0.25">
      <c r="B944" t="s">
        <v>67</v>
      </c>
      <c r="C944" s="20">
        <v>305.83333333333331</v>
      </c>
      <c r="D944" t="s">
        <v>68</v>
      </c>
      <c r="E944" t="s">
        <v>69</v>
      </c>
      <c r="F944" t="s">
        <v>70</v>
      </c>
      <c r="G944" t="s">
        <v>71</v>
      </c>
      <c r="H944" t="s">
        <v>72</v>
      </c>
      <c r="I944" t="s">
        <v>73</v>
      </c>
      <c r="J944" t="str">
        <f>"45907"</f>
        <v>45907</v>
      </c>
      <c r="K944" t="s">
        <v>1373</v>
      </c>
      <c r="L944" t="s">
        <v>1125</v>
      </c>
      <c r="M944" t="s">
        <v>76</v>
      </c>
    </row>
    <row r="945" spans="2:13" x14ac:dyDescent="0.25">
      <c r="B945" t="s">
        <v>67</v>
      </c>
      <c r="C945" s="20">
        <v>307.04166666666669</v>
      </c>
      <c r="D945" t="s">
        <v>68</v>
      </c>
      <c r="E945" t="s">
        <v>69</v>
      </c>
      <c r="F945" t="s">
        <v>70</v>
      </c>
      <c r="G945" t="s">
        <v>71</v>
      </c>
      <c r="H945" t="s">
        <v>72</v>
      </c>
      <c r="I945" t="s">
        <v>73</v>
      </c>
      <c r="J945" t="str">
        <f>"45908"</f>
        <v>45908</v>
      </c>
      <c r="K945" t="s">
        <v>1374</v>
      </c>
      <c r="L945" t="s">
        <v>1125</v>
      </c>
      <c r="M945" t="s">
        <v>76</v>
      </c>
    </row>
    <row r="946" spans="2:13" x14ac:dyDescent="0.25">
      <c r="B946" t="s">
        <v>67</v>
      </c>
      <c r="C946" s="20">
        <v>308.25</v>
      </c>
      <c r="D946" t="s">
        <v>68</v>
      </c>
      <c r="E946" t="s">
        <v>69</v>
      </c>
      <c r="F946" t="s">
        <v>70</v>
      </c>
      <c r="G946" t="s">
        <v>71</v>
      </c>
      <c r="H946" t="s">
        <v>72</v>
      </c>
      <c r="I946" t="s">
        <v>73</v>
      </c>
      <c r="J946" t="str">
        <f>"45909"</f>
        <v>45909</v>
      </c>
      <c r="K946" t="s">
        <v>1375</v>
      </c>
      <c r="L946" t="s">
        <v>1125</v>
      </c>
      <c r="M946" t="s">
        <v>76</v>
      </c>
    </row>
    <row r="947" spans="2:13" x14ac:dyDescent="0.25">
      <c r="B947" t="s">
        <v>67</v>
      </c>
      <c r="C947" s="20">
        <v>309.45833333333331</v>
      </c>
      <c r="D947" t="s">
        <v>68</v>
      </c>
      <c r="E947" t="s">
        <v>69</v>
      </c>
      <c r="F947" t="s">
        <v>70</v>
      </c>
      <c r="G947" t="s">
        <v>71</v>
      </c>
      <c r="H947" t="s">
        <v>72</v>
      </c>
      <c r="I947" t="s">
        <v>73</v>
      </c>
      <c r="J947" t="str">
        <f>"45910"</f>
        <v>45910</v>
      </c>
      <c r="K947" t="s">
        <v>1376</v>
      </c>
      <c r="L947" t="s">
        <v>1125</v>
      </c>
      <c r="M947" t="s">
        <v>76</v>
      </c>
    </row>
    <row r="948" spans="2:13" x14ac:dyDescent="0.25">
      <c r="B948" t="s">
        <v>67</v>
      </c>
      <c r="C948" s="20">
        <v>310.66666666666669</v>
      </c>
      <c r="D948" t="s">
        <v>68</v>
      </c>
      <c r="E948" t="s">
        <v>69</v>
      </c>
      <c r="F948" t="s">
        <v>70</v>
      </c>
      <c r="G948" t="s">
        <v>71</v>
      </c>
      <c r="H948" t="s">
        <v>72</v>
      </c>
      <c r="I948" t="s">
        <v>73</v>
      </c>
      <c r="J948" t="str">
        <f>"45911"</f>
        <v>45911</v>
      </c>
      <c r="K948" t="s">
        <v>1377</v>
      </c>
      <c r="L948" t="s">
        <v>1125</v>
      </c>
      <c r="M948" t="s">
        <v>76</v>
      </c>
    </row>
    <row r="949" spans="2:13" x14ac:dyDescent="0.25">
      <c r="B949" t="s">
        <v>67</v>
      </c>
      <c r="C949" s="20">
        <v>311.875</v>
      </c>
      <c r="D949" t="s">
        <v>68</v>
      </c>
      <c r="E949" t="s">
        <v>69</v>
      </c>
      <c r="F949" t="s">
        <v>70</v>
      </c>
      <c r="G949" t="s">
        <v>71</v>
      </c>
      <c r="H949" t="s">
        <v>72</v>
      </c>
      <c r="I949" t="s">
        <v>73</v>
      </c>
      <c r="J949" t="str">
        <f>"45912"</f>
        <v>45912</v>
      </c>
      <c r="K949" t="s">
        <v>1378</v>
      </c>
      <c r="L949" t="s">
        <v>1125</v>
      </c>
      <c r="M949" t="s">
        <v>76</v>
      </c>
    </row>
    <row r="950" spans="2:13" x14ac:dyDescent="0.25">
      <c r="B950" t="s">
        <v>67</v>
      </c>
      <c r="C950" s="20">
        <v>313.08333333333331</v>
      </c>
      <c r="D950" t="s">
        <v>68</v>
      </c>
      <c r="E950" t="s">
        <v>69</v>
      </c>
      <c r="F950" t="s">
        <v>70</v>
      </c>
      <c r="G950" t="s">
        <v>71</v>
      </c>
      <c r="H950" t="s">
        <v>72</v>
      </c>
      <c r="I950" t="s">
        <v>73</v>
      </c>
      <c r="J950" t="str">
        <f>"45913"</f>
        <v>45913</v>
      </c>
      <c r="K950" t="s">
        <v>1379</v>
      </c>
      <c r="L950" t="s">
        <v>1125</v>
      </c>
      <c r="M950" t="s">
        <v>76</v>
      </c>
    </row>
    <row r="951" spans="2:13" x14ac:dyDescent="0.25">
      <c r="B951" t="s">
        <v>67</v>
      </c>
      <c r="C951" s="20">
        <v>314.29166666666669</v>
      </c>
      <c r="D951" t="s">
        <v>68</v>
      </c>
      <c r="E951" t="s">
        <v>69</v>
      </c>
      <c r="F951" t="s">
        <v>70</v>
      </c>
      <c r="G951" t="s">
        <v>71</v>
      </c>
      <c r="H951" t="s">
        <v>72</v>
      </c>
      <c r="I951" t="s">
        <v>73</v>
      </c>
      <c r="J951" t="str">
        <f>"45914"</f>
        <v>45914</v>
      </c>
      <c r="K951" t="s">
        <v>1380</v>
      </c>
      <c r="L951" t="s">
        <v>1125</v>
      </c>
      <c r="M951" t="s">
        <v>76</v>
      </c>
    </row>
    <row r="952" spans="2:13" x14ac:dyDescent="0.25">
      <c r="B952" t="s">
        <v>67</v>
      </c>
      <c r="C952" s="20">
        <v>315.5</v>
      </c>
      <c r="D952" t="s">
        <v>68</v>
      </c>
      <c r="E952" t="s">
        <v>69</v>
      </c>
      <c r="F952" t="s">
        <v>70</v>
      </c>
      <c r="G952" t="s">
        <v>71</v>
      </c>
      <c r="H952" t="s">
        <v>72</v>
      </c>
      <c r="I952" t="s">
        <v>73</v>
      </c>
      <c r="J952" t="str">
        <f>"45915"</f>
        <v>45915</v>
      </c>
      <c r="K952" t="s">
        <v>1381</v>
      </c>
      <c r="L952" t="s">
        <v>1125</v>
      </c>
      <c r="M952" t="s">
        <v>76</v>
      </c>
    </row>
    <row r="953" spans="2:13" x14ac:dyDescent="0.25">
      <c r="B953" t="s">
        <v>67</v>
      </c>
      <c r="C953" s="20">
        <v>316.70833333333331</v>
      </c>
      <c r="D953" t="s">
        <v>68</v>
      </c>
      <c r="E953" t="s">
        <v>69</v>
      </c>
      <c r="F953" t="s">
        <v>70</v>
      </c>
      <c r="G953" t="s">
        <v>71</v>
      </c>
      <c r="H953" t="s">
        <v>72</v>
      </c>
      <c r="I953" t="s">
        <v>73</v>
      </c>
      <c r="J953" t="str">
        <f>"45916"</f>
        <v>45916</v>
      </c>
      <c r="K953" t="s">
        <v>1382</v>
      </c>
      <c r="L953" t="s">
        <v>1125</v>
      </c>
      <c r="M953" t="s">
        <v>76</v>
      </c>
    </row>
    <row r="954" spans="2:13" x14ac:dyDescent="0.25">
      <c r="B954" t="s">
        <v>67</v>
      </c>
      <c r="C954" s="20">
        <v>317.91666666666669</v>
      </c>
      <c r="D954" t="s">
        <v>68</v>
      </c>
      <c r="E954" t="s">
        <v>69</v>
      </c>
      <c r="F954" t="s">
        <v>70</v>
      </c>
      <c r="G954" t="s">
        <v>71</v>
      </c>
      <c r="H954" t="s">
        <v>72</v>
      </c>
      <c r="I954" t="s">
        <v>73</v>
      </c>
      <c r="J954" t="str">
        <f>"45917"</f>
        <v>45917</v>
      </c>
      <c r="K954" t="s">
        <v>1383</v>
      </c>
      <c r="L954" t="s">
        <v>1125</v>
      </c>
      <c r="M954" t="s">
        <v>76</v>
      </c>
    </row>
    <row r="955" spans="2:13" x14ac:dyDescent="0.25">
      <c r="B955" t="s">
        <v>67</v>
      </c>
      <c r="C955" s="20">
        <v>319.125</v>
      </c>
      <c r="D955" t="s">
        <v>68</v>
      </c>
      <c r="E955" t="s">
        <v>69</v>
      </c>
      <c r="F955" t="s">
        <v>70</v>
      </c>
      <c r="G955" t="s">
        <v>71</v>
      </c>
      <c r="H955" t="s">
        <v>72</v>
      </c>
      <c r="I955" t="s">
        <v>73</v>
      </c>
      <c r="J955" t="str">
        <f>"45918"</f>
        <v>45918</v>
      </c>
      <c r="K955" t="s">
        <v>1384</v>
      </c>
      <c r="L955" t="s">
        <v>1125</v>
      </c>
      <c r="M955" t="s">
        <v>76</v>
      </c>
    </row>
    <row r="956" spans="2:13" x14ac:dyDescent="0.25">
      <c r="B956" t="s">
        <v>67</v>
      </c>
      <c r="C956" s="20">
        <v>320.33333333333331</v>
      </c>
      <c r="D956" t="s">
        <v>68</v>
      </c>
      <c r="E956" t="s">
        <v>69</v>
      </c>
      <c r="F956" t="s">
        <v>70</v>
      </c>
      <c r="G956" t="s">
        <v>71</v>
      </c>
      <c r="H956" t="s">
        <v>72</v>
      </c>
      <c r="I956" t="s">
        <v>73</v>
      </c>
      <c r="J956" t="str">
        <f>"45919"</f>
        <v>45919</v>
      </c>
      <c r="K956" t="s">
        <v>1385</v>
      </c>
      <c r="L956" t="s">
        <v>1125</v>
      </c>
      <c r="M956" t="s">
        <v>76</v>
      </c>
    </row>
    <row r="957" spans="2:13" x14ac:dyDescent="0.25">
      <c r="B957" t="s">
        <v>67</v>
      </c>
      <c r="C957" s="20">
        <v>321.54166666666669</v>
      </c>
      <c r="D957" t="s">
        <v>68</v>
      </c>
      <c r="E957" t="s">
        <v>69</v>
      </c>
      <c r="F957" t="s">
        <v>70</v>
      </c>
      <c r="G957" t="s">
        <v>71</v>
      </c>
      <c r="H957" t="s">
        <v>72</v>
      </c>
      <c r="I957" t="s">
        <v>73</v>
      </c>
      <c r="J957" t="str">
        <f>"45920"</f>
        <v>45920</v>
      </c>
      <c r="K957" t="s">
        <v>1386</v>
      </c>
      <c r="L957" t="s">
        <v>1125</v>
      </c>
      <c r="M957" t="s">
        <v>76</v>
      </c>
    </row>
    <row r="958" spans="2:13" x14ac:dyDescent="0.25">
      <c r="B958" t="s">
        <v>67</v>
      </c>
      <c r="C958" s="20">
        <v>322.75</v>
      </c>
      <c r="D958" t="s">
        <v>68</v>
      </c>
      <c r="E958" t="s">
        <v>69</v>
      </c>
      <c r="F958" t="s">
        <v>70</v>
      </c>
      <c r="G958" t="s">
        <v>71</v>
      </c>
      <c r="H958" t="s">
        <v>72</v>
      </c>
      <c r="I958" t="s">
        <v>73</v>
      </c>
      <c r="J958" t="str">
        <f>"45921"</f>
        <v>45921</v>
      </c>
      <c r="K958" t="s">
        <v>1387</v>
      </c>
      <c r="L958" t="s">
        <v>1125</v>
      </c>
      <c r="M958" t="s">
        <v>76</v>
      </c>
    </row>
    <row r="959" spans="2:13" x14ac:dyDescent="0.25">
      <c r="B959" t="s">
        <v>67</v>
      </c>
      <c r="C959" s="20">
        <v>323.95833333333331</v>
      </c>
      <c r="D959" t="s">
        <v>68</v>
      </c>
      <c r="E959" t="s">
        <v>69</v>
      </c>
      <c r="F959" t="s">
        <v>70</v>
      </c>
      <c r="G959" t="s">
        <v>71</v>
      </c>
      <c r="H959" t="s">
        <v>72</v>
      </c>
      <c r="I959" t="s">
        <v>73</v>
      </c>
      <c r="J959" t="str">
        <f>"45922"</f>
        <v>45922</v>
      </c>
      <c r="K959" t="s">
        <v>1388</v>
      </c>
      <c r="L959" t="s">
        <v>1125</v>
      </c>
      <c r="M959" t="s">
        <v>76</v>
      </c>
    </row>
    <row r="960" spans="2:13" x14ac:dyDescent="0.25">
      <c r="B960" t="s">
        <v>67</v>
      </c>
      <c r="C960" s="20">
        <v>325.16666666666669</v>
      </c>
      <c r="D960" t="s">
        <v>68</v>
      </c>
      <c r="E960" t="s">
        <v>69</v>
      </c>
      <c r="F960" t="s">
        <v>70</v>
      </c>
      <c r="G960" t="s">
        <v>71</v>
      </c>
      <c r="H960" t="s">
        <v>72</v>
      </c>
      <c r="I960" t="s">
        <v>73</v>
      </c>
      <c r="J960" t="str">
        <f>"45923"</f>
        <v>45923</v>
      </c>
      <c r="K960" t="s">
        <v>1389</v>
      </c>
      <c r="L960" t="s">
        <v>1125</v>
      </c>
      <c r="M960" t="s">
        <v>76</v>
      </c>
    </row>
    <row r="961" spans="2:13" x14ac:dyDescent="0.25">
      <c r="B961" t="s">
        <v>67</v>
      </c>
      <c r="C961" s="20">
        <v>326.375</v>
      </c>
      <c r="D961" t="s">
        <v>68</v>
      </c>
      <c r="E961" t="s">
        <v>69</v>
      </c>
      <c r="F961" t="s">
        <v>70</v>
      </c>
      <c r="G961" t="s">
        <v>71</v>
      </c>
      <c r="H961" t="s">
        <v>72</v>
      </c>
      <c r="I961" t="s">
        <v>73</v>
      </c>
      <c r="J961" t="str">
        <f>"45924"</f>
        <v>45924</v>
      </c>
      <c r="K961" t="s">
        <v>1390</v>
      </c>
      <c r="L961" t="s">
        <v>1125</v>
      </c>
      <c r="M961" t="s">
        <v>76</v>
      </c>
    </row>
    <row r="962" spans="2:13" x14ac:dyDescent="0.25">
      <c r="B962" t="s">
        <v>67</v>
      </c>
      <c r="C962" s="20">
        <v>327.58333333333331</v>
      </c>
      <c r="D962" t="s">
        <v>68</v>
      </c>
      <c r="E962" t="s">
        <v>69</v>
      </c>
      <c r="F962" t="s">
        <v>70</v>
      </c>
      <c r="G962" t="s">
        <v>71</v>
      </c>
      <c r="H962" t="s">
        <v>72</v>
      </c>
      <c r="I962" t="s">
        <v>73</v>
      </c>
      <c r="J962" t="str">
        <f>"45925"</f>
        <v>45925</v>
      </c>
      <c r="K962" t="s">
        <v>1391</v>
      </c>
      <c r="L962" t="s">
        <v>1125</v>
      </c>
      <c r="M962" t="s">
        <v>76</v>
      </c>
    </row>
    <row r="963" spans="2:13" x14ac:dyDescent="0.25">
      <c r="B963" t="s">
        <v>67</v>
      </c>
      <c r="C963" s="20">
        <v>328.79166666666669</v>
      </c>
      <c r="D963" t="s">
        <v>68</v>
      </c>
      <c r="E963" t="s">
        <v>69</v>
      </c>
      <c r="F963" t="s">
        <v>70</v>
      </c>
      <c r="G963" t="s">
        <v>71</v>
      </c>
      <c r="H963" t="s">
        <v>72</v>
      </c>
      <c r="I963" t="s">
        <v>73</v>
      </c>
      <c r="J963" t="str">
        <f>"45926"</f>
        <v>45926</v>
      </c>
      <c r="K963" t="s">
        <v>1392</v>
      </c>
      <c r="L963" t="s">
        <v>1125</v>
      </c>
      <c r="M963" t="s">
        <v>76</v>
      </c>
    </row>
    <row r="964" spans="2:13" x14ac:dyDescent="0.25">
      <c r="B964" t="s">
        <v>67</v>
      </c>
      <c r="C964" s="20">
        <v>330</v>
      </c>
      <c r="D964" t="s">
        <v>68</v>
      </c>
      <c r="E964" t="s">
        <v>69</v>
      </c>
      <c r="F964" t="s">
        <v>70</v>
      </c>
      <c r="G964" t="s">
        <v>71</v>
      </c>
      <c r="H964" t="s">
        <v>72</v>
      </c>
      <c r="I964" t="s">
        <v>73</v>
      </c>
      <c r="J964" t="str">
        <f>"45927"</f>
        <v>45927</v>
      </c>
      <c r="K964" t="s">
        <v>1393</v>
      </c>
      <c r="L964" t="s">
        <v>1125</v>
      </c>
      <c r="M964" t="s">
        <v>76</v>
      </c>
    </row>
    <row r="965" spans="2:13" x14ac:dyDescent="0.25">
      <c r="B965" t="s">
        <v>67</v>
      </c>
      <c r="C965" s="20">
        <v>331.20833333333331</v>
      </c>
      <c r="D965" t="s">
        <v>68</v>
      </c>
      <c r="E965" t="s">
        <v>69</v>
      </c>
      <c r="F965" t="s">
        <v>70</v>
      </c>
      <c r="G965" t="s">
        <v>71</v>
      </c>
      <c r="H965" t="s">
        <v>72</v>
      </c>
      <c r="I965" t="s">
        <v>73</v>
      </c>
      <c r="J965" t="str">
        <f>"45928"</f>
        <v>45928</v>
      </c>
      <c r="K965" t="s">
        <v>1394</v>
      </c>
      <c r="L965" t="s">
        <v>1125</v>
      </c>
      <c r="M965" t="s">
        <v>76</v>
      </c>
    </row>
    <row r="966" spans="2:13" x14ac:dyDescent="0.25">
      <c r="B966" t="s">
        <v>67</v>
      </c>
      <c r="C966" s="20">
        <v>332.41666666666669</v>
      </c>
      <c r="D966" t="s">
        <v>68</v>
      </c>
      <c r="E966" t="s">
        <v>69</v>
      </c>
      <c r="F966" t="s">
        <v>70</v>
      </c>
      <c r="G966" t="s">
        <v>71</v>
      </c>
      <c r="H966" t="s">
        <v>72</v>
      </c>
      <c r="I966" t="s">
        <v>73</v>
      </c>
      <c r="J966" t="str">
        <f>"45929"</f>
        <v>45929</v>
      </c>
      <c r="K966" t="s">
        <v>1395</v>
      </c>
      <c r="L966" t="s">
        <v>1125</v>
      </c>
      <c r="M966" t="s">
        <v>76</v>
      </c>
    </row>
    <row r="967" spans="2:13" x14ac:dyDescent="0.25">
      <c r="B967" t="s">
        <v>67</v>
      </c>
      <c r="C967" s="20">
        <v>333.625</v>
      </c>
      <c r="D967" t="s">
        <v>68</v>
      </c>
      <c r="E967" t="s">
        <v>69</v>
      </c>
      <c r="F967" t="s">
        <v>70</v>
      </c>
      <c r="G967" t="s">
        <v>71</v>
      </c>
      <c r="H967" t="s">
        <v>72</v>
      </c>
      <c r="I967" t="s">
        <v>73</v>
      </c>
      <c r="J967" t="str">
        <f>"45930"</f>
        <v>45930</v>
      </c>
      <c r="K967" t="s">
        <v>1396</v>
      </c>
      <c r="L967" t="s">
        <v>1125</v>
      </c>
      <c r="M967" t="s">
        <v>76</v>
      </c>
    </row>
    <row r="968" spans="2:13" x14ac:dyDescent="0.25">
      <c r="B968" t="s">
        <v>67</v>
      </c>
      <c r="C968" s="20">
        <v>334.83333333333331</v>
      </c>
      <c r="D968" t="s">
        <v>68</v>
      </c>
      <c r="E968" t="s">
        <v>69</v>
      </c>
      <c r="F968" t="s">
        <v>70</v>
      </c>
      <c r="G968" t="s">
        <v>71</v>
      </c>
      <c r="H968" t="s">
        <v>72</v>
      </c>
      <c r="I968" t="s">
        <v>73</v>
      </c>
      <c r="J968" t="str">
        <f>"45931"</f>
        <v>45931</v>
      </c>
      <c r="K968" t="s">
        <v>1397</v>
      </c>
      <c r="L968" t="s">
        <v>1125</v>
      </c>
      <c r="M968" t="s">
        <v>76</v>
      </c>
    </row>
    <row r="969" spans="2:13" x14ac:dyDescent="0.25">
      <c r="B969" t="s">
        <v>67</v>
      </c>
      <c r="C969" s="20">
        <v>336.04166666666669</v>
      </c>
      <c r="D969" t="s">
        <v>68</v>
      </c>
      <c r="E969" t="s">
        <v>69</v>
      </c>
      <c r="F969" t="s">
        <v>70</v>
      </c>
      <c r="G969" t="s">
        <v>71</v>
      </c>
      <c r="H969" t="s">
        <v>72</v>
      </c>
      <c r="I969" t="s">
        <v>73</v>
      </c>
      <c r="J969" t="str">
        <f>"45932"</f>
        <v>45932</v>
      </c>
      <c r="K969" t="s">
        <v>1398</v>
      </c>
      <c r="L969" t="s">
        <v>1125</v>
      </c>
      <c r="M969" t="s">
        <v>76</v>
      </c>
    </row>
    <row r="970" spans="2:13" x14ac:dyDescent="0.25">
      <c r="B970" t="s">
        <v>67</v>
      </c>
      <c r="C970" s="20">
        <v>337.25</v>
      </c>
      <c r="D970" t="s">
        <v>68</v>
      </c>
      <c r="E970" t="s">
        <v>69</v>
      </c>
      <c r="F970" t="s">
        <v>70</v>
      </c>
      <c r="G970" t="s">
        <v>71</v>
      </c>
      <c r="H970" t="s">
        <v>72</v>
      </c>
      <c r="I970" t="s">
        <v>73</v>
      </c>
      <c r="J970" t="str">
        <f>"45933"</f>
        <v>45933</v>
      </c>
      <c r="K970" t="s">
        <v>1399</v>
      </c>
      <c r="L970" t="s">
        <v>1125</v>
      </c>
      <c r="M970" t="s">
        <v>76</v>
      </c>
    </row>
    <row r="971" spans="2:13" x14ac:dyDescent="0.25">
      <c r="B971" t="s">
        <v>67</v>
      </c>
      <c r="C971" s="20">
        <v>338.45833333333331</v>
      </c>
      <c r="D971" t="s">
        <v>68</v>
      </c>
      <c r="E971" t="s">
        <v>69</v>
      </c>
      <c r="F971" t="s">
        <v>70</v>
      </c>
      <c r="G971" t="s">
        <v>71</v>
      </c>
      <c r="H971" t="s">
        <v>72</v>
      </c>
      <c r="I971" t="s">
        <v>73</v>
      </c>
      <c r="J971" t="str">
        <f>"45934"</f>
        <v>45934</v>
      </c>
      <c r="K971" t="s">
        <v>1400</v>
      </c>
      <c r="L971" t="s">
        <v>1125</v>
      </c>
      <c r="M971" t="s">
        <v>76</v>
      </c>
    </row>
    <row r="972" spans="2:13" x14ac:dyDescent="0.25">
      <c r="B972" t="s">
        <v>67</v>
      </c>
      <c r="C972" s="20">
        <v>339.66666666666669</v>
      </c>
      <c r="D972" t="s">
        <v>68</v>
      </c>
      <c r="E972" t="s">
        <v>69</v>
      </c>
      <c r="F972" t="s">
        <v>70</v>
      </c>
      <c r="G972" t="s">
        <v>71</v>
      </c>
      <c r="H972" t="s">
        <v>72</v>
      </c>
      <c r="I972" t="s">
        <v>73</v>
      </c>
      <c r="J972" t="str">
        <f>"45935"</f>
        <v>45935</v>
      </c>
      <c r="K972" t="s">
        <v>1401</v>
      </c>
      <c r="L972" t="s">
        <v>1125</v>
      </c>
      <c r="M972" t="s">
        <v>76</v>
      </c>
    </row>
    <row r="973" spans="2:13" x14ac:dyDescent="0.25">
      <c r="B973" t="s">
        <v>67</v>
      </c>
      <c r="C973" s="20">
        <v>340.875</v>
      </c>
      <c r="D973" t="s">
        <v>68</v>
      </c>
      <c r="E973" t="s">
        <v>69</v>
      </c>
      <c r="F973" t="s">
        <v>70</v>
      </c>
      <c r="G973" t="s">
        <v>71</v>
      </c>
      <c r="H973" t="s">
        <v>72</v>
      </c>
      <c r="I973" t="s">
        <v>73</v>
      </c>
      <c r="J973" t="str">
        <f>"45936"</f>
        <v>45936</v>
      </c>
      <c r="K973" t="s">
        <v>1402</v>
      </c>
      <c r="L973" t="s">
        <v>1125</v>
      </c>
      <c r="M973" t="s">
        <v>76</v>
      </c>
    </row>
    <row r="974" spans="2:13" x14ac:dyDescent="0.25">
      <c r="B974" t="s">
        <v>67</v>
      </c>
      <c r="C974" s="20">
        <v>342.08333333333331</v>
      </c>
      <c r="D974" t="s">
        <v>68</v>
      </c>
      <c r="E974" t="s">
        <v>69</v>
      </c>
      <c r="F974" t="s">
        <v>70</v>
      </c>
      <c r="G974" t="s">
        <v>71</v>
      </c>
      <c r="H974" t="s">
        <v>72</v>
      </c>
      <c r="I974" t="s">
        <v>73</v>
      </c>
      <c r="J974" t="str">
        <f>"45937"</f>
        <v>45937</v>
      </c>
      <c r="K974" t="s">
        <v>1403</v>
      </c>
      <c r="L974" t="s">
        <v>1125</v>
      </c>
      <c r="M974" t="s">
        <v>76</v>
      </c>
    </row>
    <row r="975" spans="2:13" x14ac:dyDescent="0.25">
      <c r="B975" t="s">
        <v>67</v>
      </c>
      <c r="C975" s="20">
        <v>343.29166666666669</v>
      </c>
      <c r="D975" t="s">
        <v>68</v>
      </c>
      <c r="E975" t="s">
        <v>69</v>
      </c>
      <c r="F975" t="s">
        <v>70</v>
      </c>
      <c r="G975" t="s">
        <v>71</v>
      </c>
      <c r="H975" t="s">
        <v>72</v>
      </c>
      <c r="I975" t="s">
        <v>73</v>
      </c>
      <c r="J975" t="str">
        <f>"45938"</f>
        <v>45938</v>
      </c>
      <c r="K975" t="s">
        <v>1404</v>
      </c>
      <c r="L975" t="s">
        <v>1125</v>
      </c>
      <c r="M975" t="s">
        <v>76</v>
      </c>
    </row>
    <row r="976" spans="2:13" x14ac:dyDescent="0.25">
      <c r="B976" t="s">
        <v>67</v>
      </c>
      <c r="C976" s="20">
        <v>344.5</v>
      </c>
      <c r="D976" t="s">
        <v>68</v>
      </c>
      <c r="E976" t="s">
        <v>69</v>
      </c>
      <c r="F976" t="s">
        <v>70</v>
      </c>
      <c r="G976" t="s">
        <v>71</v>
      </c>
      <c r="H976" t="s">
        <v>72</v>
      </c>
      <c r="I976" t="s">
        <v>73</v>
      </c>
      <c r="J976" t="str">
        <f>"45939"</f>
        <v>45939</v>
      </c>
      <c r="K976" t="s">
        <v>1405</v>
      </c>
      <c r="L976" t="s">
        <v>1125</v>
      </c>
      <c r="M976" t="s">
        <v>76</v>
      </c>
    </row>
    <row r="977" spans="2:13" x14ac:dyDescent="0.25">
      <c r="B977" t="s">
        <v>67</v>
      </c>
      <c r="C977" s="20">
        <v>345.70833333333331</v>
      </c>
      <c r="D977" t="s">
        <v>68</v>
      </c>
      <c r="E977" t="s">
        <v>69</v>
      </c>
      <c r="F977" t="s">
        <v>70</v>
      </c>
      <c r="G977" t="s">
        <v>71</v>
      </c>
      <c r="H977" t="s">
        <v>72</v>
      </c>
      <c r="I977" t="s">
        <v>73</v>
      </c>
      <c r="J977" t="str">
        <f>"45940"</f>
        <v>45940</v>
      </c>
      <c r="K977" t="s">
        <v>1406</v>
      </c>
      <c r="L977" t="s">
        <v>1125</v>
      </c>
      <c r="M977" t="s">
        <v>76</v>
      </c>
    </row>
    <row r="978" spans="2:13" x14ac:dyDescent="0.25">
      <c r="B978" t="s">
        <v>67</v>
      </c>
      <c r="C978" s="20">
        <v>346.91666666666669</v>
      </c>
      <c r="D978" t="s">
        <v>68</v>
      </c>
      <c r="E978" t="s">
        <v>69</v>
      </c>
      <c r="F978" t="s">
        <v>70</v>
      </c>
      <c r="G978" t="s">
        <v>71</v>
      </c>
      <c r="H978" t="s">
        <v>72</v>
      </c>
      <c r="I978" t="s">
        <v>73</v>
      </c>
      <c r="J978" t="str">
        <f>"45941"</f>
        <v>45941</v>
      </c>
      <c r="K978" t="s">
        <v>1407</v>
      </c>
      <c r="L978" t="s">
        <v>1125</v>
      </c>
      <c r="M978" t="s">
        <v>76</v>
      </c>
    </row>
    <row r="979" spans="2:13" x14ac:dyDescent="0.25">
      <c r="B979" t="s">
        <v>67</v>
      </c>
      <c r="C979" s="20">
        <v>348.125</v>
      </c>
      <c r="D979" t="s">
        <v>68</v>
      </c>
      <c r="E979" t="s">
        <v>69</v>
      </c>
      <c r="F979" t="s">
        <v>70</v>
      </c>
      <c r="G979" t="s">
        <v>71</v>
      </c>
      <c r="H979" t="s">
        <v>72</v>
      </c>
      <c r="I979" t="s">
        <v>73</v>
      </c>
      <c r="J979" t="str">
        <f>"45942"</f>
        <v>45942</v>
      </c>
      <c r="K979" t="s">
        <v>1408</v>
      </c>
      <c r="L979" t="s">
        <v>1125</v>
      </c>
      <c r="M979" t="s">
        <v>76</v>
      </c>
    </row>
    <row r="980" spans="2:13" x14ac:dyDescent="0.25">
      <c r="B980" t="s">
        <v>67</v>
      </c>
      <c r="C980" s="20">
        <v>349.33333333333331</v>
      </c>
      <c r="D980" t="s">
        <v>68</v>
      </c>
      <c r="E980" t="s">
        <v>69</v>
      </c>
      <c r="F980" t="s">
        <v>70</v>
      </c>
      <c r="G980" t="s">
        <v>71</v>
      </c>
      <c r="H980" t="s">
        <v>72</v>
      </c>
      <c r="I980" t="s">
        <v>73</v>
      </c>
      <c r="J980" t="str">
        <f>"45943"</f>
        <v>45943</v>
      </c>
      <c r="K980" t="s">
        <v>1409</v>
      </c>
      <c r="L980" t="s">
        <v>1125</v>
      </c>
      <c r="M980" t="s">
        <v>76</v>
      </c>
    </row>
    <row r="981" spans="2:13" x14ac:dyDescent="0.25">
      <c r="B981" t="s">
        <v>67</v>
      </c>
      <c r="C981" s="20">
        <v>350.54166666666669</v>
      </c>
      <c r="D981" t="s">
        <v>68</v>
      </c>
      <c r="E981" t="s">
        <v>69</v>
      </c>
      <c r="F981" t="s">
        <v>70</v>
      </c>
      <c r="G981" t="s">
        <v>71</v>
      </c>
      <c r="H981" t="s">
        <v>72</v>
      </c>
      <c r="I981" t="s">
        <v>73</v>
      </c>
      <c r="J981" t="str">
        <f>"45944"</f>
        <v>45944</v>
      </c>
      <c r="K981" t="s">
        <v>1410</v>
      </c>
      <c r="L981" t="s">
        <v>1125</v>
      </c>
      <c r="M981" t="s">
        <v>76</v>
      </c>
    </row>
    <row r="982" spans="2:13" x14ac:dyDescent="0.25">
      <c r="B982" t="s">
        <v>67</v>
      </c>
      <c r="C982" s="20">
        <v>351.75</v>
      </c>
      <c r="D982" t="s">
        <v>68</v>
      </c>
      <c r="E982" t="s">
        <v>69</v>
      </c>
      <c r="F982" t="s">
        <v>70</v>
      </c>
      <c r="G982" t="s">
        <v>71</v>
      </c>
      <c r="H982" t="s">
        <v>72</v>
      </c>
      <c r="I982" t="s">
        <v>73</v>
      </c>
      <c r="J982" t="str">
        <f>"45945"</f>
        <v>45945</v>
      </c>
      <c r="K982" t="s">
        <v>1411</v>
      </c>
      <c r="L982" t="s">
        <v>1125</v>
      </c>
      <c r="M982" t="s">
        <v>76</v>
      </c>
    </row>
    <row r="983" spans="2:13" x14ac:dyDescent="0.25">
      <c r="B983" t="s">
        <v>67</v>
      </c>
      <c r="C983" s="20">
        <v>352.95833333333331</v>
      </c>
      <c r="D983" t="s">
        <v>68</v>
      </c>
      <c r="E983" t="s">
        <v>69</v>
      </c>
      <c r="F983" t="s">
        <v>70</v>
      </c>
      <c r="G983" t="s">
        <v>71</v>
      </c>
      <c r="H983" t="s">
        <v>72</v>
      </c>
      <c r="I983" t="s">
        <v>73</v>
      </c>
      <c r="J983" t="str">
        <f>"45946"</f>
        <v>45946</v>
      </c>
      <c r="K983" t="s">
        <v>1412</v>
      </c>
      <c r="L983" t="s">
        <v>1125</v>
      </c>
      <c r="M983" t="s">
        <v>76</v>
      </c>
    </row>
    <row r="984" spans="2:13" x14ac:dyDescent="0.25">
      <c r="B984" t="s">
        <v>67</v>
      </c>
      <c r="C984" s="20">
        <v>354.16666666666669</v>
      </c>
      <c r="D984" t="s">
        <v>68</v>
      </c>
      <c r="E984" t="s">
        <v>69</v>
      </c>
      <c r="F984" t="s">
        <v>70</v>
      </c>
      <c r="G984" t="s">
        <v>71</v>
      </c>
      <c r="H984" t="s">
        <v>72</v>
      </c>
      <c r="I984" t="s">
        <v>73</v>
      </c>
      <c r="J984" t="str">
        <f>"45947"</f>
        <v>45947</v>
      </c>
      <c r="K984" t="s">
        <v>1413</v>
      </c>
      <c r="L984" t="s">
        <v>1125</v>
      </c>
      <c r="M984" t="s">
        <v>76</v>
      </c>
    </row>
    <row r="985" spans="2:13" x14ac:dyDescent="0.25">
      <c r="B985" t="s">
        <v>67</v>
      </c>
      <c r="C985" s="20">
        <v>355.375</v>
      </c>
      <c r="D985" t="s">
        <v>68</v>
      </c>
      <c r="E985" t="s">
        <v>69</v>
      </c>
      <c r="F985" t="s">
        <v>70</v>
      </c>
      <c r="G985" t="s">
        <v>71</v>
      </c>
      <c r="H985" t="s">
        <v>72</v>
      </c>
      <c r="I985" t="s">
        <v>73</v>
      </c>
      <c r="J985" t="str">
        <f>"45948"</f>
        <v>45948</v>
      </c>
      <c r="K985" t="s">
        <v>1414</v>
      </c>
      <c r="L985" t="s">
        <v>1125</v>
      </c>
      <c r="M985" t="s">
        <v>76</v>
      </c>
    </row>
    <row r="986" spans="2:13" x14ac:dyDescent="0.25">
      <c r="B986" t="s">
        <v>67</v>
      </c>
      <c r="C986" s="20">
        <v>356.58333333333331</v>
      </c>
      <c r="D986" t="s">
        <v>68</v>
      </c>
      <c r="E986" t="s">
        <v>69</v>
      </c>
      <c r="F986" t="s">
        <v>70</v>
      </c>
      <c r="G986" t="s">
        <v>71</v>
      </c>
      <c r="H986" t="s">
        <v>72</v>
      </c>
      <c r="I986" t="s">
        <v>73</v>
      </c>
      <c r="J986" t="str">
        <f>"45949"</f>
        <v>45949</v>
      </c>
      <c r="K986" t="s">
        <v>1415</v>
      </c>
      <c r="L986" t="s">
        <v>1125</v>
      </c>
      <c r="M986" t="s">
        <v>76</v>
      </c>
    </row>
    <row r="987" spans="2:13" x14ac:dyDescent="0.25">
      <c r="B987" t="s">
        <v>67</v>
      </c>
      <c r="C987" s="20">
        <v>357.79166666666669</v>
      </c>
      <c r="D987" t="s">
        <v>68</v>
      </c>
      <c r="E987" t="s">
        <v>69</v>
      </c>
      <c r="F987" t="s">
        <v>70</v>
      </c>
      <c r="G987" t="s">
        <v>71</v>
      </c>
      <c r="H987" t="s">
        <v>72</v>
      </c>
      <c r="I987" t="s">
        <v>73</v>
      </c>
      <c r="J987" t="str">
        <f>"45950"</f>
        <v>45950</v>
      </c>
      <c r="K987" t="s">
        <v>1416</v>
      </c>
      <c r="L987" t="s">
        <v>1125</v>
      </c>
      <c r="M987" t="s">
        <v>76</v>
      </c>
    </row>
    <row r="988" spans="2:13" x14ac:dyDescent="0.25">
      <c r="B988" t="s">
        <v>67</v>
      </c>
      <c r="C988" s="20">
        <v>359</v>
      </c>
      <c r="D988" t="s">
        <v>68</v>
      </c>
      <c r="E988" t="s">
        <v>69</v>
      </c>
      <c r="F988" t="s">
        <v>70</v>
      </c>
      <c r="G988" t="s">
        <v>71</v>
      </c>
      <c r="H988" t="s">
        <v>72</v>
      </c>
      <c r="I988" t="s">
        <v>73</v>
      </c>
      <c r="J988" t="str">
        <f>"45951"</f>
        <v>45951</v>
      </c>
      <c r="K988" t="s">
        <v>1417</v>
      </c>
      <c r="L988" t="s">
        <v>1125</v>
      </c>
      <c r="M988" t="s">
        <v>76</v>
      </c>
    </row>
    <row r="989" spans="2:13" x14ac:dyDescent="0.25">
      <c r="B989" t="s">
        <v>67</v>
      </c>
      <c r="C989" s="20">
        <v>360.20833333333331</v>
      </c>
      <c r="D989" t="s">
        <v>68</v>
      </c>
      <c r="E989" t="s">
        <v>69</v>
      </c>
      <c r="F989" t="s">
        <v>70</v>
      </c>
      <c r="G989" t="s">
        <v>71</v>
      </c>
      <c r="H989" t="s">
        <v>72</v>
      </c>
      <c r="I989" t="s">
        <v>73</v>
      </c>
      <c r="J989" t="str">
        <f>"45952"</f>
        <v>45952</v>
      </c>
      <c r="K989" t="s">
        <v>1418</v>
      </c>
      <c r="L989" t="s">
        <v>1125</v>
      </c>
      <c r="M989" t="s">
        <v>76</v>
      </c>
    </row>
    <row r="990" spans="2:13" x14ac:dyDescent="0.25">
      <c r="B990" t="s">
        <v>67</v>
      </c>
      <c r="C990" s="20">
        <v>361.41666666666669</v>
      </c>
      <c r="D990" t="s">
        <v>68</v>
      </c>
      <c r="E990" t="s">
        <v>69</v>
      </c>
      <c r="F990" t="s">
        <v>70</v>
      </c>
      <c r="G990" t="s">
        <v>71</v>
      </c>
      <c r="H990" t="s">
        <v>72</v>
      </c>
      <c r="I990" t="s">
        <v>73</v>
      </c>
      <c r="J990" t="str">
        <f>"45953"</f>
        <v>45953</v>
      </c>
      <c r="K990" t="s">
        <v>1419</v>
      </c>
      <c r="L990" t="s">
        <v>1125</v>
      </c>
      <c r="M990" t="s">
        <v>76</v>
      </c>
    </row>
    <row r="991" spans="2:13" x14ac:dyDescent="0.25">
      <c r="B991" t="s">
        <v>67</v>
      </c>
      <c r="C991" s="20">
        <v>362.625</v>
      </c>
      <c r="D991" t="s">
        <v>68</v>
      </c>
      <c r="E991" t="s">
        <v>69</v>
      </c>
      <c r="F991" t="s">
        <v>70</v>
      </c>
      <c r="G991" t="s">
        <v>71</v>
      </c>
      <c r="H991" t="s">
        <v>72</v>
      </c>
      <c r="I991" t="s">
        <v>73</v>
      </c>
      <c r="J991" t="str">
        <f>"45954"</f>
        <v>45954</v>
      </c>
      <c r="K991" t="s">
        <v>1420</v>
      </c>
      <c r="L991" t="s">
        <v>1125</v>
      </c>
      <c r="M991" t="s">
        <v>76</v>
      </c>
    </row>
    <row r="992" spans="2:13" x14ac:dyDescent="0.25">
      <c r="B992" t="s">
        <v>67</v>
      </c>
      <c r="C992" s="20">
        <v>363.83333333333331</v>
      </c>
      <c r="D992" t="s">
        <v>68</v>
      </c>
      <c r="E992" t="s">
        <v>69</v>
      </c>
      <c r="F992" t="s">
        <v>70</v>
      </c>
      <c r="G992" t="s">
        <v>71</v>
      </c>
      <c r="H992" t="s">
        <v>72</v>
      </c>
      <c r="I992" t="s">
        <v>73</v>
      </c>
      <c r="J992" t="str">
        <f>"45955"</f>
        <v>45955</v>
      </c>
      <c r="K992" t="s">
        <v>1421</v>
      </c>
      <c r="L992" t="s">
        <v>1125</v>
      </c>
      <c r="M992" t="s">
        <v>76</v>
      </c>
    </row>
    <row r="993" spans="2:13" x14ac:dyDescent="0.25">
      <c r="B993" t="s">
        <v>67</v>
      </c>
      <c r="C993" s="20">
        <v>365.04166666666669</v>
      </c>
      <c r="D993" t="s">
        <v>68</v>
      </c>
      <c r="E993" t="s">
        <v>69</v>
      </c>
      <c r="F993" t="s">
        <v>70</v>
      </c>
      <c r="G993" t="s">
        <v>71</v>
      </c>
      <c r="H993" t="s">
        <v>72</v>
      </c>
      <c r="I993" t="s">
        <v>73</v>
      </c>
      <c r="J993" t="str">
        <f>"45956"</f>
        <v>45956</v>
      </c>
      <c r="K993" t="s">
        <v>1422</v>
      </c>
      <c r="L993" t="s">
        <v>1125</v>
      </c>
      <c r="M993" t="s">
        <v>76</v>
      </c>
    </row>
    <row r="994" spans="2:13" x14ac:dyDescent="0.25">
      <c r="B994" t="s">
        <v>67</v>
      </c>
      <c r="C994" s="20">
        <v>366.25</v>
      </c>
      <c r="D994" t="s">
        <v>68</v>
      </c>
      <c r="E994" t="s">
        <v>69</v>
      </c>
      <c r="F994" t="s">
        <v>70</v>
      </c>
      <c r="G994" t="s">
        <v>71</v>
      </c>
      <c r="H994" t="s">
        <v>72</v>
      </c>
      <c r="I994" t="s">
        <v>73</v>
      </c>
      <c r="J994" t="str">
        <f>"45957"</f>
        <v>45957</v>
      </c>
      <c r="K994" t="s">
        <v>1423</v>
      </c>
      <c r="L994" t="s">
        <v>1125</v>
      </c>
      <c r="M994" t="s">
        <v>76</v>
      </c>
    </row>
    <row r="995" spans="2:13" x14ac:dyDescent="0.25">
      <c r="B995" t="s">
        <v>67</v>
      </c>
      <c r="C995" s="20">
        <v>367.45833333333331</v>
      </c>
      <c r="D995" t="s">
        <v>68</v>
      </c>
      <c r="E995" t="s">
        <v>69</v>
      </c>
      <c r="F995" t="s">
        <v>70</v>
      </c>
      <c r="G995" t="s">
        <v>71</v>
      </c>
      <c r="H995" t="s">
        <v>72</v>
      </c>
      <c r="I995" t="s">
        <v>73</v>
      </c>
      <c r="J995" t="str">
        <f>"45958"</f>
        <v>45958</v>
      </c>
      <c r="K995" t="s">
        <v>1424</v>
      </c>
      <c r="L995" t="s">
        <v>1125</v>
      </c>
      <c r="M995" t="s">
        <v>76</v>
      </c>
    </row>
    <row r="996" spans="2:13" x14ac:dyDescent="0.25">
      <c r="B996" t="s">
        <v>67</v>
      </c>
      <c r="C996" s="20">
        <v>368.66666666666669</v>
      </c>
      <c r="D996" t="s">
        <v>68</v>
      </c>
      <c r="E996" t="s">
        <v>69</v>
      </c>
      <c r="F996" t="s">
        <v>70</v>
      </c>
      <c r="G996" t="s">
        <v>71</v>
      </c>
      <c r="H996" t="s">
        <v>72</v>
      </c>
      <c r="I996" t="s">
        <v>73</v>
      </c>
      <c r="J996" t="str">
        <f>"45959"</f>
        <v>45959</v>
      </c>
      <c r="K996" t="s">
        <v>1425</v>
      </c>
      <c r="L996" t="s">
        <v>1125</v>
      </c>
      <c r="M996" t="s">
        <v>76</v>
      </c>
    </row>
    <row r="997" spans="2:13" x14ac:dyDescent="0.25">
      <c r="B997" t="s">
        <v>67</v>
      </c>
      <c r="C997" s="20">
        <v>369.875</v>
      </c>
      <c r="D997" t="s">
        <v>68</v>
      </c>
      <c r="E997" t="s">
        <v>69</v>
      </c>
      <c r="F997" t="s">
        <v>70</v>
      </c>
      <c r="G997" t="s">
        <v>71</v>
      </c>
      <c r="H997" t="s">
        <v>72</v>
      </c>
      <c r="I997" t="s">
        <v>73</v>
      </c>
      <c r="J997" t="str">
        <f>"45960"</f>
        <v>45960</v>
      </c>
      <c r="K997" t="s">
        <v>1426</v>
      </c>
      <c r="L997" t="s">
        <v>1125</v>
      </c>
      <c r="M997" t="s">
        <v>76</v>
      </c>
    </row>
    <row r="998" spans="2:13" x14ac:dyDescent="0.25">
      <c r="B998" t="s">
        <v>67</v>
      </c>
      <c r="C998" s="20">
        <v>371.08333333333331</v>
      </c>
      <c r="D998" t="s">
        <v>68</v>
      </c>
      <c r="E998" t="s">
        <v>69</v>
      </c>
      <c r="F998" t="s">
        <v>70</v>
      </c>
      <c r="G998" t="s">
        <v>71</v>
      </c>
      <c r="H998" t="s">
        <v>72</v>
      </c>
      <c r="I998" t="s">
        <v>73</v>
      </c>
      <c r="J998" t="str">
        <f>"45961"</f>
        <v>45961</v>
      </c>
      <c r="K998" t="s">
        <v>1427</v>
      </c>
      <c r="L998" t="s">
        <v>1125</v>
      </c>
      <c r="M998" t="s">
        <v>76</v>
      </c>
    </row>
    <row r="999" spans="2:13" x14ac:dyDescent="0.25">
      <c r="B999" t="s">
        <v>67</v>
      </c>
      <c r="C999" s="20">
        <v>372.29166666666669</v>
      </c>
      <c r="D999" t="s">
        <v>68</v>
      </c>
      <c r="E999" t="s">
        <v>69</v>
      </c>
      <c r="F999" t="s">
        <v>70</v>
      </c>
      <c r="G999" t="s">
        <v>71</v>
      </c>
      <c r="H999" t="s">
        <v>72</v>
      </c>
      <c r="I999" t="s">
        <v>73</v>
      </c>
      <c r="J999" t="str">
        <f>"45962"</f>
        <v>45962</v>
      </c>
      <c r="K999" t="s">
        <v>1428</v>
      </c>
      <c r="L999" t="s">
        <v>1125</v>
      </c>
      <c r="M999" t="s">
        <v>76</v>
      </c>
    </row>
    <row r="1000" spans="2:13" x14ac:dyDescent="0.25">
      <c r="B1000" t="s">
        <v>67</v>
      </c>
      <c r="C1000" s="20">
        <v>373.5</v>
      </c>
      <c r="D1000" t="s">
        <v>68</v>
      </c>
      <c r="E1000" t="s">
        <v>69</v>
      </c>
      <c r="F1000" t="s">
        <v>70</v>
      </c>
      <c r="G1000" t="s">
        <v>71</v>
      </c>
      <c r="H1000" t="s">
        <v>72</v>
      </c>
      <c r="I1000" t="s">
        <v>73</v>
      </c>
      <c r="J1000" t="str">
        <f>"45963"</f>
        <v>45963</v>
      </c>
      <c r="K1000" t="s">
        <v>1429</v>
      </c>
      <c r="L1000" t="s">
        <v>1125</v>
      </c>
      <c r="M1000" t="s">
        <v>76</v>
      </c>
    </row>
    <row r="1001" spans="2:13" x14ac:dyDescent="0.25">
      <c r="B1001" t="s">
        <v>67</v>
      </c>
      <c r="C1001" s="20">
        <v>374.70833333333331</v>
      </c>
      <c r="D1001" t="s">
        <v>68</v>
      </c>
      <c r="E1001" t="s">
        <v>69</v>
      </c>
      <c r="F1001" t="s">
        <v>70</v>
      </c>
      <c r="G1001" t="s">
        <v>71</v>
      </c>
      <c r="H1001" t="s">
        <v>72</v>
      </c>
      <c r="I1001" t="s">
        <v>73</v>
      </c>
      <c r="J1001" t="str">
        <f>"45964"</f>
        <v>45964</v>
      </c>
      <c r="K1001" t="s">
        <v>1430</v>
      </c>
      <c r="L1001" t="s">
        <v>1125</v>
      </c>
      <c r="M1001" t="s">
        <v>76</v>
      </c>
    </row>
    <row r="1002" spans="2:13" x14ac:dyDescent="0.25">
      <c r="B1002" t="s">
        <v>67</v>
      </c>
      <c r="C1002" s="20">
        <v>375.91666666666669</v>
      </c>
      <c r="D1002" t="s">
        <v>68</v>
      </c>
      <c r="E1002" t="s">
        <v>69</v>
      </c>
      <c r="F1002" t="s">
        <v>70</v>
      </c>
      <c r="G1002" t="s">
        <v>71</v>
      </c>
      <c r="H1002" t="s">
        <v>72</v>
      </c>
      <c r="I1002" t="s">
        <v>73</v>
      </c>
      <c r="J1002" t="str">
        <f>"45965"</f>
        <v>45965</v>
      </c>
      <c r="K1002" t="s">
        <v>1431</v>
      </c>
      <c r="L1002" t="s">
        <v>1125</v>
      </c>
      <c r="M1002" t="s">
        <v>76</v>
      </c>
    </row>
    <row r="1003" spans="2:13" x14ac:dyDescent="0.25">
      <c r="B1003" t="s">
        <v>67</v>
      </c>
      <c r="C1003" s="20">
        <v>377.125</v>
      </c>
      <c r="D1003" t="s">
        <v>68</v>
      </c>
      <c r="E1003" t="s">
        <v>69</v>
      </c>
      <c r="F1003" t="s">
        <v>70</v>
      </c>
      <c r="G1003" t="s">
        <v>71</v>
      </c>
      <c r="H1003" t="s">
        <v>72</v>
      </c>
      <c r="I1003" t="s">
        <v>73</v>
      </c>
      <c r="J1003" t="str">
        <f>"45966"</f>
        <v>45966</v>
      </c>
      <c r="K1003" t="s">
        <v>1432</v>
      </c>
      <c r="L1003" t="s">
        <v>1125</v>
      </c>
      <c r="M1003" t="s">
        <v>76</v>
      </c>
    </row>
    <row r="1004" spans="2:13" x14ac:dyDescent="0.25">
      <c r="B1004" t="s">
        <v>67</v>
      </c>
      <c r="C1004" s="20">
        <v>378.33333333333331</v>
      </c>
      <c r="D1004" t="s">
        <v>68</v>
      </c>
      <c r="E1004" t="s">
        <v>69</v>
      </c>
      <c r="F1004" t="s">
        <v>70</v>
      </c>
      <c r="G1004" t="s">
        <v>71</v>
      </c>
      <c r="H1004" t="s">
        <v>72</v>
      </c>
      <c r="I1004" t="s">
        <v>73</v>
      </c>
      <c r="J1004" t="str">
        <f>"45967"</f>
        <v>45967</v>
      </c>
      <c r="K1004" t="s">
        <v>1433</v>
      </c>
      <c r="L1004" t="s">
        <v>1125</v>
      </c>
      <c r="M1004" t="s">
        <v>76</v>
      </c>
    </row>
    <row r="1005" spans="2:13" x14ac:dyDescent="0.25">
      <c r="B1005" t="s">
        <v>67</v>
      </c>
      <c r="C1005" s="20">
        <v>379.54166666666669</v>
      </c>
      <c r="D1005" t="s">
        <v>68</v>
      </c>
      <c r="E1005" t="s">
        <v>69</v>
      </c>
      <c r="F1005" t="s">
        <v>70</v>
      </c>
      <c r="G1005" t="s">
        <v>71</v>
      </c>
      <c r="H1005" t="s">
        <v>72</v>
      </c>
      <c r="I1005" t="s">
        <v>73</v>
      </c>
      <c r="J1005" t="str">
        <f>"45968"</f>
        <v>45968</v>
      </c>
      <c r="K1005" t="s">
        <v>1434</v>
      </c>
      <c r="L1005" t="s">
        <v>1125</v>
      </c>
      <c r="M1005" t="s">
        <v>76</v>
      </c>
    </row>
    <row r="1006" spans="2:13" x14ac:dyDescent="0.25">
      <c r="B1006" t="s">
        <v>67</v>
      </c>
      <c r="C1006" s="20">
        <v>380.75</v>
      </c>
      <c r="D1006" t="s">
        <v>68</v>
      </c>
      <c r="E1006" t="s">
        <v>69</v>
      </c>
      <c r="F1006" t="s">
        <v>70</v>
      </c>
      <c r="G1006" t="s">
        <v>71</v>
      </c>
      <c r="H1006" t="s">
        <v>72</v>
      </c>
      <c r="I1006" t="s">
        <v>73</v>
      </c>
      <c r="J1006" t="str">
        <f>"45969"</f>
        <v>45969</v>
      </c>
      <c r="K1006" t="s">
        <v>1435</v>
      </c>
      <c r="L1006" t="s">
        <v>1125</v>
      </c>
      <c r="M1006" t="s">
        <v>76</v>
      </c>
    </row>
    <row r="1007" spans="2:13" x14ac:dyDescent="0.25">
      <c r="B1007" t="s">
        <v>67</v>
      </c>
      <c r="C1007" s="20">
        <v>381.95833333333331</v>
      </c>
      <c r="D1007" t="s">
        <v>68</v>
      </c>
      <c r="E1007" t="s">
        <v>69</v>
      </c>
      <c r="F1007" t="s">
        <v>70</v>
      </c>
      <c r="G1007" t="s">
        <v>71</v>
      </c>
      <c r="H1007" t="s">
        <v>72</v>
      </c>
      <c r="I1007" t="s">
        <v>73</v>
      </c>
      <c r="J1007" t="str">
        <f>"45970"</f>
        <v>45970</v>
      </c>
      <c r="K1007" t="s">
        <v>1436</v>
      </c>
      <c r="L1007" t="s">
        <v>1125</v>
      </c>
      <c r="M1007" t="s">
        <v>76</v>
      </c>
    </row>
    <row r="1008" spans="2:13" x14ac:dyDescent="0.25">
      <c r="B1008" t="s">
        <v>67</v>
      </c>
      <c r="C1008" s="20">
        <v>383.16666666666669</v>
      </c>
      <c r="D1008" t="s">
        <v>68</v>
      </c>
      <c r="E1008" t="s">
        <v>69</v>
      </c>
      <c r="F1008" t="s">
        <v>70</v>
      </c>
      <c r="G1008" t="s">
        <v>71</v>
      </c>
      <c r="H1008" t="s">
        <v>72</v>
      </c>
      <c r="I1008" t="s">
        <v>73</v>
      </c>
      <c r="J1008" t="str">
        <f>"45971"</f>
        <v>45971</v>
      </c>
      <c r="K1008" t="s">
        <v>1437</v>
      </c>
      <c r="L1008" t="s">
        <v>1125</v>
      </c>
      <c r="M1008" t="s">
        <v>76</v>
      </c>
    </row>
    <row r="1009" spans="2:13" x14ac:dyDescent="0.25">
      <c r="B1009" t="s">
        <v>67</v>
      </c>
      <c r="C1009" s="20">
        <v>384.375</v>
      </c>
      <c r="D1009" t="s">
        <v>68</v>
      </c>
      <c r="E1009" t="s">
        <v>69</v>
      </c>
      <c r="F1009" t="s">
        <v>70</v>
      </c>
      <c r="G1009" t="s">
        <v>71</v>
      </c>
      <c r="H1009" t="s">
        <v>72</v>
      </c>
      <c r="I1009" t="s">
        <v>73</v>
      </c>
      <c r="J1009" t="str">
        <f>"45972"</f>
        <v>45972</v>
      </c>
      <c r="K1009" t="s">
        <v>1438</v>
      </c>
      <c r="L1009" t="s">
        <v>1125</v>
      </c>
      <c r="M1009" t="s">
        <v>76</v>
      </c>
    </row>
    <row r="1010" spans="2:13" x14ac:dyDescent="0.25">
      <c r="B1010" t="s">
        <v>67</v>
      </c>
      <c r="C1010" s="20">
        <v>385.58333333333331</v>
      </c>
      <c r="D1010" t="s">
        <v>68</v>
      </c>
      <c r="E1010" t="s">
        <v>69</v>
      </c>
      <c r="F1010" t="s">
        <v>70</v>
      </c>
      <c r="G1010" t="s">
        <v>71</v>
      </c>
      <c r="H1010" t="s">
        <v>72</v>
      </c>
      <c r="I1010" t="s">
        <v>73</v>
      </c>
      <c r="J1010" t="str">
        <f>"45973"</f>
        <v>45973</v>
      </c>
      <c r="K1010" t="s">
        <v>1439</v>
      </c>
      <c r="L1010" t="s">
        <v>1125</v>
      </c>
      <c r="M1010" t="s">
        <v>76</v>
      </c>
    </row>
    <row r="1011" spans="2:13" x14ac:dyDescent="0.25">
      <c r="B1011" t="s">
        <v>67</v>
      </c>
      <c r="C1011" s="20">
        <v>386.79166666666669</v>
      </c>
      <c r="D1011" t="s">
        <v>68</v>
      </c>
      <c r="E1011" t="s">
        <v>69</v>
      </c>
      <c r="F1011" t="s">
        <v>70</v>
      </c>
      <c r="G1011" t="s">
        <v>71</v>
      </c>
      <c r="H1011" t="s">
        <v>72</v>
      </c>
      <c r="I1011" t="s">
        <v>73</v>
      </c>
      <c r="J1011" t="str">
        <f>"45974"</f>
        <v>45974</v>
      </c>
      <c r="K1011" t="s">
        <v>1440</v>
      </c>
      <c r="L1011" t="s">
        <v>1125</v>
      </c>
      <c r="M1011" t="s">
        <v>76</v>
      </c>
    </row>
    <row r="1012" spans="2:13" x14ac:dyDescent="0.25">
      <c r="B1012" t="s">
        <v>67</v>
      </c>
      <c r="C1012" s="20">
        <v>388</v>
      </c>
      <c r="D1012" t="s">
        <v>68</v>
      </c>
      <c r="E1012" t="s">
        <v>69</v>
      </c>
      <c r="F1012" t="s">
        <v>70</v>
      </c>
      <c r="G1012" t="s">
        <v>71</v>
      </c>
      <c r="H1012" t="s">
        <v>72</v>
      </c>
      <c r="I1012" t="s">
        <v>73</v>
      </c>
      <c r="J1012" t="str">
        <f>"45975"</f>
        <v>45975</v>
      </c>
      <c r="K1012" t="s">
        <v>1441</v>
      </c>
      <c r="L1012" t="s">
        <v>1125</v>
      </c>
      <c r="M1012" t="s">
        <v>76</v>
      </c>
    </row>
    <row r="1013" spans="2:13" x14ac:dyDescent="0.25">
      <c r="B1013" t="s">
        <v>67</v>
      </c>
      <c r="C1013" s="20">
        <v>389.20833333333331</v>
      </c>
      <c r="D1013" t="s">
        <v>68</v>
      </c>
      <c r="E1013" t="s">
        <v>69</v>
      </c>
      <c r="F1013" t="s">
        <v>70</v>
      </c>
      <c r="G1013" t="s">
        <v>71</v>
      </c>
      <c r="H1013" t="s">
        <v>72</v>
      </c>
      <c r="I1013" t="s">
        <v>73</v>
      </c>
      <c r="J1013" t="str">
        <f>"45976"</f>
        <v>45976</v>
      </c>
      <c r="K1013" t="s">
        <v>1442</v>
      </c>
      <c r="L1013" t="s">
        <v>1125</v>
      </c>
      <c r="M1013" t="s">
        <v>76</v>
      </c>
    </row>
    <row r="1014" spans="2:13" x14ac:dyDescent="0.25">
      <c r="B1014" t="s">
        <v>67</v>
      </c>
      <c r="C1014" s="20">
        <v>390.41666666666669</v>
      </c>
      <c r="D1014" t="s">
        <v>68</v>
      </c>
      <c r="E1014" t="s">
        <v>69</v>
      </c>
      <c r="F1014" t="s">
        <v>70</v>
      </c>
      <c r="G1014" t="s">
        <v>71</v>
      </c>
      <c r="H1014" t="s">
        <v>72</v>
      </c>
      <c r="I1014" t="s">
        <v>73</v>
      </c>
      <c r="J1014" t="str">
        <f>"45977"</f>
        <v>45977</v>
      </c>
      <c r="K1014" t="s">
        <v>1443</v>
      </c>
      <c r="L1014" t="s">
        <v>1125</v>
      </c>
      <c r="M1014" t="s">
        <v>76</v>
      </c>
    </row>
    <row r="1015" spans="2:13" x14ac:dyDescent="0.25">
      <c r="B1015" t="s">
        <v>67</v>
      </c>
      <c r="C1015" s="20">
        <v>391.625</v>
      </c>
      <c r="D1015" t="s">
        <v>68</v>
      </c>
      <c r="E1015" t="s">
        <v>69</v>
      </c>
      <c r="F1015" t="s">
        <v>70</v>
      </c>
      <c r="G1015" t="s">
        <v>71</v>
      </c>
      <c r="H1015" t="s">
        <v>72</v>
      </c>
      <c r="I1015" t="s">
        <v>73</v>
      </c>
      <c r="J1015" t="str">
        <f>"45978"</f>
        <v>45978</v>
      </c>
      <c r="K1015" t="s">
        <v>1444</v>
      </c>
      <c r="L1015" t="s">
        <v>1125</v>
      </c>
      <c r="M1015" t="s">
        <v>76</v>
      </c>
    </row>
    <row r="1016" spans="2:13" x14ac:dyDescent="0.25">
      <c r="B1016" t="s">
        <v>67</v>
      </c>
      <c r="C1016" s="20">
        <v>392.83333333333331</v>
      </c>
      <c r="D1016" t="s">
        <v>68</v>
      </c>
      <c r="E1016" t="s">
        <v>69</v>
      </c>
      <c r="F1016" t="s">
        <v>70</v>
      </c>
      <c r="G1016" t="s">
        <v>71</v>
      </c>
      <c r="H1016" t="s">
        <v>72</v>
      </c>
      <c r="I1016" t="s">
        <v>73</v>
      </c>
      <c r="J1016" t="str">
        <f>"45979"</f>
        <v>45979</v>
      </c>
      <c r="K1016" t="s">
        <v>1445</v>
      </c>
      <c r="L1016" t="s">
        <v>1125</v>
      </c>
      <c r="M1016" t="s">
        <v>76</v>
      </c>
    </row>
    <row r="1017" spans="2:13" x14ac:dyDescent="0.25">
      <c r="B1017" t="s">
        <v>67</v>
      </c>
      <c r="C1017" s="20">
        <v>394.04166666666669</v>
      </c>
      <c r="D1017" t="s">
        <v>68</v>
      </c>
      <c r="E1017" t="s">
        <v>69</v>
      </c>
      <c r="F1017" t="s">
        <v>70</v>
      </c>
      <c r="G1017" t="s">
        <v>71</v>
      </c>
      <c r="H1017" t="s">
        <v>72</v>
      </c>
      <c r="I1017" t="s">
        <v>73</v>
      </c>
      <c r="J1017" t="str">
        <f>"45980"</f>
        <v>45980</v>
      </c>
      <c r="K1017" t="s">
        <v>1446</v>
      </c>
      <c r="L1017" t="s">
        <v>1125</v>
      </c>
      <c r="M1017" t="s">
        <v>76</v>
      </c>
    </row>
    <row r="1018" spans="2:13" x14ac:dyDescent="0.25">
      <c r="B1018" t="s">
        <v>67</v>
      </c>
      <c r="C1018" s="20">
        <v>395.25</v>
      </c>
      <c r="D1018" t="s">
        <v>68</v>
      </c>
      <c r="E1018" t="s">
        <v>69</v>
      </c>
      <c r="F1018" t="s">
        <v>70</v>
      </c>
      <c r="G1018" t="s">
        <v>71</v>
      </c>
      <c r="H1018" t="s">
        <v>72</v>
      </c>
      <c r="I1018" t="s">
        <v>73</v>
      </c>
      <c r="J1018" t="str">
        <f>"45981"</f>
        <v>45981</v>
      </c>
      <c r="K1018" t="s">
        <v>1447</v>
      </c>
      <c r="L1018" t="s">
        <v>1125</v>
      </c>
      <c r="M1018" t="s">
        <v>76</v>
      </c>
    </row>
    <row r="1019" spans="2:13" x14ac:dyDescent="0.25">
      <c r="B1019" t="s">
        <v>67</v>
      </c>
      <c r="C1019" s="20">
        <v>396.45833333333331</v>
      </c>
      <c r="D1019" t="s">
        <v>68</v>
      </c>
      <c r="E1019" t="s">
        <v>69</v>
      </c>
      <c r="F1019" t="s">
        <v>70</v>
      </c>
      <c r="G1019" t="s">
        <v>71</v>
      </c>
      <c r="H1019" t="s">
        <v>72</v>
      </c>
      <c r="I1019" t="s">
        <v>73</v>
      </c>
      <c r="J1019" t="str">
        <f>"45982"</f>
        <v>45982</v>
      </c>
      <c r="K1019" t="s">
        <v>1448</v>
      </c>
      <c r="L1019" t="s">
        <v>1125</v>
      </c>
      <c r="M1019" t="s">
        <v>76</v>
      </c>
    </row>
    <row r="1020" spans="2:13" x14ac:dyDescent="0.25">
      <c r="B1020" t="s">
        <v>67</v>
      </c>
      <c r="C1020" s="20">
        <v>397.66666666666669</v>
      </c>
      <c r="D1020" t="s">
        <v>68</v>
      </c>
      <c r="E1020" t="s">
        <v>69</v>
      </c>
      <c r="F1020" t="s">
        <v>70</v>
      </c>
      <c r="G1020" t="s">
        <v>71</v>
      </c>
      <c r="H1020" t="s">
        <v>72</v>
      </c>
      <c r="I1020" t="s">
        <v>73</v>
      </c>
      <c r="J1020" t="str">
        <f>"45983"</f>
        <v>45983</v>
      </c>
      <c r="K1020" t="s">
        <v>1449</v>
      </c>
      <c r="L1020" t="s">
        <v>1125</v>
      </c>
      <c r="M1020" t="s">
        <v>76</v>
      </c>
    </row>
    <row r="1021" spans="2:13" x14ac:dyDescent="0.25">
      <c r="B1021" t="s">
        <v>67</v>
      </c>
      <c r="C1021" s="20">
        <v>398.875</v>
      </c>
      <c r="D1021" t="s">
        <v>68</v>
      </c>
      <c r="E1021" t="s">
        <v>69</v>
      </c>
      <c r="F1021" t="s">
        <v>70</v>
      </c>
      <c r="G1021" t="s">
        <v>71</v>
      </c>
      <c r="H1021" t="s">
        <v>72</v>
      </c>
      <c r="I1021" t="s">
        <v>73</v>
      </c>
      <c r="J1021" t="str">
        <f>"45984"</f>
        <v>45984</v>
      </c>
      <c r="K1021" t="s">
        <v>1450</v>
      </c>
      <c r="L1021" t="s">
        <v>1125</v>
      </c>
      <c r="M1021" t="s">
        <v>76</v>
      </c>
    </row>
    <row r="1022" spans="2:13" x14ac:dyDescent="0.25">
      <c r="B1022" t="s">
        <v>67</v>
      </c>
      <c r="C1022" s="20">
        <v>400.08333333333331</v>
      </c>
      <c r="D1022" t="s">
        <v>68</v>
      </c>
      <c r="E1022" t="s">
        <v>69</v>
      </c>
      <c r="F1022" t="s">
        <v>70</v>
      </c>
      <c r="G1022" t="s">
        <v>71</v>
      </c>
      <c r="H1022" t="s">
        <v>72</v>
      </c>
      <c r="I1022" t="s">
        <v>73</v>
      </c>
      <c r="J1022" t="str">
        <f>"45985"</f>
        <v>45985</v>
      </c>
      <c r="K1022" t="s">
        <v>1451</v>
      </c>
      <c r="L1022" t="s">
        <v>1125</v>
      </c>
      <c r="M1022" t="s">
        <v>76</v>
      </c>
    </row>
    <row r="1023" spans="2:13" x14ac:dyDescent="0.25">
      <c r="B1023" t="s">
        <v>67</v>
      </c>
      <c r="C1023" s="20">
        <v>401.29166666666669</v>
      </c>
      <c r="D1023" t="s">
        <v>68</v>
      </c>
      <c r="E1023" t="s">
        <v>69</v>
      </c>
      <c r="F1023" t="s">
        <v>70</v>
      </c>
      <c r="G1023" t="s">
        <v>71</v>
      </c>
      <c r="H1023" t="s">
        <v>72</v>
      </c>
      <c r="I1023" t="s">
        <v>73</v>
      </c>
      <c r="J1023" t="str">
        <f>"45986"</f>
        <v>45986</v>
      </c>
      <c r="K1023" t="s">
        <v>1452</v>
      </c>
      <c r="L1023" t="s">
        <v>1125</v>
      </c>
      <c r="M1023" t="s">
        <v>76</v>
      </c>
    </row>
    <row r="1024" spans="2:13" x14ac:dyDescent="0.25">
      <c r="B1024" t="s">
        <v>67</v>
      </c>
      <c r="C1024" s="20">
        <v>402.5</v>
      </c>
      <c r="D1024" t="s">
        <v>68</v>
      </c>
      <c r="E1024" t="s">
        <v>69</v>
      </c>
      <c r="F1024" t="s">
        <v>70</v>
      </c>
      <c r="G1024" t="s">
        <v>71</v>
      </c>
      <c r="H1024" t="s">
        <v>72</v>
      </c>
      <c r="I1024" t="s">
        <v>73</v>
      </c>
      <c r="J1024" t="str">
        <f>"45987"</f>
        <v>45987</v>
      </c>
      <c r="K1024" t="s">
        <v>1453</v>
      </c>
      <c r="L1024" t="s">
        <v>1125</v>
      </c>
      <c r="M1024" t="s">
        <v>76</v>
      </c>
    </row>
    <row r="1025" spans="2:13" x14ac:dyDescent="0.25">
      <c r="B1025" t="s">
        <v>67</v>
      </c>
      <c r="C1025" s="20">
        <v>403.70833333333331</v>
      </c>
      <c r="D1025" t="s">
        <v>68</v>
      </c>
      <c r="E1025" t="s">
        <v>69</v>
      </c>
      <c r="F1025" t="s">
        <v>70</v>
      </c>
      <c r="G1025" t="s">
        <v>71</v>
      </c>
      <c r="H1025" t="s">
        <v>72</v>
      </c>
      <c r="I1025" t="s">
        <v>73</v>
      </c>
      <c r="J1025" t="str">
        <f>"45988"</f>
        <v>45988</v>
      </c>
      <c r="K1025" t="s">
        <v>1454</v>
      </c>
      <c r="L1025" t="s">
        <v>1125</v>
      </c>
      <c r="M1025" t="s">
        <v>76</v>
      </c>
    </row>
    <row r="1026" spans="2:13" x14ac:dyDescent="0.25">
      <c r="B1026" t="s">
        <v>67</v>
      </c>
      <c r="C1026" s="20">
        <v>404.91666666666669</v>
      </c>
      <c r="D1026" t="s">
        <v>68</v>
      </c>
      <c r="E1026" t="s">
        <v>69</v>
      </c>
      <c r="F1026" t="s">
        <v>70</v>
      </c>
      <c r="G1026" t="s">
        <v>71</v>
      </c>
      <c r="H1026" t="s">
        <v>72</v>
      </c>
      <c r="I1026" t="s">
        <v>73</v>
      </c>
      <c r="J1026" t="str">
        <f>"45989"</f>
        <v>45989</v>
      </c>
      <c r="K1026" t="s">
        <v>1455</v>
      </c>
      <c r="L1026" t="s">
        <v>75</v>
      </c>
      <c r="M1026" t="s">
        <v>76</v>
      </c>
    </row>
    <row r="1027" spans="2:13" x14ac:dyDescent="0.25">
      <c r="B1027" t="s">
        <v>67</v>
      </c>
      <c r="C1027" s="20">
        <v>406.125</v>
      </c>
      <c r="D1027" t="s">
        <v>68</v>
      </c>
      <c r="E1027" t="s">
        <v>69</v>
      </c>
      <c r="F1027" t="s">
        <v>70</v>
      </c>
      <c r="G1027" t="s">
        <v>71</v>
      </c>
      <c r="H1027" t="s">
        <v>72</v>
      </c>
      <c r="I1027" t="s">
        <v>73</v>
      </c>
      <c r="J1027" t="str">
        <f>"45990"</f>
        <v>45990</v>
      </c>
      <c r="K1027" t="s">
        <v>1456</v>
      </c>
      <c r="L1027" t="s">
        <v>1125</v>
      </c>
      <c r="M1027" t="s">
        <v>76</v>
      </c>
    </row>
    <row r="1028" spans="2:13" x14ac:dyDescent="0.25">
      <c r="B1028" t="s">
        <v>67</v>
      </c>
      <c r="C1028" s="20">
        <v>407.33333333333331</v>
      </c>
      <c r="D1028" t="s">
        <v>68</v>
      </c>
      <c r="E1028" t="s">
        <v>69</v>
      </c>
      <c r="F1028" t="s">
        <v>70</v>
      </c>
      <c r="G1028" t="s">
        <v>71</v>
      </c>
      <c r="H1028" t="s">
        <v>72</v>
      </c>
      <c r="I1028" t="s">
        <v>73</v>
      </c>
      <c r="J1028" t="str">
        <f>"45991"</f>
        <v>45991</v>
      </c>
      <c r="K1028" t="s">
        <v>1457</v>
      </c>
      <c r="L1028" t="s">
        <v>75</v>
      </c>
      <c r="M1028" t="s">
        <v>76</v>
      </c>
    </row>
    <row r="1029" spans="2:13" x14ac:dyDescent="0.25">
      <c r="B1029" t="s">
        <v>67</v>
      </c>
      <c r="C1029" s="20">
        <v>408.54166666666669</v>
      </c>
      <c r="D1029" t="s">
        <v>68</v>
      </c>
      <c r="E1029" t="s">
        <v>69</v>
      </c>
      <c r="F1029" t="s">
        <v>70</v>
      </c>
      <c r="G1029" t="s">
        <v>71</v>
      </c>
      <c r="H1029" t="s">
        <v>72</v>
      </c>
      <c r="I1029" t="s">
        <v>73</v>
      </c>
      <c r="J1029" t="str">
        <f>"45992"</f>
        <v>45992</v>
      </c>
      <c r="K1029" t="s">
        <v>1458</v>
      </c>
      <c r="L1029" t="s">
        <v>75</v>
      </c>
      <c r="M1029" t="s">
        <v>76</v>
      </c>
    </row>
    <row r="1030" spans="2:13" x14ac:dyDescent="0.25">
      <c r="B1030" t="s">
        <v>67</v>
      </c>
      <c r="C1030" s="20">
        <v>409.75</v>
      </c>
      <c r="D1030" t="s">
        <v>68</v>
      </c>
      <c r="E1030" t="s">
        <v>69</v>
      </c>
      <c r="F1030" t="s">
        <v>70</v>
      </c>
      <c r="G1030" t="s">
        <v>71</v>
      </c>
      <c r="H1030" t="s">
        <v>72</v>
      </c>
      <c r="I1030" t="s">
        <v>73</v>
      </c>
      <c r="J1030" t="str">
        <f>"45993"</f>
        <v>45993</v>
      </c>
      <c r="K1030" t="s">
        <v>1459</v>
      </c>
      <c r="L1030" t="s">
        <v>75</v>
      </c>
      <c r="M1030" t="s">
        <v>76</v>
      </c>
    </row>
    <row r="1031" spans="2:13" x14ac:dyDescent="0.25">
      <c r="B1031" t="s">
        <v>67</v>
      </c>
      <c r="C1031" s="20">
        <v>410.95833333333331</v>
      </c>
      <c r="D1031" t="s">
        <v>68</v>
      </c>
      <c r="E1031" t="s">
        <v>69</v>
      </c>
      <c r="F1031" t="s">
        <v>70</v>
      </c>
      <c r="G1031" t="s">
        <v>71</v>
      </c>
      <c r="H1031" t="s">
        <v>72</v>
      </c>
      <c r="I1031" t="s">
        <v>73</v>
      </c>
      <c r="J1031" t="str">
        <f>"45994"</f>
        <v>45994</v>
      </c>
      <c r="K1031" t="s">
        <v>1460</v>
      </c>
      <c r="L1031" t="s">
        <v>75</v>
      </c>
      <c r="M1031" t="s">
        <v>76</v>
      </c>
    </row>
    <row r="1032" spans="2:13" x14ac:dyDescent="0.25">
      <c r="B1032" t="s">
        <v>67</v>
      </c>
      <c r="C1032" s="20">
        <v>412.16666666666669</v>
      </c>
      <c r="D1032" t="s">
        <v>68</v>
      </c>
      <c r="E1032" t="s">
        <v>69</v>
      </c>
      <c r="F1032" t="s">
        <v>70</v>
      </c>
      <c r="G1032" t="s">
        <v>71</v>
      </c>
      <c r="H1032" t="s">
        <v>72</v>
      </c>
      <c r="I1032" t="s">
        <v>73</v>
      </c>
      <c r="J1032" t="str">
        <f>"45995"</f>
        <v>45995</v>
      </c>
      <c r="K1032" t="s">
        <v>1461</v>
      </c>
      <c r="L1032" t="s">
        <v>75</v>
      </c>
      <c r="M1032" t="s">
        <v>76</v>
      </c>
    </row>
    <row r="1033" spans="2:13" x14ac:dyDescent="0.25">
      <c r="B1033" t="s">
        <v>67</v>
      </c>
      <c r="C1033" s="20">
        <v>413.375</v>
      </c>
      <c r="D1033" t="s">
        <v>68</v>
      </c>
      <c r="E1033" t="s">
        <v>69</v>
      </c>
      <c r="F1033" t="s">
        <v>70</v>
      </c>
      <c r="G1033" t="s">
        <v>71</v>
      </c>
      <c r="H1033" t="s">
        <v>72</v>
      </c>
      <c r="I1033" t="s">
        <v>73</v>
      </c>
      <c r="J1033" t="str">
        <f>"45996"</f>
        <v>45996</v>
      </c>
      <c r="K1033" t="s">
        <v>1462</v>
      </c>
      <c r="L1033" t="s">
        <v>75</v>
      </c>
      <c r="M1033" t="s">
        <v>76</v>
      </c>
    </row>
    <row r="1034" spans="2:13" x14ac:dyDescent="0.25">
      <c r="B1034" t="s">
        <v>67</v>
      </c>
      <c r="C1034" s="20">
        <v>414.58333333333331</v>
      </c>
      <c r="D1034" t="s">
        <v>68</v>
      </c>
      <c r="E1034" t="s">
        <v>69</v>
      </c>
      <c r="F1034" t="s">
        <v>70</v>
      </c>
      <c r="G1034" t="s">
        <v>71</v>
      </c>
      <c r="H1034" t="s">
        <v>72</v>
      </c>
      <c r="I1034" t="s">
        <v>73</v>
      </c>
      <c r="J1034" t="str">
        <f>"45997"</f>
        <v>45997</v>
      </c>
      <c r="K1034" t="s">
        <v>1463</v>
      </c>
      <c r="L1034" t="s">
        <v>75</v>
      </c>
      <c r="M1034" t="s">
        <v>76</v>
      </c>
    </row>
    <row r="1035" spans="2:13" x14ac:dyDescent="0.25">
      <c r="B1035" t="s">
        <v>67</v>
      </c>
      <c r="C1035" s="20">
        <v>415.79166666666669</v>
      </c>
      <c r="D1035" t="s">
        <v>68</v>
      </c>
      <c r="E1035" t="s">
        <v>69</v>
      </c>
      <c r="F1035" t="s">
        <v>70</v>
      </c>
      <c r="G1035" t="s">
        <v>71</v>
      </c>
      <c r="H1035" t="s">
        <v>72</v>
      </c>
      <c r="I1035" t="s">
        <v>73</v>
      </c>
      <c r="J1035" t="str">
        <f>"45998"</f>
        <v>45998</v>
      </c>
      <c r="K1035" t="s">
        <v>1464</v>
      </c>
      <c r="L1035" t="s">
        <v>75</v>
      </c>
      <c r="M1035" t="s">
        <v>76</v>
      </c>
    </row>
    <row r="1036" spans="2:13" x14ac:dyDescent="0.25">
      <c r="B1036" t="s">
        <v>67</v>
      </c>
      <c r="C1036" t="s">
        <v>423</v>
      </c>
      <c r="D1036" t="s">
        <v>68</v>
      </c>
      <c r="E1036" t="s">
        <v>69</v>
      </c>
      <c r="F1036" t="s">
        <v>70</v>
      </c>
      <c r="G1036" t="s">
        <v>71</v>
      </c>
      <c r="H1036" t="s">
        <v>72</v>
      </c>
      <c r="I1036" t="s">
        <v>73</v>
      </c>
      <c r="J1036" t="str">
        <f>"45999"</f>
        <v>45999</v>
      </c>
      <c r="K1036" t="s">
        <v>1465</v>
      </c>
      <c r="L1036" t="s">
        <v>75</v>
      </c>
      <c r="M1036" t="s">
        <v>76</v>
      </c>
    </row>
    <row r="1037" spans="2:13" x14ac:dyDescent="0.25">
      <c r="B1037" t="s">
        <v>67</v>
      </c>
      <c r="C1037" t="s">
        <v>425</v>
      </c>
      <c r="D1037" t="s">
        <v>68</v>
      </c>
      <c r="E1037" t="s">
        <v>69</v>
      </c>
      <c r="F1037" t="s">
        <v>70</v>
      </c>
      <c r="G1037" t="s">
        <v>71</v>
      </c>
      <c r="H1037" t="s">
        <v>72</v>
      </c>
      <c r="I1037" t="s">
        <v>73</v>
      </c>
      <c r="J1037" t="str">
        <f>"46000"</f>
        <v>46000</v>
      </c>
      <c r="K1037" t="s">
        <v>1466</v>
      </c>
      <c r="L1037" t="s">
        <v>75</v>
      </c>
      <c r="M1037" t="s">
        <v>76</v>
      </c>
    </row>
    <row r="1038" spans="2:13" x14ac:dyDescent="0.25">
      <c r="B1038" t="s">
        <v>67</v>
      </c>
      <c r="C1038" t="s">
        <v>427</v>
      </c>
      <c r="D1038" t="s">
        <v>68</v>
      </c>
      <c r="E1038" t="s">
        <v>69</v>
      </c>
      <c r="F1038" t="s">
        <v>70</v>
      </c>
      <c r="G1038" t="s">
        <v>71</v>
      </c>
      <c r="H1038" t="s">
        <v>72</v>
      </c>
      <c r="I1038" t="s">
        <v>73</v>
      </c>
      <c r="J1038" t="str">
        <f>"46001"</f>
        <v>46001</v>
      </c>
      <c r="K1038" t="s">
        <v>1467</v>
      </c>
      <c r="L1038" t="s">
        <v>75</v>
      </c>
      <c r="M1038" t="s">
        <v>76</v>
      </c>
    </row>
    <row r="1039" spans="2:13" x14ac:dyDescent="0.25">
      <c r="B1039" t="s">
        <v>67</v>
      </c>
      <c r="C1039" t="s">
        <v>429</v>
      </c>
      <c r="D1039" t="s">
        <v>68</v>
      </c>
      <c r="E1039" t="s">
        <v>69</v>
      </c>
      <c r="F1039" t="s">
        <v>70</v>
      </c>
      <c r="G1039" t="s">
        <v>71</v>
      </c>
      <c r="H1039" t="s">
        <v>72</v>
      </c>
      <c r="I1039" t="s">
        <v>73</v>
      </c>
      <c r="J1039" t="str">
        <f>"46002"</f>
        <v>46002</v>
      </c>
      <c r="K1039" t="s">
        <v>1468</v>
      </c>
      <c r="L1039" t="s">
        <v>75</v>
      </c>
      <c r="M1039" t="s">
        <v>76</v>
      </c>
    </row>
    <row r="1040" spans="2:13" x14ac:dyDescent="0.25">
      <c r="B1040" t="s">
        <v>67</v>
      </c>
      <c r="C1040" t="s">
        <v>431</v>
      </c>
      <c r="D1040" t="s">
        <v>68</v>
      </c>
      <c r="E1040" t="s">
        <v>69</v>
      </c>
      <c r="F1040" t="s">
        <v>70</v>
      </c>
      <c r="G1040" t="s">
        <v>71</v>
      </c>
      <c r="H1040" t="s">
        <v>72</v>
      </c>
      <c r="I1040" t="s">
        <v>73</v>
      </c>
      <c r="J1040" t="str">
        <f>"46003"</f>
        <v>46003</v>
      </c>
      <c r="K1040" t="s">
        <v>1469</v>
      </c>
      <c r="L1040" t="s">
        <v>75</v>
      </c>
      <c r="M1040" t="s">
        <v>76</v>
      </c>
    </row>
    <row r="1041" spans="2:13" x14ac:dyDescent="0.25">
      <c r="B1041" t="s">
        <v>67</v>
      </c>
      <c r="C1041" t="s">
        <v>433</v>
      </c>
      <c r="D1041" t="s">
        <v>68</v>
      </c>
      <c r="E1041" t="s">
        <v>69</v>
      </c>
      <c r="F1041" t="s">
        <v>70</v>
      </c>
      <c r="G1041" t="s">
        <v>71</v>
      </c>
      <c r="H1041" t="s">
        <v>72</v>
      </c>
      <c r="I1041" t="s">
        <v>73</v>
      </c>
      <c r="J1041" t="str">
        <f>"46004"</f>
        <v>46004</v>
      </c>
      <c r="K1041" t="s">
        <v>1470</v>
      </c>
      <c r="L1041" t="s">
        <v>75</v>
      </c>
      <c r="M1041" t="s">
        <v>76</v>
      </c>
    </row>
    <row r="1042" spans="2:13" x14ac:dyDescent="0.25">
      <c r="B1042" t="s">
        <v>67</v>
      </c>
      <c r="C1042" t="s">
        <v>435</v>
      </c>
      <c r="D1042" t="s">
        <v>68</v>
      </c>
      <c r="E1042" t="s">
        <v>69</v>
      </c>
      <c r="F1042" t="s">
        <v>70</v>
      </c>
      <c r="G1042" t="s">
        <v>71</v>
      </c>
      <c r="H1042" t="s">
        <v>72</v>
      </c>
      <c r="I1042" t="s">
        <v>73</v>
      </c>
      <c r="J1042" t="str">
        <f>"46005"</f>
        <v>46005</v>
      </c>
      <c r="K1042" t="s">
        <v>1471</v>
      </c>
      <c r="L1042" t="s">
        <v>75</v>
      </c>
      <c r="M1042" t="s">
        <v>76</v>
      </c>
    </row>
    <row r="1043" spans="2:13" x14ac:dyDescent="0.25">
      <c r="B1043" t="s">
        <v>67</v>
      </c>
      <c r="C1043" t="s">
        <v>437</v>
      </c>
      <c r="D1043" t="s">
        <v>68</v>
      </c>
      <c r="E1043" t="s">
        <v>69</v>
      </c>
      <c r="F1043" t="s">
        <v>70</v>
      </c>
      <c r="G1043" t="s">
        <v>71</v>
      </c>
      <c r="H1043" t="s">
        <v>72</v>
      </c>
      <c r="I1043" t="s">
        <v>73</v>
      </c>
      <c r="J1043" t="str">
        <f>"46006"</f>
        <v>46006</v>
      </c>
      <c r="K1043" t="s">
        <v>1472</v>
      </c>
      <c r="L1043" t="s">
        <v>75</v>
      </c>
      <c r="M1043" t="s">
        <v>76</v>
      </c>
    </row>
    <row r="1044" spans="2:13" x14ac:dyDescent="0.25">
      <c r="B1044" t="s">
        <v>67</v>
      </c>
      <c r="C1044" t="s">
        <v>439</v>
      </c>
      <c r="D1044" t="s">
        <v>68</v>
      </c>
      <c r="E1044" t="s">
        <v>69</v>
      </c>
      <c r="F1044" t="s">
        <v>70</v>
      </c>
      <c r="G1044" t="s">
        <v>71</v>
      </c>
      <c r="H1044" t="s">
        <v>72</v>
      </c>
      <c r="I1044" t="s">
        <v>73</v>
      </c>
      <c r="J1044" t="str">
        <f>"46007"</f>
        <v>46007</v>
      </c>
      <c r="K1044" t="s">
        <v>1473</v>
      </c>
      <c r="L1044" t="s">
        <v>75</v>
      </c>
      <c r="M1044" t="s">
        <v>76</v>
      </c>
    </row>
    <row r="1045" spans="2:13" x14ac:dyDescent="0.25">
      <c r="B1045" t="s">
        <v>67</v>
      </c>
      <c r="C1045" t="s">
        <v>441</v>
      </c>
      <c r="D1045" t="s">
        <v>68</v>
      </c>
      <c r="E1045" t="s">
        <v>69</v>
      </c>
      <c r="F1045" t="s">
        <v>70</v>
      </c>
      <c r="G1045" t="s">
        <v>71</v>
      </c>
      <c r="H1045" t="s">
        <v>72</v>
      </c>
      <c r="I1045" t="s">
        <v>73</v>
      </c>
      <c r="J1045" t="str">
        <f>"46008"</f>
        <v>46008</v>
      </c>
      <c r="K1045" t="s">
        <v>1474</v>
      </c>
      <c r="L1045" t="s">
        <v>75</v>
      </c>
      <c r="M1045" t="s">
        <v>76</v>
      </c>
    </row>
    <row r="1046" spans="2:13" x14ac:dyDescent="0.25">
      <c r="B1046" t="s">
        <v>67</v>
      </c>
      <c r="C1046" t="s">
        <v>443</v>
      </c>
      <c r="D1046" t="s">
        <v>68</v>
      </c>
      <c r="E1046" t="s">
        <v>69</v>
      </c>
      <c r="F1046" t="s">
        <v>70</v>
      </c>
      <c r="G1046" t="s">
        <v>71</v>
      </c>
      <c r="H1046" t="s">
        <v>72</v>
      </c>
      <c r="I1046" t="s">
        <v>73</v>
      </c>
      <c r="J1046" t="str">
        <f>"46009"</f>
        <v>46009</v>
      </c>
      <c r="K1046" t="s">
        <v>1475</v>
      </c>
      <c r="L1046" t="s">
        <v>75</v>
      </c>
      <c r="M1046" t="s">
        <v>76</v>
      </c>
    </row>
    <row r="1047" spans="2:13" x14ac:dyDescent="0.25">
      <c r="B1047" t="s">
        <v>67</v>
      </c>
      <c r="C1047" t="s">
        <v>445</v>
      </c>
      <c r="D1047" t="s">
        <v>68</v>
      </c>
      <c r="E1047" t="s">
        <v>69</v>
      </c>
      <c r="F1047" t="s">
        <v>70</v>
      </c>
      <c r="G1047" t="s">
        <v>71</v>
      </c>
      <c r="H1047" t="s">
        <v>72</v>
      </c>
      <c r="I1047" t="s">
        <v>73</v>
      </c>
      <c r="J1047" t="str">
        <f>"46010"</f>
        <v>46010</v>
      </c>
      <c r="K1047" t="s">
        <v>1476</v>
      </c>
      <c r="L1047" t="s">
        <v>75</v>
      </c>
      <c r="M1047" t="s">
        <v>76</v>
      </c>
    </row>
    <row r="1048" spans="2:13" x14ac:dyDescent="0.25">
      <c r="B1048" t="s">
        <v>67</v>
      </c>
      <c r="C1048" t="s">
        <v>447</v>
      </c>
      <c r="D1048" t="s">
        <v>68</v>
      </c>
      <c r="E1048" t="s">
        <v>69</v>
      </c>
      <c r="F1048" t="s">
        <v>70</v>
      </c>
      <c r="G1048" t="s">
        <v>71</v>
      </c>
      <c r="H1048" t="s">
        <v>72</v>
      </c>
      <c r="I1048" t="s">
        <v>73</v>
      </c>
      <c r="J1048" t="str">
        <f>"46011"</f>
        <v>46011</v>
      </c>
      <c r="K1048" t="s">
        <v>1477</v>
      </c>
      <c r="L1048" t="s">
        <v>75</v>
      </c>
      <c r="M1048" t="s">
        <v>76</v>
      </c>
    </row>
    <row r="1049" spans="2:13" x14ac:dyDescent="0.25">
      <c r="B1049" t="s">
        <v>67</v>
      </c>
      <c r="C1049" t="s">
        <v>449</v>
      </c>
      <c r="D1049" t="s">
        <v>68</v>
      </c>
      <c r="E1049" t="s">
        <v>69</v>
      </c>
      <c r="F1049" t="s">
        <v>70</v>
      </c>
      <c r="G1049" t="s">
        <v>71</v>
      </c>
      <c r="H1049" t="s">
        <v>72</v>
      </c>
      <c r="I1049" t="s">
        <v>73</v>
      </c>
      <c r="J1049" t="str">
        <f>"46012"</f>
        <v>46012</v>
      </c>
      <c r="K1049" t="s">
        <v>1478</v>
      </c>
      <c r="L1049" t="s">
        <v>75</v>
      </c>
      <c r="M1049" t="s">
        <v>76</v>
      </c>
    </row>
    <row r="1050" spans="2:13" x14ac:dyDescent="0.25">
      <c r="B1050" t="s">
        <v>67</v>
      </c>
      <c r="C1050" t="s">
        <v>451</v>
      </c>
      <c r="D1050" t="s">
        <v>68</v>
      </c>
      <c r="E1050" t="s">
        <v>69</v>
      </c>
      <c r="F1050" t="s">
        <v>70</v>
      </c>
      <c r="G1050" t="s">
        <v>71</v>
      </c>
      <c r="H1050" t="s">
        <v>72</v>
      </c>
      <c r="I1050" t="s">
        <v>73</v>
      </c>
      <c r="J1050" t="str">
        <f>"46013"</f>
        <v>46013</v>
      </c>
      <c r="K1050" t="s">
        <v>1479</v>
      </c>
      <c r="L1050" t="s">
        <v>75</v>
      </c>
      <c r="M1050" t="s">
        <v>76</v>
      </c>
    </row>
    <row r="1051" spans="2:13" x14ac:dyDescent="0.25">
      <c r="B1051" t="s">
        <v>67</v>
      </c>
      <c r="C1051" t="s">
        <v>453</v>
      </c>
      <c r="D1051" t="s">
        <v>68</v>
      </c>
      <c r="E1051" t="s">
        <v>69</v>
      </c>
      <c r="F1051" t="s">
        <v>70</v>
      </c>
      <c r="G1051" t="s">
        <v>71</v>
      </c>
      <c r="H1051" t="s">
        <v>72</v>
      </c>
      <c r="I1051" t="s">
        <v>73</v>
      </c>
      <c r="J1051" t="str">
        <f>"46014"</f>
        <v>46014</v>
      </c>
      <c r="K1051" t="s">
        <v>1480</v>
      </c>
      <c r="L1051" t="s">
        <v>75</v>
      </c>
      <c r="M1051" t="s">
        <v>76</v>
      </c>
    </row>
    <row r="1052" spans="2:13" x14ac:dyDescent="0.25">
      <c r="B1052" t="s">
        <v>67</v>
      </c>
      <c r="C1052" t="s">
        <v>455</v>
      </c>
      <c r="D1052" t="s">
        <v>68</v>
      </c>
      <c r="E1052" t="s">
        <v>69</v>
      </c>
      <c r="F1052" t="s">
        <v>70</v>
      </c>
      <c r="G1052" t="s">
        <v>71</v>
      </c>
      <c r="H1052" t="s">
        <v>72</v>
      </c>
      <c r="I1052" t="s">
        <v>73</v>
      </c>
      <c r="J1052" t="str">
        <f>"46015"</f>
        <v>46015</v>
      </c>
      <c r="K1052" t="s">
        <v>1481</v>
      </c>
      <c r="L1052" t="s">
        <v>75</v>
      </c>
      <c r="M1052" t="s">
        <v>76</v>
      </c>
    </row>
    <row r="1053" spans="2:13" x14ac:dyDescent="0.25">
      <c r="B1053" t="s">
        <v>67</v>
      </c>
      <c r="C1053" t="s">
        <v>457</v>
      </c>
      <c r="D1053" t="s">
        <v>68</v>
      </c>
      <c r="E1053" t="s">
        <v>69</v>
      </c>
      <c r="F1053" t="s">
        <v>70</v>
      </c>
      <c r="G1053" t="s">
        <v>71</v>
      </c>
      <c r="H1053" t="s">
        <v>72</v>
      </c>
      <c r="I1053" t="s">
        <v>73</v>
      </c>
      <c r="J1053" t="str">
        <f>"46016"</f>
        <v>46016</v>
      </c>
      <c r="K1053" t="s">
        <v>1482</v>
      </c>
      <c r="L1053" t="s">
        <v>75</v>
      </c>
      <c r="M1053" t="s">
        <v>76</v>
      </c>
    </row>
    <row r="1054" spans="2:13" x14ac:dyDescent="0.25">
      <c r="B1054" t="s">
        <v>67</v>
      </c>
      <c r="C1054" t="s">
        <v>459</v>
      </c>
      <c r="D1054" t="s">
        <v>68</v>
      </c>
      <c r="E1054" t="s">
        <v>69</v>
      </c>
      <c r="F1054" t="s">
        <v>70</v>
      </c>
      <c r="G1054" t="s">
        <v>71</v>
      </c>
      <c r="H1054" t="s">
        <v>72</v>
      </c>
      <c r="I1054" t="s">
        <v>73</v>
      </c>
      <c r="J1054" t="str">
        <f>"46017"</f>
        <v>46017</v>
      </c>
      <c r="K1054" t="s">
        <v>1483</v>
      </c>
      <c r="L1054" t="s">
        <v>75</v>
      </c>
      <c r="M1054" t="s">
        <v>76</v>
      </c>
    </row>
    <row r="1055" spans="2:13" x14ac:dyDescent="0.25">
      <c r="B1055" t="s">
        <v>67</v>
      </c>
      <c r="C1055" t="s">
        <v>461</v>
      </c>
      <c r="D1055" t="s">
        <v>68</v>
      </c>
      <c r="E1055" t="s">
        <v>69</v>
      </c>
      <c r="F1055" t="s">
        <v>70</v>
      </c>
      <c r="G1055" t="s">
        <v>71</v>
      </c>
      <c r="H1055" t="s">
        <v>72</v>
      </c>
      <c r="I1055" t="s">
        <v>73</v>
      </c>
      <c r="J1055" t="str">
        <f>"46018"</f>
        <v>46018</v>
      </c>
      <c r="K1055" t="s">
        <v>1484</v>
      </c>
      <c r="L1055" t="s">
        <v>75</v>
      </c>
      <c r="M1055" t="s">
        <v>76</v>
      </c>
    </row>
    <row r="1056" spans="2:13" x14ac:dyDescent="0.25">
      <c r="B1056" t="s">
        <v>67</v>
      </c>
      <c r="C1056" t="s">
        <v>463</v>
      </c>
      <c r="D1056" t="s">
        <v>68</v>
      </c>
      <c r="E1056" t="s">
        <v>69</v>
      </c>
      <c r="F1056" t="s">
        <v>70</v>
      </c>
      <c r="G1056" t="s">
        <v>71</v>
      </c>
      <c r="H1056" t="s">
        <v>72</v>
      </c>
      <c r="I1056" t="s">
        <v>73</v>
      </c>
      <c r="J1056" t="str">
        <f>"46019"</f>
        <v>46019</v>
      </c>
      <c r="K1056" t="s">
        <v>1485</v>
      </c>
      <c r="L1056" t="s">
        <v>75</v>
      </c>
      <c r="M1056" t="s">
        <v>76</v>
      </c>
    </row>
    <row r="1057" spans="2:13" x14ac:dyDescent="0.25">
      <c r="B1057" t="s">
        <v>67</v>
      </c>
      <c r="C1057" t="s">
        <v>465</v>
      </c>
      <c r="D1057" t="s">
        <v>68</v>
      </c>
      <c r="E1057" t="s">
        <v>69</v>
      </c>
      <c r="F1057" t="s">
        <v>70</v>
      </c>
      <c r="G1057" t="s">
        <v>71</v>
      </c>
      <c r="H1057" t="s">
        <v>72</v>
      </c>
      <c r="I1057" t="s">
        <v>73</v>
      </c>
      <c r="J1057" t="str">
        <f>"46020"</f>
        <v>46020</v>
      </c>
      <c r="K1057" t="s">
        <v>1486</v>
      </c>
      <c r="L1057" t="s">
        <v>75</v>
      </c>
      <c r="M1057" t="s">
        <v>76</v>
      </c>
    </row>
    <row r="1058" spans="2:13" x14ac:dyDescent="0.25">
      <c r="B1058" t="s">
        <v>67</v>
      </c>
      <c r="C1058" t="s">
        <v>467</v>
      </c>
      <c r="D1058" t="s">
        <v>68</v>
      </c>
      <c r="E1058" t="s">
        <v>69</v>
      </c>
      <c r="F1058" t="s">
        <v>70</v>
      </c>
      <c r="G1058" t="s">
        <v>71</v>
      </c>
      <c r="H1058" t="s">
        <v>72</v>
      </c>
      <c r="I1058" t="s">
        <v>73</v>
      </c>
      <c r="J1058" t="str">
        <f>"46021"</f>
        <v>46021</v>
      </c>
      <c r="K1058" t="s">
        <v>1487</v>
      </c>
      <c r="L1058" t="s">
        <v>75</v>
      </c>
      <c r="M1058" t="s">
        <v>76</v>
      </c>
    </row>
    <row r="1059" spans="2:13" x14ac:dyDescent="0.25">
      <c r="B1059" t="s">
        <v>67</v>
      </c>
      <c r="C1059" t="s">
        <v>469</v>
      </c>
      <c r="D1059" t="s">
        <v>68</v>
      </c>
      <c r="E1059" t="s">
        <v>69</v>
      </c>
      <c r="F1059" t="s">
        <v>70</v>
      </c>
      <c r="G1059" t="s">
        <v>71</v>
      </c>
      <c r="H1059" t="s">
        <v>72</v>
      </c>
      <c r="I1059" t="s">
        <v>73</v>
      </c>
      <c r="J1059" t="str">
        <f>"46022"</f>
        <v>46022</v>
      </c>
      <c r="K1059" t="s">
        <v>1488</v>
      </c>
      <c r="L1059" t="s">
        <v>75</v>
      </c>
      <c r="M1059" t="s">
        <v>76</v>
      </c>
    </row>
    <row r="1060" spans="2:13" x14ac:dyDescent="0.25">
      <c r="B1060" t="s">
        <v>67</v>
      </c>
      <c r="C1060" t="s">
        <v>471</v>
      </c>
      <c r="D1060" t="s">
        <v>68</v>
      </c>
      <c r="E1060" t="s">
        <v>69</v>
      </c>
      <c r="F1060" t="s">
        <v>70</v>
      </c>
      <c r="G1060" t="s">
        <v>71</v>
      </c>
      <c r="H1060" t="s">
        <v>72</v>
      </c>
      <c r="I1060" t="s">
        <v>73</v>
      </c>
      <c r="J1060" t="str">
        <f>"46023"</f>
        <v>46023</v>
      </c>
      <c r="K1060" t="s">
        <v>1489</v>
      </c>
      <c r="L1060" t="s">
        <v>75</v>
      </c>
      <c r="M1060" t="s">
        <v>76</v>
      </c>
    </row>
    <row r="1061" spans="2:13" x14ac:dyDescent="0.25">
      <c r="B1061" t="s">
        <v>67</v>
      </c>
      <c r="C1061" t="s">
        <v>473</v>
      </c>
      <c r="D1061" t="s">
        <v>68</v>
      </c>
      <c r="E1061" t="s">
        <v>69</v>
      </c>
      <c r="F1061" t="s">
        <v>70</v>
      </c>
      <c r="G1061" t="s">
        <v>71</v>
      </c>
      <c r="H1061" t="s">
        <v>72</v>
      </c>
      <c r="I1061" t="s">
        <v>73</v>
      </c>
      <c r="J1061" t="str">
        <f>"46024"</f>
        <v>46024</v>
      </c>
      <c r="K1061" t="s">
        <v>1490</v>
      </c>
      <c r="L1061" t="s">
        <v>75</v>
      </c>
      <c r="M1061" t="s">
        <v>76</v>
      </c>
    </row>
    <row r="1062" spans="2:13" x14ac:dyDescent="0.25">
      <c r="B1062" t="s">
        <v>67</v>
      </c>
      <c r="C1062" t="s">
        <v>475</v>
      </c>
      <c r="D1062" t="s">
        <v>68</v>
      </c>
      <c r="E1062" t="s">
        <v>69</v>
      </c>
      <c r="F1062" t="s">
        <v>70</v>
      </c>
      <c r="G1062" t="s">
        <v>71</v>
      </c>
      <c r="H1062" t="s">
        <v>72</v>
      </c>
      <c r="I1062" t="s">
        <v>73</v>
      </c>
      <c r="J1062" t="str">
        <f>"46025"</f>
        <v>46025</v>
      </c>
      <c r="K1062" t="s">
        <v>1491</v>
      </c>
      <c r="L1062" t="s">
        <v>75</v>
      </c>
      <c r="M1062" t="s">
        <v>76</v>
      </c>
    </row>
    <row r="1063" spans="2:13" x14ac:dyDescent="0.25">
      <c r="B1063" t="s">
        <v>67</v>
      </c>
      <c r="C1063" t="s">
        <v>477</v>
      </c>
      <c r="D1063" t="s">
        <v>68</v>
      </c>
      <c r="E1063" t="s">
        <v>69</v>
      </c>
      <c r="F1063" t="s">
        <v>70</v>
      </c>
      <c r="G1063" t="s">
        <v>71</v>
      </c>
      <c r="H1063" t="s">
        <v>72</v>
      </c>
      <c r="I1063" t="s">
        <v>73</v>
      </c>
      <c r="J1063" t="str">
        <f>"46026"</f>
        <v>46026</v>
      </c>
      <c r="K1063" t="s">
        <v>1492</v>
      </c>
      <c r="L1063" t="s">
        <v>75</v>
      </c>
      <c r="M1063" t="s">
        <v>76</v>
      </c>
    </row>
    <row r="1064" spans="2:13" x14ac:dyDescent="0.25">
      <c r="B1064" t="s">
        <v>67</v>
      </c>
      <c r="C1064" t="s">
        <v>479</v>
      </c>
      <c r="D1064" t="s">
        <v>68</v>
      </c>
      <c r="E1064" t="s">
        <v>69</v>
      </c>
      <c r="F1064" t="s">
        <v>70</v>
      </c>
      <c r="G1064" t="s">
        <v>71</v>
      </c>
      <c r="H1064" t="s">
        <v>72</v>
      </c>
      <c r="I1064" t="s">
        <v>73</v>
      </c>
      <c r="J1064" t="str">
        <f>"46027"</f>
        <v>46027</v>
      </c>
      <c r="K1064" t="s">
        <v>1493</v>
      </c>
      <c r="L1064" t="s">
        <v>75</v>
      </c>
      <c r="M1064" t="s">
        <v>76</v>
      </c>
    </row>
    <row r="1065" spans="2:13" x14ac:dyDescent="0.25">
      <c r="B1065" t="s">
        <v>67</v>
      </c>
      <c r="C1065" t="s">
        <v>481</v>
      </c>
      <c r="D1065" t="s">
        <v>68</v>
      </c>
      <c r="E1065" t="s">
        <v>69</v>
      </c>
      <c r="F1065" t="s">
        <v>70</v>
      </c>
      <c r="G1065" t="s">
        <v>71</v>
      </c>
      <c r="H1065" t="s">
        <v>72</v>
      </c>
      <c r="I1065" t="s">
        <v>73</v>
      </c>
      <c r="J1065" t="str">
        <f>"46028"</f>
        <v>46028</v>
      </c>
      <c r="K1065" t="s">
        <v>1494</v>
      </c>
      <c r="L1065" t="s">
        <v>75</v>
      </c>
      <c r="M1065" t="s">
        <v>76</v>
      </c>
    </row>
    <row r="1066" spans="2:13" x14ac:dyDescent="0.25">
      <c r="B1066" t="s">
        <v>67</v>
      </c>
      <c r="C1066" t="s">
        <v>483</v>
      </c>
      <c r="D1066" t="s">
        <v>68</v>
      </c>
      <c r="E1066" t="s">
        <v>69</v>
      </c>
      <c r="F1066" t="s">
        <v>70</v>
      </c>
      <c r="G1066" t="s">
        <v>71</v>
      </c>
      <c r="H1066" t="s">
        <v>72</v>
      </c>
      <c r="I1066" t="s">
        <v>73</v>
      </c>
      <c r="J1066" t="str">
        <f>"46029"</f>
        <v>46029</v>
      </c>
      <c r="K1066" t="s">
        <v>1495</v>
      </c>
      <c r="L1066" t="s">
        <v>75</v>
      </c>
      <c r="M1066" t="s">
        <v>76</v>
      </c>
    </row>
    <row r="1067" spans="2:13" x14ac:dyDescent="0.25">
      <c r="B1067" t="s">
        <v>67</v>
      </c>
      <c r="C1067" t="s">
        <v>485</v>
      </c>
      <c r="D1067" t="s">
        <v>68</v>
      </c>
      <c r="E1067" t="s">
        <v>69</v>
      </c>
      <c r="F1067" t="s">
        <v>70</v>
      </c>
      <c r="G1067" t="s">
        <v>71</v>
      </c>
      <c r="H1067" t="s">
        <v>72</v>
      </c>
      <c r="I1067" t="s">
        <v>73</v>
      </c>
      <c r="J1067" t="str">
        <f>"46030"</f>
        <v>46030</v>
      </c>
      <c r="K1067" t="s">
        <v>1496</v>
      </c>
      <c r="L1067" t="s">
        <v>75</v>
      </c>
      <c r="M1067" t="s">
        <v>76</v>
      </c>
    </row>
    <row r="1068" spans="2:13" x14ac:dyDescent="0.25">
      <c r="B1068" t="s">
        <v>67</v>
      </c>
      <c r="C1068" t="s">
        <v>487</v>
      </c>
      <c r="D1068" t="s">
        <v>68</v>
      </c>
      <c r="E1068" t="s">
        <v>69</v>
      </c>
      <c r="F1068" t="s">
        <v>70</v>
      </c>
      <c r="G1068" t="s">
        <v>71</v>
      </c>
      <c r="H1068" t="s">
        <v>72</v>
      </c>
      <c r="I1068" t="s">
        <v>73</v>
      </c>
      <c r="J1068" t="str">
        <f>"46031"</f>
        <v>46031</v>
      </c>
      <c r="K1068" t="s">
        <v>1497</v>
      </c>
      <c r="L1068" t="s">
        <v>75</v>
      </c>
      <c r="M1068" t="s">
        <v>76</v>
      </c>
    </row>
    <row r="1069" spans="2:13" x14ac:dyDescent="0.25">
      <c r="B1069" t="s">
        <v>67</v>
      </c>
      <c r="C1069" t="s">
        <v>489</v>
      </c>
      <c r="D1069" t="s">
        <v>68</v>
      </c>
      <c r="E1069" t="s">
        <v>69</v>
      </c>
      <c r="F1069" t="s">
        <v>70</v>
      </c>
      <c r="G1069" t="s">
        <v>71</v>
      </c>
      <c r="H1069" t="s">
        <v>72</v>
      </c>
      <c r="I1069" t="s">
        <v>73</v>
      </c>
      <c r="J1069" t="str">
        <f>"46032"</f>
        <v>46032</v>
      </c>
      <c r="K1069" t="s">
        <v>1498</v>
      </c>
      <c r="L1069" t="s">
        <v>75</v>
      </c>
      <c r="M1069" t="s">
        <v>76</v>
      </c>
    </row>
    <row r="1070" spans="2:13" x14ac:dyDescent="0.25">
      <c r="B1070" t="s">
        <v>67</v>
      </c>
      <c r="C1070" t="s">
        <v>491</v>
      </c>
      <c r="D1070" t="s">
        <v>68</v>
      </c>
      <c r="E1070" t="s">
        <v>69</v>
      </c>
      <c r="F1070" t="s">
        <v>70</v>
      </c>
      <c r="G1070" t="s">
        <v>71</v>
      </c>
      <c r="H1070" t="s">
        <v>72</v>
      </c>
      <c r="I1070" t="s">
        <v>73</v>
      </c>
      <c r="J1070" t="str">
        <f>"46033"</f>
        <v>46033</v>
      </c>
      <c r="K1070" t="s">
        <v>1499</v>
      </c>
      <c r="L1070" t="s">
        <v>75</v>
      </c>
      <c r="M1070" t="s">
        <v>76</v>
      </c>
    </row>
    <row r="1071" spans="2:13" x14ac:dyDescent="0.25">
      <c r="B1071" t="s">
        <v>67</v>
      </c>
      <c r="C1071" t="s">
        <v>493</v>
      </c>
      <c r="D1071" t="s">
        <v>68</v>
      </c>
      <c r="E1071" t="s">
        <v>69</v>
      </c>
      <c r="F1071" t="s">
        <v>70</v>
      </c>
      <c r="G1071" t="s">
        <v>71</v>
      </c>
      <c r="H1071" t="s">
        <v>72</v>
      </c>
      <c r="I1071" t="s">
        <v>73</v>
      </c>
      <c r="J1071" t="str">
        <f>"46034"</f>
        <v>46034</v>
      </c>
      <c r="K1071" t="s">
        <v>1500</v>
      </c>
      <c r="L1071" t="s">
        <v>75</v>
      </c>
      <c r="M1071" t="s">
        <v>76</v>
      </c>
    </row>
    <row r="1072" spans="2:13" x14ac:dyDescent="0.25">
      <c r="B1072" t="s">
        <v>67</v>
      </c>
      <c r="C1072" t="s">
        <v>495</v>
      </c>
      <c r="D1072" t="s">
        <v>68</v>
      </c>
      <c r="E1072" t="s">
        <v>69</v>
      </c>
      <c r="F1072" t="s">
        <v>70</v>
      </c>
      <c r="G1072" t="s">
        <v>71</v>
      </c>
      <c r="H1072" t="s">
        <v>72</v>
      </c>
      <c r="I1072" t="s">
        <v>73</v>
      </c>
      <c r="J1072" t="str">
        <f>"46035"</f>
        <v>46035</v>
      </c>
      <c r="K1072" t="s">
        <v>1501</v>
      </c>
      <c r="L1072" t="s">
        <v>75</v>
      </c>
      <c r="M1072" t="s">
        <v>76</v>
      </c>
    </row>
    <row r="1073" spans="2:13" x14ac:dyDescent="0.25">
      <c r="B1073" t="s">
        <v>67</v>
      </c>
      <c r="C1073" t="s">
        <v>497</v>
      </c>
      <c r="D1073" t="s">
        <v>68</v>
      </c>
      <c r="E1073" t="s">
        <v>69</v>
      </c>
      <c r="F1073" t="s">
        <v>70</v>
      </c>
      <c r="G1073" t="s">
        <v>71</v>
      </c>
      <c r="H1073" t="s">
        <v>72</v>
      </c>
      <c r="I1073" t="s">
        <v>73</v>
      </c>
      <c r="J1073" t="str">
        <f>"46036"</f>
        <v>46036</v>
      </c>
      <c r="K1073" t="s">
        <v>1502</v>
      </c>
      <c r="L1073" t="s">
        <v>75</v>
      </c>
      <c r="M1073" t="s">
        <v>76</v>
      </c>
    </row>
    <row r="1074" spans="2:13" x14ac:dyDescent="0.25">
      <c r="B1074" t="s">
        <v>67</v>
      </c>
      <c r="C1074" t="s">
        <v>499</v>
      </c>
      <c r="D1074" t="s">
        <v>68</v>
      </c>
      <c r="E1074" t="s">
        <v>69</v>
      </c>
      <c r="F1074" t="s">
        <v>70</v>
      </c>
      <c r="G1074" t="s">
        <v>71</v>
      </c>
      <c r="H1074" t="s">
        <v>72</v>
      </c>
      <c r="I1074" t="s">
        <v>73</v>
      </c>
      <c r="J1074" t="str">
        <f>"46037"</f>
        <v>46037</v>
      </c>
      <c r="K1074" t="s">
        <v>1503</v>
      </c>
      <c r="L1074" t="s">
        <v>75</v>
      </c>
      <c r="M1074" t="s">
        <v>76</v>
      </c>
    </row>
    <row r="1075" spans="2:13" x14ac:dyDescent="0.25">
      <c r="B1075" t="s">
        <v>67</v>
      </c>
      <c r="C1075" t="s">
        <v>501</v>
      </c>
      <c r="D1075" t="s">
        <v>68</v>
      </c>
      <c r="E1075" t="s">
        <v>69</v>
      </c>
      <c r="F1075" t="s">
        <v>70</v>
      </c>
      <c r="G1075" t="s">
        <v>71</v>
      </c>
      <c r="H1075" t="s">
        <v>72</v>
      </c>
      <c r="I1075" t="s">
        <v>73</v>
      </c>
      <c r="J1075" t="str">
        <f>"46038"</f>
        <v>46038</v>
      </c>
      <c r="K1075" t="s">
        <v>1504</v>
      </c>
      <c r="L1075" t="s">
        <v>75</v>
      </c>
      <c r="M1075" t="s">
        <v>76</v>
      </c>
    </row>
    <row r="1076" spans="2:13" x14ac:dyDescent="0.25">
      <c r="B1076" t="s">
        <v>67</v>
      </c>
      <c r="C1076" t="s">
        <v>503</v>
      </c>
      <c r="D1076" t="s">
        <v>68</v>
      </c>
      <c r="E1076" t="s">
        <v>69</v>
      </c>
      <c r="F1076" t="s">
        <v>70</v>
      </c>
      <c r="G1076" t="s">
        <v>71</v>
      </c>
      <c r="H1076" t="s">
        <v>72</v>
      </c>
      <c r="I1076" t="s">
        <v>73</v>
      </c>
      <c r="J1076" t="str">
        <f>"46039"</f>
        <v>46039</v>
      </c>
      <c r="K1076" t="s">
        <v>1505</v>
      </c>
      <c r="L1076" t="s">
        <v>75</v>
      </c>
      <c r="M1076" t="s">
        <v>76</v>
      </c>
    </row>
    <row r="1077" spans="2:13" x14ac:dyDescent="0.25">
      <c r="B1077" t="s">
        <v>67</v>
      </c>
      <c r="C1077" t="s">
        <v>505</v>
      </c>
      <c r="D1077" t="s">
        <v>68</v>
      </c>
      <c r="E1077" t="s">
        <v>69</v>
      </c>
      <c r="F1077" t="s">
        <v>70</v>
      </c>
      <c r="G1077" t="s">
        <v>71</v>
      </c>
      <c r="H1077" t="s">
        <v>72</v>
      </c>
      <c r="I1077" t="s">
        <v>73</v>
      </c>
      <c r="J1077" t="str">
        <f>"46040"</f>
        <v>46040</v>
      </c>
      <c r="K1077" t="s">
        <v>1506</v>
      </c>
      <c r="L1077" t="s">
        <v>75</v>
      </c>
      <c r="M1077" t="s">
        <v>76</v>
      </c>
    </row>
    <row r="1078" spans="2:13" x14ac:dyDescent="0.25">
      <c r="B1078" t="s">
        <v>67</v>
      </c>
      <c r="C1078" t="s">
        <v>507</v>
      </c>
      <c r="D1078" t="s">
        <v>68</v>
      </c>
      <c r="E1078" t="s">
        <v>69</v>
      </c>
      <c r="F1078" t="s">
        <v>70</v>
      </c>
      <c r="G1078" t="s">
        <v>71</v>
      </c>
      <c r="H1078" t="s">
        <v>72</v>
      </c>
      <c r="I1078" t="s">
        <v>73</v>
      </c>
      <c r="J1078" t="str">
        <f>"46041"</f>
        <v>46041</v>
      </c>
      <c r="K1078" t="s">
        <v>1507</v>
      </c>
      <c r="L1078" t="s">
        <v>75</v>
      </c>
      <c r="M1078" t="s">
        <v>76</v>
      </c>
    </row>
    <row r="1079" spans="2:13" x14ac:dyDescent="0.25">
      <c r="B1079" t="s">
        <v>67</v>
      </c>
      <c r="C1079" t="s">
        <v>509</v>
      </c>
      <c r="D1079" t="s">
        <v>68</v>
      </c>
      <c r="E1079" t="s">
        <v>69</v>
      </c>
      <c r="F1079" t="s">
        <v>70</v>
      </c>
      <c r="G1079" t="s">
        <v>71</v>
      </c>
      <c r="H1079" t="s">
        <v>72</v>
      </c>
      <c r="I1079" t="s">
        <v>73</v>
      </c>
      <c r="J1079" t="str">
        <f>"46042"</f>
        <v>46042</v>
      </c>
      <c r="K1079" t="s">
        <v>1508</v>
      </c>
      <c r="L1079" t="s">
        <v>75</v>
      </c>
      <c r="M1079" t="s">
        <v>76</v>
      </c>
    </row>
    <row r="1080" spans="2:13" x14ac:dyDescent="0.25">
      <c r="B1080" t="s">
        <v>67</v>
      </c>
      <c r="C1080" t="s">
        <v>511</v>
      </c>
      <c r="D1080" t="s">
        <v>68</v>
      </c>
      <c r="E1080" t="s">
        <v>69</v>
      </c>
      <c r="F1080" t="s">
        <v>70</v>
      </c>
      <c r="G1080" t="s">
        <v>71</v>
      </c>
      <c r="H1080" t="s">
        <v>72</v>
      </c>
      <c r="I1080" t="s">
        <v>73</v>
      </c>
      <c r="J1080" t="str">
        <f>"46043"</f>
        <v>46043</v>
      </c>
      <c r="K1080" t="s">
        <v>1509</v>
      </c>
      <c r="L1080" t="s">
        <v>75</v>
      </c>
      <c r="M1080" t="s">
        <v>76</v>
      </c>
    </row>
    <row r="1081" spans="2:13" x14ac:dyDescent="0.25">
      <c r="B1081" t="s">
        <v>67</v>
      </c>
      <c r="C1081" t="s">
        <v>513</v>
      </c>
      <c r="D1081" t="s">
        <v>68</v>
      </c>
      <c r="E1081" t="s">
        <v>69</v>
      </c>
      <c r="F1081" t="s">
        <v>70</v>
      </c>
      <c r="G1081" t="s">
        <v>71</v>
      </c>
      <c r="H1081" t="s">
        <v>72</v>
      </c>
      <c r="I1081" t="s">
        <v>73</v>
      </c>
      <c r="J1081" t="str">
        <f>"46044"</f>
        <v>46044</v>
      </c>
      <c r="K1081" t="s">
        <v>1510</v>
      </c>
      <c r="L1081" t="s">
        <v>75</v>
      </c>
      <c r="M1081" t="s">
        <v>76</v>
      </c>
    </row>
    <row r="1082" spans="2:13" x14ac:dyDescent="0.25">
      <c r="B1082" t="s">
        <v>67</v>
      </c>
      <c r="C1082" t="s">
        <v>515</v>
      </c>
      <c r="D1082" t="s">
        <v>68</v>
      </c>
      <c r="E1082" t="s">
        <v>69</v>
      </c>
      <c r="F1082" t="s">
        <v>70</v>
      </c>
      <c r="G1082" t="s">
        <v>71</v>
      </c>
      <c r="H1082" t="s">
        <v>72</v>
      </c>
      <c r="I1082" t="s">
        <v>73</v>
      </c>
      <c r="J1082" t="str">
        <f>"46045"</f>
        <v>46045</v>
      </c>
      <c r="K1082" t="s">
        <v>1511</v>
      </c>
      <c r="L1082" t="s">
        <v>75</v>
      </c>
      <c r="M1082" t="s">
        <v>76</v>
      </c>
    </row>
    <row r="1083" spans="2:13" x14ac:dyDescent="0.25">
      <c r="B1083" t="s">
        <v>67</v>
      </c>
      <c r="C1083" t="s">
        <v>517</v>
      </c>
      <c r="D1083" t="s">
        <v>68</v>
      </c>
      <c r="E1083" t="s">
        <v>69</v>
      </c>
      <c r="F1083" t="s">
        <v>70</v>
      </c>
      <c r="G1083" t="s">
        <v>71</v>
      </c>
      <c r="H1083" t="s">
        <v>72</v>
      </c>
      <c r="I1083" t="s">
        <v>73</v>
      </c>
      <c r="J1083" t="str">
        <f>"46046"</f>
        <v>46046</v>
      </c>
      <c r="K1083" t="s">
        <v>1512</v>
      </c>
      <c r="L1083" t="s">
        <v>75</v>
      </c>
      <c r="M1083" t="s">
        <v>76</v>
      </c>
    </row>
    <row r="1084" spans="2:13" x14ac:dyDescent="0.25">
      <c r="B1084" t="s">
        <v>67</v>
      </c>
      <c r="C1084" t="s">
        <v>519</v>
      </c>
      <c r="D1084" t="s">
        <v>68</v>
      </c>
      <c r="E1084" t="s">
        <v>69</v>
      </c>
      <c r="F1084" t="s">
        <v>70</v>
      </c>
      <c r="G1084" t="s">
        <v>71</v>
      </c>
      <c r="H1084" t="s">
        <v>72</v>
      </c>
      <c r="I1084" t="s">
        <v>73</v>
      </c>
      <c r="J1084" t="str">
        <f>"46047"</f>
        <v>46047</v>
      </c>
      <c r="K1084" t="s">
        <v>1513</v>
      </c>
      <c r="L1084" t="s">
        <v>75</v>
      </c>
      <c r="M1084" t="s">
        <v>76</v>
      </c>
    </row>
    <row r="1085" spans="2:13" x14ac:dyDescent="0.25">
      <c r="B1085" t="s">
        <v>67</v>
      </c>
      <c r="C1085" t="s">
        <v>521</v>
      </c>
      <c r="D1085" t="s">
        <v>68</v>
      </c>
      <c r="E1085" t="s">
        <v>69</v>
      </c>
      <c r="F1085" t="s">
        <v>70</v>
      </c>
      <c r="G1085" t="s">
        <v>71</v>
      </c>
      <c r="H1085" t="s">
        <v>72</v>
      </c>
      <c r="I1085" t="s">
        <v>73</v>
      </c>
      <c r="J1085" t="str">
        <f>"46048"</f>
        <v>46048</v>
      </c>
      <c r="K1085" t="s">
        <v>1514</v>
      </c>
      <c r="L1085" t="s">
        <v>75</v>
      </c>
      <c r="M1085" t="s">
        <v>76</v>
      </c>
    </row>
    <row r="1086" spans="2:13" x14ac:dyDescent="0.25">
      <c r="B1086" t="s">
        <v>67</v>
      </c>
      <c r="C1086" t="s">
        <v>523</v>
      </c>
      <c r="D1086" t="s">
        <v>68</v>
      </c>
      <c r="E1086" t="s">
        <v>69</v>
      </c>
      <c r="F1086" t="s">
        <v>70</v>
      </c>
      <c r="G1086" t="s">
        <v>71</v>
      </c>
      <c r="H1086" t="s">
        <v>72</v>
      </c>
      <c r="I1086" t="s">
        <v>73</v>
      </c>
      <c r="J1086" t="str">
        <f>"46049"</f>
        <v>46049</v>
      </c>
      <c r="K1086" t="s">
        <v>1515</v>
      </c>
      <c r="L1086" t="s">
        <v>75</v>
      </c>
      <c r="M1086" t="s">
        <v>76</v>
      </c>
    </row>
    <row r="1087" spans="2:13" x14ac:dyDescent="0.25">
      <c r="B1087" t="s">
        <v>67</v>
      </c>
      <c r="C1087" t="s">
        <v>525</v>
      </c>
      <c r="D1087" t="s">
        <v>68</v>
      </c>
      <c r="E1087" t="s">
        <v>69</v>
      </c>
      <c r="F1087" t="s">
        <v>70</v>
      </c>
      <c r="G1087" t="s">
        <v>71</v>
      </c>
      <c r="H1087" t="s">
        <v>72</v>
      </c>
      <c r="I1087" t="s">
        <v>73</v>
      </c>
      <c r="J1087" t="str">
        <f>"46050"</f>
        <v>46050</v>
      </c>
      <c r="K1087" t="s">
        <v>1516</v>
      </c>
      <c r="L1087" t="s">
        <v>75</v>
      </c>
      <c r="M1087" t="s">
        <v>76</v>
      </c>
    </row>
    <row r="1088" spans="2:13" x14ac:dyDescent="0.25">
      <c r="B1088" t="s">
        <v>67</v>
      </c>
      <c r="C1088" t="s">
        <v>527</v>
      </c>
      <c r="D1088" t="s">
        <v>68</v>
      </c>
      <c r="E1088" t="s">
        <v>69</v>
      </c>
      <c r="F1088" t="s">
        <v>70</v>
      </c>
      <c r="G1088" t="s">
        <v>71</v>
      </c>
      <c r="H1088" t="s">
        <v>72</v>
      </c>
      <c r="I1088" t="s">
        <v>73</v>
      </c>
      <c r="J1088" t="str">
        <f>"46051"</f>
        <v>46051</v>
      </c>
      <c r="K1088" t="s">
        <v>1517</v>
      </c>
      <c r="L1088" t="s">
        <v>75</v>
      </c>
      <c r="M1088" t="s">
        <v>76</v>
      </c>
    </row>
    <row r="1089" spans="2:13" x14ac:dyDescent="0.25">
      <c r="B1089" t="s">
        <v>67</v>
      </c>
      <c r="C1089" t="s">
        <v>529</v>
      </c>
      <c r="D1089" t="s">
        <v>68</v>
      </c>
      <c r="E1089" t="s">
        <v>69</v>
      </c>
      <c r="F1089" t="s">
        <v>70</v>
      </c>
      <c r="G1089" t="s">
        <v>71</v>
      </c>
      <c r="H1089" t="s">
        <v>72</v>
      </c>
      <c r="I1089" t="s">
        <v>73</v>
      </c>
      <c r="J1089" t="str">
        <f>"46052"</f>
        <v>46052</v>
      </c>
      <c r="K1089" t="s">
        <v>1518</v>
      </c>
      <c r="L1089" t="s">
        <v>75</v>
      </c>
      <c r="M1089" t="s">
        <v>76</v>
      </c>
    </row>
    <row r="1090" spans="2:13" x14ac:dyDescent="0.25">
      <c r="B1090" t="s">
        <v>67</v>
      </c>
      <c r="C1090" t="s">
        <v>531</v>
      </c>
      <c r="D1090" t="s">
        <v>68</v>
      </c>
      <c r="E1090" t="s">
        <v>69</v>
      </c>
      <c r="F1090" t="s">
        <v>70</v>
      </c>
      <c r="G1090" t="s">
        <v>71</v>
      </c>
      <c r="H1090" t="s">
        <v>72</v>
      </c>
      <c r="I1090" t="s">
        <v>73</v>
      </c>
      <c r="J1090" t="str">
        <f>"46053"</f>
        <v>46053</v>
      </c>
      <c r="K1090" t="s">
        <v>1519</v>
      </c>
      <c r="L1090" t="s">
        <v>75</v>
      </c>
      <c r="M1090" t="s">
        <v>76</v>
      </c>
    </row>
    <row r="1091" spans="2:13" x14ac:dyDescent="0.25">
      <c r="B1091" t="s">
        <v>67</v>
      </c>
      <c r="C1091" t="s">
        <v>533</v>
      </c>
      <c r="D1091" t="s">
        <v>68</v>
      </c>
      <c r="E1091" t="s">
        <v>69</v>
      </c>
      <c r="F1091" t="s">
        <v>70</v>
      </c>
      <c r="G1091" t="s">
        <v>71</v>
      </c>
      <c r="H1091" t="s">
        <v>72</v>
      </c>
      <c r="I1091" t="s">
        <v>73</v>
      </c>
      <c r="J1091" t="str">
        <f>"46054"</f>
        <v>46054</v>
      </c>
      <c r="K1091" t="s">
        <v>1520</v>
      </c>
      <c r="L1091" t="s">
        <v>75</v>
      </c>
      <c r="M1091" t="s">
        <v>76</v>
      </c>
    </row>
    <row r="1092" spans="2:13" x14ac:dyDescent="0.25">
      <c r="B1092" t="s">
        <v>67</v>
      </c>
      <c r="C1092" t="s">
        <v>535</v>
      </c>
      <c r="D1092" t="s">
        <v>68</v>
      </c>
      <c r="E1092" t="s">
        <v>69</v>
      </c>
      <c r="F1092" t="s">
        <v>70</v>
      </c>
      <c r="G1092" t="s">
        <v>71</v>
      </c>
      <c r="H1092" t="s">
        <v>72</v>
      </c>
      <c r="I1092" t="s">
        <v>73</v>
      </c>
      <c r="J1092" t="str">
        <f>"46055"</f>
        <v>46055</v>
      </c>
      <c r="K1092" t="s">
        <v>1521</v>
      </c>
      <c r="L1092" t="s">
        <v>75</v>
      </c>
      <c r="M1092" t="s">
        <v>76</v>
      </c>
    </row>
    <row r="1093" spans="2:13" x14ac:dyDescent="0.25">
      <c r="B1093" t="s">
        <v>67</v>
      </c>
      <c r="C1093" t="s">
        <v>537</v>
      </c>
      <c r="D1093" t="s">
        <v>68</v>
      </c>
      <c r="E1093" t="s">
        <v>69</v>
      </c>
      <c r="F1093" t="s">
        <v>70</v>
      </c>
      <c r="G1093" t="s">
        <v>71</v>
      </c>
      <c r="H1093" t="s">
        <v>72</v>
      </c>
      <c r="I1093" t="s">
        <v>73</v>
      </c>
      <c r="J1093" t="str">
        <f>"46056"</f>
        <v>46056</v>
      </c>
      <c r="K1093" t="s">
        <v>1522</v>
      </c>
      <c r="L1093" t="s">
        <v>75</v>
      </c>
      <c r="M1093" t="s">
        <v>76</v>
      </c>
    </row>
    <row r="1094" spans="2:13" x14ac:dyDescent="0.25">
      <c r="B1094" t="s">
        <v>67</v>
      </c>
      <c r="C1094" t="s">
        <v>539</v>
      </c>
      <c r="D1094" t="s">
        <v>68</v>
      </c>
      <c r="E1094" t="s">
        <v>69</v>
      </c>
      <c r="F1094" t="s">
        <v>70</v>
      </c>
      <c r="G1094" t="s">
        <v>71</v>
      </c>
      <c r="H1094" t="s">
        <v>72</v>
      </c>
      <c r="I1094" t="s">
        <v>73</v>
      </c>
      <c r="J1094" t="str">
        <f>"46057"</f>
        <v>46057</v>
      </c>
      <c r="K1094" t="s">
        <v>1523</v>
      </c>
      <c r="L1094" t="s">
        <v>75</v>
      </c>
      <c r="M1094" t="s">
        <v>76</v>
      </c>
    </row>
    <row r="1095" spans="2:13" x14ac:dyDescent="0.25">
      <c r="B1095" t="s">
        <v>67</v>
      </c>
      <c r="C1095" t="s">
        <v>541</v>
      </c>
      <c r="D1095" t="s">
        <v>68</v>
      </c>
      <c r="E1095" t="s">
        <v>69</v>
      </c>
      <c r="F1095" t="s">
        <v>70</v>
      </c>
      <c r="G1095" t="s">
        <v>71</v>
      </c>
      <c r="H1095" t="s">
        <v>72</v>
      </c>
      <c r="I1095" t="s">
        <v>73</v>
      </c>
      <c r="J1095" t="str">
        <f>"46058"</f>
        <v>46058</v>
      </c>
      <c r="K1095" t="s">
        <v>1524</v>
      </c>
      <c r="L1095" t="s">
        <v>75</v>
      </c>
      <c r="M1095" t="s">
        <v>76</v>
      </c>
    </row>
    <row r="1096" spans="2:13" x14ac:dyDescent="0.25">
      <c r="B1096" t="s">
        <v>67</v>
      </c>
      <c r="C1096" t="s">
        <v>543</v>
      </c>
      <c r="D1096" t="s">
        <v>68</v>
      </c>
      <c r="E1096" t="s">
        <v>69</v>
      </c>
      <c r="F1096" t="s">
        <v>70</v>
      </c>
      <c r="G1096" t="s">
        <v>71</v>
      </c>
      <c r="H1096" t="s">
        <v>72</v>
      </c>
      <c r="I1096" t="s">
        <v>73</v>
      </c>
      <c r="J1096" t="str">
        <f>"46059"</f>
        <v>46059</v>
      </c>
      <c r="K1096" t="s">
        <v>1525</v>
      </c>
      <c r="L1096" t="s">
        <v>75</v>
      </c>
      <c r="M1096" t="s">
        <v>76</v>
      </c>
    </row>
    <row r="1097" spans="2:13" x14ac:dyDescent="0.25">
      <c r="B1097" t="s">
        <v>67</v>
      </c>
      <c r="C1097" t="s">
        <v>545</v>
      </c>
      <c r="D1097" t="s">
        <v>68</v>
      </c>
      <c r="E1097" t="s">
        <v>69</v>
      </c>
      <c r="F1097" t="s">
        <v>70</v>
      </c>
      <c r="G1097" t="s">
        <v>71</v>
      </c>
      <c r="H1097" t="s">
        <v>72</v>
      </c>
      <c r="I1097" t="s">
        <v>73</v>
      </c>
      <c r="J1097" t="str">
        <f>"46060"</f>
        <v>46060</v>
      </c>
      <c r="K1097" t="s">
        <v>1526</v>
      </c>
      <c r="L1097" t="s">
        <v>75</v>
      </c>
      <c r="M1097" t="s">
        <v>76</v>
      </c>
    </row>
    <row r="1098" spans="2:13" x14ac:dyDescent="0.25">
      <c r="B1098" t="s">
        <v>67</v>
      </c>
      <c r="C1098" t="s">
        <v>547</v>
      </c>
      <c r="D1098" t="s">
        <v>68</v>
      </c>
      <c r="E1098" t="s">
        <v>69</v>
      </c>
      <c r="F1098" t="s">
        <v>70</v>
      </c>
      <c r="G1098" t="s">
        <v>71</v>
      </c>
      <c r="H1098" t="s">
        <v>72</v>
      </c>
      <c r="I1098" t="s">
        <v>73</v>
      </c>
      <c r="J1098" t="str">
        <f>"46061"</f>
        <v>46061</v>
      </c>
      <c r="K1098" t="s">
        <v>1527</v>
      </c>
      <c r="L1098" t="s">
        <v>75</v>
      </c>
      <c r="M1098" t="s">
        <v>76</v>
      </c>
    </row>
    <row r="1099" spans="2:13" x14ac:dyDescent="0.25">
      <c r="B1099" t="s">
        <v>67</v>
      </c>
      <c r="C1099" t="s">
        <v>549</v>
      </c>
      <c r="D1099" t="s">
        <v>68</v>
      </c>
      <c r="E1099" t="s">
        <v>69</v>
      </c>
      <c r="F1099" t="s">
        <v>70</v>
      </c>
      <c r="G1099" t="s">
        <v>71</v>
      </c>
      <c r="H1099" t="s">
        <v>72</v>
      </c>
      <c r="I1099" t="s">
        <v>73</v>
      </c>
      <c r="J1099" t="str">
        <f>"46062"</f>
        <v>46062</v>
      </c>
      <c r="K1099" t="s">
        <v>1528</v>
      </c>
      <c r="L1099" t="s">
        <v>75</v>
      </c>
      <c r="M1099" t="s">
        <v>76</v>
      </c>
    </row>
    <row r="1100" spans="2:13" x14ac:dyDescent="0.25">
      <c r="B1100" t="s">
        <v>67</v>
      </c>
      <c r="C1100" t="s">
        <v>551</v>
      </c>
      <c r="D1100" t="s">
        <v>68</v>
      </c>
      <c r="E1100" t="s">
        <v>69</v>
      </c>
      <c r="F1100" t="s">
        <v>70</v>
      </c>
      <c r="G1100" t="s">
        <v>71</v>
      </c>
      <c r="H1100" t="s">
        <v>72</v>
      </c>
      <c r="I1100" t="s">
        <v>73</v>
      </c>
      <c r="J1100" t="str">
        <f>"46063"</f>
        <v>46063</v>
      </c>
      <c r="K1100" t="s">
        <v>1529</v>
      </c>
      <c r="L1100" t="s">
        <v>75</v>
      </c>
      <c r="M1100" t="s">
        <v>76</v>
      </c>
    </row>
    <row r="1101" spans="2:13" x14ac:dyDescent="0.25">
      <c r="B1101" t="s">
        <v>67</v>
      </c>
      <c r="C1101" t="s">
        <v>553</v>
      </c>
      <c r="D1101" t="s">
        <v>68</v>
      </c>
      <c r="E1101" t="s">
        <v>69</v>
      </c>
      <c r="F1101" t="s">
        <v>70</v>
      </c>
      <c r="G1101" t="s">
        <v>71</v>
      </c>
      <c r="H1101" t="s">
        <v>72</v>
      </c>
      <c r="I1101" t="s">
        <v>73</v>
      </c>
      <c r="J1101" t="str">
        <f>"46064"</f>
        <v>46064</v>
      </c>
      <c r="K1101" t="s">
        <v>1530</v>
      </c>
      <c r="L1101" t="s">
        <v>75</v>
      </c>
      <c r="M1101" t="s">
        <v>76</v>
      </c>
    </row>
    <row r="1102" spans="2:13" x14ac:dyDescent="0.25">
      <c r="B1102" t="s">
        <v>67</v>
      </c>
      <c r="C1102" t="s">
        <v>555</v>
      </c>
      <c r="D1102" t="s">
        <v>68</v>
      </c>
      <c r="E1102" t="s">
        <v>69</v>
      </c>
      <c r="F1102" t="s">
        <v>70</v>
      </c>
      <c r="G1102" t="s">
        <v>71</v>
      </c>
      <c r="H1102" t="s">
        <v>72</v>
      </c>
      <c r="I1102" t="s">
        <v>73</v>
      </c>
      <c r="J1102" t="str">
        <f>"46065"</f>
        <v>46065</v>
      </c>
      <c r="K1102" t="s">
        <v>1531</v>
      </c>
      <c r="L1102" t="s">
        <v>75</v>
      </c>
      <c r="M1102" t="s">
        <v>76</v>
      </c>
    </row>
    <row r="1103" spans="2:13" x14ac:dyDescent="0.25">
      <c r="B1103" t="s">
        <v>67</v>
      </c>
      <c r="C1103" t="s">
        <v>557</v>
      </c>
      <c r="D1103" t="s">
        <v>68</v>
      </c>
      <c r="E1103" t="s">
        <v>69</v>
      </c>
      <c r="F1103" t="s">
        <v>70</v>
      </c>
      <c r="G1103" t="s">
        <v>71</v>
      </c>
      <c r="H1103" t="s">
        <v>72</v>
      </c>
      <c r="I1103" t="s">
        <v>73</v>
      </c>
      <c r="J1103" t="str">
        <f>"46066"</f>
        <v>46066</v>
      </c>
      <c r="K1103" t="s">
        <v>1532</v>
      </c>
      <c r="L1103" t="s">
        <v>75</v>
      </c>
      <c r="M1103" t="s">
        <v>76</v>
      </c>
    </row>
    <row r="1104" spans="2:13" x14ac:dyDescent="0.25">
      <c r="B1104" t="s">
        <v>67</v>
      </c>
      <c r="C1104" t="s">
        <v>559</v>
      </c>
      <c r="D1104" t="s">
        <v>68</v>
      </c>
      <c r="E1104" t="s">
        <v>69</v>
      </c>
      <c r="F1104" t="s">
        <v>70</v>
      </c>
      <c r="G1104" t="s">
        <v>71</v>
      </c>
      <c r="H1104" t="s">
        <v>72</v>
      </c>
      <c r="I1104" t="s">
        <v>73</v>
      </c>
      <c r="J1104" t="str">
        <f>"46067"</f>
        <v>46067</v>
      </c>
      <c r="K1104" t="s">
        <v>1533</v>
      </c>
      <c r="L1104" t="s">
        <v>75</v>
      </c>
      <c r="M1104" t="s">
        <v>76</v>
      </c>
    </row>
    <row r="1105" spans="2:13" x14ac:dyDescent="0.25">
      <c r="B1105" t="s">
        <v>67</v>
      </c>
      <c r="C1105" t="s">
        <v>561</v>
      </c>
      <c r="D1105" t="s">
        <v>68</v>
      </c>
      <c r="E1105" t="s">
        <v>69</v>
      </c>
      <c r="F1105" t="s">
        <v>70</v>
      </c>
      <c r="G1105" t="s">
        <v>71</v>
      </c>
      <c r="H1105" t="s">
        <v>72</v>
      </c>
      <c r="I1105" t="s">
        <v>73</v>
      </c>
      <c r="J1105" t="str">
        <f>"46068"</f>
        <v>46068</v>
      </c>
      <c r="K1105" t="s">
        <v>1534</v>
      </c>
      <c r="L1105" t="s">
        <v>75</v>
      </c>
      <c r="M1105" t="s">
        <v>76</v>
      </c>
    </row>
    <row r="1106" spans="2:13" x14ac:dyDescent="0.25">
      <c r="B1106" t="s">
        <v>67</v>
      </c>
      <c r="C1106" t="s">
        <v>563</v>
      </c>
      <c r="D1106" t="s">
        <v>68</v>
      </c>
      <c r="E1106" t="s">
        <v>69</v>
      </c>
      <c r="F1106" t="s">
        <v>70</v>
      </c>
      <c r="G1106" t="s">
        <v>71</v>
      </c>
      <c r="H1106" t="s">
        <v>72</v>
      </c>
      <c r="I1106" t="s">
        <v>73</v>
      </c>
      <c r="J1106" t="str">
        <f>"46069"</f>
        <v>46069</v>
      </c>
      <c r="K1106" t="s">
        <v>1535</v>
      </c>
      <c r="L1106" t="s">
        <v>75</v>
      </c>
      <c r="M1106" t="s">
        <v>76</v>
      </c>
    </row>
    <row r="1107" spans="2:13" x14ac:dyDescent="0.25">
      <c r="B1107" t="s">
        <v>67</v>
      </c>
      <c r="C1107" t="s">
        <v>565</v>
      </c>
      <c r="D1107" t="s">
        <v>68</v>
      </c>
      <c r="E1107" t="s">
        <v>69</v>
      </c>
      <c r="F1107" t="s">
        <v>70</v>
      </c>
      <c r="G1107" t="s">
        <v>71</v>
      </c>
      <c r="H1107" t="s">
        <v>72</v>
      </c>
      <c r="I1107" t="s">
        <v>73</v>
      </c>
      <c r="J1107" t="str">
        <f>"46070"</f>
        <v>46070</v>
      </c>
      <c r="K1107" t="s">
        <v>1536</v>
      </c>
      <c r="L1107" t="s">
        <v>75</v>
      </c>
      <c r="M1107" t="s">
        <v>76</v>
      </c>
    </row>
    <row r="1108" spans="2:13" x14ac:dyDescent="0.25">
      <c r="B1108" t="s">
        <v>67</v>
      </c>
      <c r="C1108" t="s">
        <v>567</v>
      </c>
      <c r="D1108" t="s">
        <v>68</v>
      </c>
      <c r="E1108" t="s">
        <v>69</v>
      </c>
      <c r="F1108" t="s">
        <v>70</v>
      </c>
      <c r="G1108" t="s">
        <v>71</v>
      </c>
      <c r="H1108" t="s">
        <v>72</v>
      </c>
      <c r="I1108" t="s">
        <v>73</v>
      </c>
      <c r="J1108" t="str">
        <f>"46071"</f>
        <v>46071</v>
      </c>
      <c r="K1108" t="s">
        <v>1537</v>
      </c>
      <c r="L1108" t="s">
        <v>75</v>
      </c>
      <c r="M1108" t="s">
        <v>76</v>
      </c>
    </row>
    <row r="1109" spans="2:13" x14ac:dyDescent="0.25">
      <c r="B1109" t="s">
        <v>67</v>
      </c>
      <c r="C1109" t="s">
        <v>569</v>
      </c>
      <c r="D1109" t="s">
        <v>68</v>
      </c>
      <c r="E1109" t="s">
        <v>69</v>
      </c>
      <c r="F1109" t="s">
        <v>70</v>
      </c>
      <c r="G1109" t="s">
        <v>71</v>
      </c>
      <c r="H1109" t="s">
        <v>72</v>
      </c>
      <c r="I1109" t="s">
        <v>73</v>
      </c>
      <c r="J1109" t="str">
        <f>"46072"</f>
        <v>46072</v>
      </c>
      <c r="K1109" t="s">
        <v>1538</v>
      </c>
      <c r="L1109" t="s">
        <v>75</v>
      </c>
      <c r="M1109" t="s">
        <v>76</v>
      </c>
    </row>
    <row r="1110" spans="2:13" x14ac:dyDescent="0.25">
      <c r="B1110" t="s">
        <v>67</v>
      </c>
      <c r="C1110" t="s">
        <v>571</v>
      </c>
      <c r="D1110" t="s">
        <v>68</v>
      </c>
      <c r="E1110" t="s">
        <v>69</v>
      </c>
      <c r="F1110" t="s">
        <v>70</v>
      </c>
      <c r="G1110" t="s">
        <v>71</v>
      </c>
      <c r="H1110" t="s">
        <v>72</v>
      </c>
      <c r="I1110" t="s">
        <v>73</v>
      </c>
      <c r="J1110" t="str">
        <f>"46073"</f>
        <v>46073</v>
      </c>
      <c r="K1110" t="s">
        <v>1539</v>
      </c>
      <c r="L1110" t="s">
        <v>75</v>
      </c>
      <c r="M1110" t="s">
        <v>76</v>
      </c>
    </row>
    <row r="1111" spans="2:13" x14ac:dyDescent="0.25">
      <c r="B1111" t="s">
        <v>67</v>
      </c>
      <c r="C1111" t="s">
        <v>573</v>
      </c>
      <c r="D1111" t="s">
        <v>68</v>
      </c>
      <c r="E1111" t="s">
        <v>69</v>
      </c>
      <c r="F1111" t="s">
        <v>70</v>
      </c>
      <c r="G1111" t="s">
        <v>71</v>
      </c>
      <c r="H1111" t="s">
        <v>72</v>
      </c>
      <c r="I1111" t="s">
        <v>73</v>
      </c>
      <c r="J1111" t="str">
        <f>"46074"</f>
        <v>46074</v>
      </c>
      <c r="K1111" t="s">
        <v>1540</v>
      </c>
      <c r="L1111" t="s">
        <v>75</v>
      </c>
      <c r="M1111" t="s">
        <v>76</v>
      </c>
    </row>
    <row r="1112" spans="2:13" x14ac:dyDescent="0.25">
      <c r="B1112" t="s">
        <v>67</v>
      </c>
      <c r="C1112" t="s">
        <v>575</v>
      </c>
      <c r="D1112" t="s">
        <v>68</v>
      </c>
      <c r="E1112" t="s">
        <v>69</v>
      </c>
      <c r="F1112" t="s">
        <v>70</v>
      </c>
      <c r="G1112" t="s">
        <v>71</v>
      </c>
      <c r="H1112" t="s">
        <v>72</v>
      </c>
      <c r="I1112" t="s">
        <v>73</v>
      </c>
      <c r="J1112" t="str">
        <f>"46075"</f>
        <v>46075</v>
      </c>
      <c r="K1112" t="s">
        <v>1541</v>
      </c>
      <c r="L1112" t="s">
        <v>75</v>
      </c>
      <c r="M1112" t="s">
        <v>76</v>
      </c>
    </row>
    <row r="1113" spans="2:13" x14ac:dyDescent="0.25">
      <c r="B1113" t="s">
        <v>67</v>
      </c>
      <c r="C1113" t="s">
        <v>577</v>
      </c>
      <c r="D1113" t="s">
        <v>68</v>
      </c>
      <c r="E1113" t="s">
        <v>69</v>
      </c>
      <c r="F1113" t="s">
        <v>70</v>
      </c>
      <c r="G1113" t="s">
        <v>71</v>
      </c>
      <c r="H1113" t="s">
        <v>72</v>
      </c>
      <c r="I1113" t="s">
        <v>73</v>
      </c>
      <c r="J1113" t="str">
        <f>"46076"</f>
        <v>46076</v>
      </c>
      <c r="K1113" t="s">
        <v>1542</v>
      </c>
      <c r="L1113" t="s">
        <v>75</v>
      </c>
      <c r="M1113" t="s">
        <v>76</v>
      </c>
    </row>
    <row r="1114" spans="2:13" x14ac:dyDescent="0.25">
      <c r="B1114" t="s">
        <v>67</v>
      </c>
      <c r="C1114" t="s">
        <v>579</v>
      </c>
      <c r="D1114" t="s">
        <v>68</v>
      </c>
      <c r="E1114" t="s">
        <v>69</v>
      </c>
      <c r="F1114" t="s">
        <v>70</v>
      </c>
      <c r="G1114" t="s">
        <v>71</v>
      </c>
      <c r="H1114" t="s">
        <v>72</v>
      </c>
      <c r="I1114" t="s">
        <v>73</v>
      </c>
      <c r="J1114" t="str">
        <f>"46077"</f>
        <v>46077</v>
      </c>
      <c r="K1114" t="s">
        <v>1543</v>
      </c>
      <c r="L1114" t="s">
        <v>75</v>
      </c>
      <c r="M1114" t="s">
        <v>76</v>
      </c>
    </row>
    <row r="1115" spans="2:13" x14ac:dyDescent="0.25">
      <c r="B1115" t="s">
        <v>67</v>
      </c>
      <c r="C1115" t="s">
        <v>581</v>
      </c>
      <c r="D1115" t="s">
        <v>68</v>
      </c>
      <c r="E1115" t="s">
        <v>69</v>
      </c>
      <c r="F1115" t="s">
        <v>70</v>
      </c>
      <c r="G1115" t="s">
        <v>71</v>
      </c>
      <c r="H1115" t="s">
        <v>72</v>
      </c>
      <c r="I1115" t="s">
        <v>73</v>
      </c>
      <c r="J1115" t="str">
        <f>"46078"</f>
        <v>46078</v>
      </c>
      <c r="K1115" t="s">
        <v>1544</v>
      </c>
      <c r="L1115" t="s">
        <v>75</v>
      </c>
      <c r="M1115" t="s">
        <v>76</v>
      </c>
    </row>
    <row r="1116" spans="2:13" x14ac:dyDescent="0.25">
      <c r="B1116" t="s">
        <v>67</v>
      </c>
      <c r="C1116" t="s">
        <v>583</v>
      </c>
      <c r="D1116" t="s">
        <v>68</v>
      </c>
      <c r="E1116" t="s">
        <v>69</v>
      </c>
      <c r="F1116" t="s">
        <v>70</v>
      </c>
      <c r="G1116" t="s">
        <v>71</v>
      </c>
      <c r="H1116" t="s">
        <v>72</v>
      </c>
      <c r="I1116" t="s">
        <v>73</v>
      </c>
      <c r="J1116" t="str">
        <f>"46079"</f>
        <v>46079</v>
      </c>
      <c r="K1116" t="s">
        <v>1545</v>
      </c>
      <c r="L1116" t="s">
        <v>75</v>
      </c>
      <c r="M1116" t="s">
        <v>76</v>
      </c>
    </row>
    <row r="1117" spans="2:13" x14ac:dyDescent="0.25">
      <c r="B1117" t="s">
        <v>67</v>
      </c>
      <c r="C1117" t="s">
        <v>585</v>
      </c>
      <c r="D1117" t="s">
        <v>68</v>
      </c>
      <c r="E1117" t="s">
        <v>69</v>
      </c>
      <c r="F1117" t="s">
        <v>70</v>
      </c>
      <c r="G1117" t="s">
        <v>71</v>
      </c>
      <c r="H1117" t="s">
        <v>72</v>
      </c>
      <c r="I1117" t="s">
        <v>73</v>
      </c>
      <c r="J1117" t="str">
        <f>"46080"</f>
        <v>46080</v>
      </c>
      <c r="K1117" t="s">
        <v>1546</v>
      </c>
      <c r="L1117" t="s">
        <v>75</v>
      </c>
      <c r="M1117" t="s">
        <v>76</v>
      </c>
    </row>
    <row r="1118" spans="2:13" x14ac:dyDescent="0.25">
      <c r="B1118" t="s">
        <v>67</v>
      </c>
      <c r="C1118" t="s">
        <v>587</v>
      </c>
      <c r="D1118" t="s">
        <v>68</v>
      </c>
      <c r="E1118" t="s">
        <v>69</v>
      </c>
      <c r="F1118" t="s">
        <v>70</v>
      </c>
      <c r="G1118" t="s">
        <v>71</v>
      </c>
      <c r="H1118" t="s">
        <v>72</v>
      </c>
      <c r="I1118" t="s">
        <v>73</v>
      </c>
      <c r="J1118" t="str">
        <f>"46081"</f>
        <v>46081</v>
      </c>
      <c r="K1118" t="s">
        <v>1547</v>
      </c>
      <c r="L1118" t="s">
        <v>75</v>
      </c>
      <c r="M1118" t="s">
        <v>76</v>
      </c>
    </row>
    <row r="1119" spans="2:13" x14ac:dyDescent="0.25">
      <c r="B1119" t="s">
        <v>67</v>
      </c>
      <c r="C1119" t="s">
        <v>589</v>
      </c>
      <c r="D1119" t="s">
        <v>68</v>
      </c>
      <c r="E1119" t="s">
        <v>69</v>
      </c>
      <c r="F1119" t="s">
        <v>70</v>
      </c>
      <c r="G1119" t="s">
        <v>71</v>
      </c>
      <c r="H1119" t="s">
        <v>72</v>
      </c>
      <c r="I1119" t="s">
        <v>73</v>
      </c>
      <c r="J1119" t="str">
        <f>"46082"</f>
        <v>46082</v>
      </c>
      <c r="K1119" t="s">
        <v>1548</v>
      </c>
      <c r="L1119" t="s">
        <v>75</v>
      </c>
      <c r="M1119" t="s">
        <v>76</v>
      </c>
    </row>
    <row r="1120" spans="2:13" x14ac:dyDescent="0.25">
      <c r="B1120" t="s">
        <v>67</v>
      </c>
      <c r="C1120" t="s">
        <v>591</v>
      </c>
      <c r="D1120" t="s">
        <v>68</v>
      </c>
      <c r="E1120" t="s">
        <v>69</v>
      </c>
      <c r="F1120" t="s">
        <v>70</v>
      </c>
      <c r="G1120" t="s">
        <v>71</v>
      </c>
      <c r="H1120" t="s">
        <v>72</v>
      </c>
      <c r="I1120" t="s">
        <v>73</v>
      </c>
      <c r="J1120" t="str">
        <f>"46083"</f>
        <v>46083</v>
      </c>
      <c r="K1120" t="s">
        <v>1549</v>
      </c>
      <c r="L1120" t="s">
        <v>75</v>
      </c>
      <c r="M1120" t="s">
        <v>76</v>
      </c>
    </row>
    <row r="1121" spans="2:13" x14ac:dyDescent="0.25">
      <c r="B1121" t="s">
        <v>67</v>
      </c>
      <c r="C1121" t="s">
        <v>593</v>
      </c>
      <c r="D1121" t="s">
        <v>68</v>
      </c>
      <c r="E1121" t="s">
        <v>69</v>
      </c>
      <c r="F1121" t="s">
        <v>70</v>
      </c>
      <c r="G1121" t="s">
        <v>71</v>
      </c>
      <c r="H1121" t="s">
        <v>72</v>
      </c>
      <c r="I1121" t="s">
        <v>73</v>
      </c>
      <c r="J1121" t="str">
        <f>"46084"</f>
        <v>46084</v>
      </c>
      <c r="K1121" t="s">
        <v>1550</v>
      </c>
      <c r="L1121" t="s">
        <v>75</v>
      </c>
      <c r="M1121" t="s">
        <v>76</v>
      </c>
    </row>
    <row r="1122" spans="2:13" x14ac:dyDescent="0.25">
      <c r="B1122" t="s">
        <v>67</v>
      </c>
      <c r="C1122" t="s">
        <v>595</v>
      </c>
      <c r="D1122" t="s">
        <v>68</v>
      </c>
      <c r="E1122" t="s">
        <v>69</v>
      </c>
      <c r="F1122" t="s">
        <v>70</v>
      </c>
      <c r="G1122" t="s">
        <v>71</v>
      </c>
      <c r="H1122" t="s">
        <v>72</v>
      </c>
      <c r="I1122" t="s">
        <v>73</v>
      </c>
      <c r="J1122" t="str">
        <f>"46085"</f>
        <v>46085</v>
      </c>
      <c r="K1122" t="s">
        <v>1551</v>
      </c>
      <c r="L1122" t="s">
        <v>75</v>
      </c>
      <c r="M1122" t="s">
        <v>76</v>
      </c>
    </row>
    <row r="1123" spans="2:13" x14ac:dyDescent="0.25">
      <c r="B1123" t="s">
        <v>67</v>
      </c>
      <c r="C1123" t="s">
        <v>597</v>
      </c>
      <c r="D1123" t="s">
        <v>68</v>
      </c>
      <c r="E1123" t="s">
        <v>69</v>
      </c>
      <c r="F1123" t="s">
        <v>70</v>
      </c>
      <c r="G1123" t="s">
        <v>71</v>
      </c>
      <c r="H1123" t="s">
        <v>72</v>
      </c>
      <c r="I1123" t="s">
        <v>73</v>
      </c>
      <c r="J1123" t="str">
        <f>"46086"</f>
        <v>46086</v>
      </c>
      <c r="K1123" t="s">
        <v>1552</v>
      </c>
      <c r="L1123" t="s">
        <v>75</v>
      </c>
      <c r="M1123" t="s">
        <v>76</v>
      </c>
    </row>
    <row r="1124" spans="2:13" x14ac:dyDescent="0.25">
      <c r="B1124" t="s">
        <v>67</v>
      </c>
      <c r="C1124" t="s">
        <v>599</v>
      </c>
      <c r="D1124" t="s">
        <v>68</v>
      </c>
      <c r="E1124" t="s">
        <v>69</v>
      </c>
      <c r="F1124" t="s">
        <v>70</v>
      </c>
      <c r="G1124" t="s">
        <v>71</v>
      </c>
      <c r="H1124" t="s">
        <v>72</v>
      </c>
      <c r="I1124" t="s">
        <v>73</v>
      </c>
      <c r="J1124" t="str">
        <f>"46087"</f>
        <v>46087</v>
      </c>
      <c r="K1124" t="s">
        <v>1553</v>
      </c>
      <c r="L1124" t="s">
        <v>75</v>
      </c>
      <c r="M1124" t="s">
        <v>76</v>
      </c>
    </row>
    <row r="1125" spans="2:13" x14ac:dyDescent="0.25">
      <c r="B1125" t="s">
        <v>67</v>
      </c>
      <c r="C1125" t="s">
        <v>601</v>
      </c>
      <c r="D1125" t="s">
        <v>68</v>
      </c>
      <c r="E1125" t="s">
        <v>69</v>
      </c>
      <c r="F1125" t="s">
        <v>70</v>
      </c>
      <c r="G1125" t="s">
        <v>71</v>
      </c>
      <c r="H1125" t="s">
        <v>72</v>
      </c>
      <c r="I1125" t="s">
        <v>73</v>
      </c>
      <c r="J1125" t="str">
        <f>"46088"</f>
        <v>46088</v>
      </c>
      <c r="K1125" t="s">
        <v>1554</v>
      </c>
      <c r="L1125" t="s">
        <v>75</v>
      </c>
      <c r="M1125" t="s">
        <v>76</v>
      </c>
    </row>
    <row r="1126" spans="2:13" x14ac:dyDescent="0.25">
      <c r="B1126" t="s">
        <v>67</v>
      </c>
      <c r="C1126" t="s">
        <v>603</v>
      </c>
      <c r="D1126" t="s">
        <v>68</v>
      </c>
      <c r="E1126" t="s">
        <v>69</v>
      </c>
      <c r="F1126" t="s">
        <v>70</v>
      </c>
      <c r="G1126" t="s">
        <v>71</v>
      </c>
      <c r="H1126" t="s">
        <v>72</v>
      </c>
      <c r="I1126" t="s">
        <v>73</v>
      </c>
      <c r="J1126" t="str">
        <f>"46089"</f>
        <v>46089</v>
      </c>
      <c r="K1126" t="s">
        <v>1555</v>
      </c>
      <c r="L1126" t="s">
        <v>75</v>
      </c>
      <c r="M1126" t="s">
        <v>76</v>
      </c>
    </row>
    <row r="1127" spans="2:13" x14ac:dyDescent="0.25">
      <c r="B1127" t="s">
        <v>67</v>
      </c>
      <c r="C1127" t="s">
        <v>605</v>
      </c>
      <c r="D1127" t="s">
        <v>68</v>
      </c>
      <c r="E1127" t="s">
        <v>69</v>
      </c>
      <c r="F1127" t="s">
        <v>70</v>
      </c>
      <c r="G1127" t="s">
        <v>71</v>
      </c>
      <c r="H1127" t="s">
        <v>72</v>
      </c>
      <c r="I1127" t="s">
        <v>73</v>
      </c>
      <c r="J1127" t="str">
        <f>"46090"</f>
        <v>46090</v>
      </c>
      <c r="K1127" t="s">
        <v>1556</v>
      </c>
      <c r="L1127" t="s">
        <v>75</v>
      </c>
      <c r="M1127" t="s">
        <v>76</v>
      </c>
    </row>
    <row r="1128" spans="2:13" x14ac:dyDescent="0.25">
      <c r="B1128" t="s">
        <v>67</v>
      </c>
      <c r="C1128" t="s">
        <v>607</v>
      </c>
      <c r="D1128" t="s">
        <v>68</v>
      </c>
      <c r="E1128" t="s">
        <v>69</v>
      </c>
      <c r="F1128" t="s">
        <v>70</v>
      </c>
      <c r="G1128" t="s">
        <v>71</v>
      </c>
      <c r="H1128" t="s">
        <v>72</v>
      </c>
      <c r="I1128" t="s">
        <v>73</v>
      </c>
      <c r="J1128" t="str">
        <f>"46091"</f>
        <v>46091</v>
      </c>
      <c r="K1128" t="s">
        <v>1557</v>
      </c>
      <c r="L1128" t="s">
        <v>75</v>
      </c>
      <c r="M1128" t="s">
        <v>76</v>
      </c>
    </row>
    <row r="1129" spans="2:13" x14ac:dyDescent="0.25">
      <c r="B1129" t="s">
        <v>67</v>
      </c>
      <c r="C1129" t="s">
        <v>609</v>
      </c>
      <c r="D1129" t="s">
        <v>68</v>
      </c>
      <c r="E1129" t="s">
        <v>69</v>
      </c>
      <c r="F1129" t="s">
        <v>70</v>
      </c>
      <c r="G1129" t="s">
        <v>71</v>
      </c>
      <c r="H1129" t="s">
        <v>72</v>
      </c>
      <c r="I1129" t="s">
        <v>73</v>
      </c>
      <c r="J1129" t="str">
        <f>"46092"</f>
        <v>46092</v>
      </c>
      <c r="K1129" t="s">
        <v>1558</v>
      </c>
      <c r="L1129" t="s">
        <v>75</v>
      </c>
      <c r="M1129" t="s">
        <v>76</v>
      </c>
    </row>
    <row r="1130" spans="2:13" x14ac:dyDescent="0.25">
      <c r="B1130" t="s">
        <v>67</v>
      </c>
      <c r="C1130" t="s">
        <v>611</v>
      </c>
      <c r="D1130" t="s">
        <v>68</v>
      </c>
      <c r="E1130" t="s">
        <v>69</v>
      </c>
      <c r="F1130" t="s">
        <v>70</v>
      </c>
      <c r="G1130" t="s">
        <v>71</v>
      </c>
      <c r="H1130" t="s">
        <v>72</v>
      </c>
      <c r="I1130" t="s">
        <v>73</v>
      </c>
      <c r="J1130" t="str">
        <f>"46093"</f>
        <v>46093</v>
      </c>
      <c r="K1130" t="s">
        <v>1559</v>
      </c>
      <c r="L1130" t="s">
        <v>75</v>
      </c>
      <c r="M1130" t="s">
        <v>76</v>
      </c>
    </row>
    <row r="1131" spans="2:13" x14ac:dyDescent="0.25">
      <c r="B1131" t="s">
        <v>67</v>
      </c>
      <c r="C1131" t="s">
        <v>613</v>
      </c>
      <c r="D1131" t="s">
        <v>68</v>
      </c>
      <c r="E1131" t="s">
        <v>69</v>
      </c>
      <c r="F1131" t="s">
        <v>70</v>
      </c>
      <c r="G1131" t="s">
        <v>71</v>
      </c>
      <c r="H1131" t="s">
        <v>72</v>
      </c>
      <c r="I1131" t="s">
        <v>73</v>
      </c>
      <c r="J1131" t="str">
        <f>"46094"</f>
        <v>46094</v>
      </c>
      <c r="K1131" t="s">
        <v>1560</v>
      </c>
      <c r="L1131" t="s">
        <v>75</v>
      </c>
      <c r="M1131" t="s">
        <v>76</v>
      </c>
    </row>
    <row r="1132" spans="2:13" x14ac:dyDescent="0.25">
      <c r="B1132" t="s">
        <v>67</v>
      </c>
      <c r="C1132" t="s">
        <v>615</v>
      </c>
      <c r="D1132" t="s">
        <v>68</v>
      </c>
      <c r="E1132" t="s">
        <v>69</v>
      </c>
      <c r="F1132" t="s">
        <v>70</v>
      </c>
      <c r="G1132" t="s">
        <v>71</v>
      </c>
      <c r="H1132" t="s">
        <v>72</v>
      </c>
      <c r="I1132" t="s">
        <v>73</v>
      </c>
      <c r="J1132" t="str">
        <f>"46095"</f>
        <v>46095</v>
      </c>
      <c r="K1132" t="s">
        <v>1561</v>
      </c>
      <c r="L1132" t="s">
        <v>75</v>
      </c>
      <c r="M1132" t="s">
        <v>76</v>
      </c>
    </row>
    <row r="1133" spans="2:13" x14ac:dyDescent="0.25">
      <c r="B1133" t="s">
        <v>67</v>
      </c>
      <c r="C1133" t="s">
        <v>617</v>
      </c>
      <c r="D1133" t="s">
        <v>68</v>
      </c>
      <c r="E1133" t="s">
        <v>69</v>
      </c>
      <c r="F1133" t="s">
        <v>70</v>
      </c>
      <c r="G1133" t="s">
        <v>71</v>
      </c>
      <c r="H1133" t="s">
        <v>72</v>
      </c>
      <c r="I1133" t="s">
        <v>73</v>
      </c>
      <c r="J1133" t="str">
        <f>"46096"</f>
        <v>46096</v>
      </c>
      <c r="K1133" t="s">
        <v>1562</v>
      </c>
      <c r="L1133" t="s">
        <v>75</v>
      </c>
      <c r="M1133" t="s">
        <v>76</v>
      </c>
    </row>
    <row r="1134" spans="2:13" x14ac:dyDescent="0.25">
      <c r="B1134" t="s">
        <v>67</v>
      </c>
      <c r="C1134" t="s">
        <v>619</v>
      </c>
      <c r="D1134" t="s">
        <v>68</v>
      </c>
      <c r="E1134" t="s">
        <v>69</v>
      </c>
      <c r="F1134" t="s">
        <v>70</v>
      </c>
      <c r="G1134" t="s">
        <v>71</v>
      </c>
      <c r="H1134" t="s">
        <v>72</v>
      </c>
      <c r="I1134" t="s">
        <v>73</v>
      </c>
      <c r="J1134" t="str">
        <f>"46097"</f>
        <v>46097</v>
      </c>
      <c r="K1134" t="s">
        <v>1563</v>
      </c>
      <c r="L1134" t="s">
        <v>75</v>
      </c>
      <c r="M1134" t="s">
        <v>76</v>
      </c>
    </row>
    <row r="1135" spans="2:13" x14ac:dyDescent="0.25">
      <c r="B1135" t="s">
        <v>67</v>
      </c>
      <c r="C1135" t="s">
        <v>621</v>
      </c>
      <c r="D1135" t="s">
        <v>68</v>
      </c>
      <c r="E1135" t="s">
        <v>69</v>
      </c>
      <c r="F1135" t="s">
        <v>70</v>
      </c>
      <c r="G1135" t="s">
        <v>71</v>
      </c>
      <c r="H1135" t="s">
        <v>72</v>
      </c>
      <c r="I1135" t="s">
        <v>73</v>
      </c>
      <c r="J1135" t="str">
        <f>"46098"</f>
        <v>46098</v>
      </c>
      <c r="K1135" t="s">
        <v>1564</v>
      </c>
      <c r="L1135" t="s">
        <v>75</v>
      </c>
      <c r="M1135" t="s">
        <v>76</v>
      </c>
    </row>
    <row r="1136" spans="2:13" x14ac:dyDescent="0.25">
      <c r="B1136" t="s">
        <v>67</v>
      </c>
      <c r="C1136" t="s">
        <v>623</v>
      </c>
      <c r="D1136" t="s">
        <v>68</v>
      </c>
      <c r="E1136" t="s">
        <v>69</v>
      </c>
      <c r="F1136" t="s">
        <v>70</v>
      </c>
      <c r="G1136" t="s">
        <v>71</v>
      </c>
      <c r="H1136" t="s">
        <v>72</v>
      </c>
      <c r="I1136" t="s">
        <v>73</v>
      </c>
      <c r="J1136" t="str">
        <f>"46099"</f>
        <v>46099</v>
      </c>
      <c r="K1136" t="s">
        <v>1565</v>
      </c>
      <c r="L1136" t="s">
        <v>75</v>
      </c>
      <c r="M1136" t="s">
        <v>76</v>
      </c>
    </row>
    <row r="1137" spans="2:13" x14ac:dyDescent="0.25">
      <c r="B1137" t="s">
        <v>67</v>
      </c>
      <c r="C1137" t="s">
        <v>625</v>
      </c>
      <c r="D1137" t="s">
        <v>68</v>
      </c>
      <c r="E1137" t="s">
        <v>69</v>
      </c>
      <c r="F1137" t="s">
        <v>70</v>
      </c>
      <c r="G1137" t="s">
        <v>71</v>
      </c>
      <c r="H1137" t="s">
        <v>72</v>
      </c>
      <c r="I1137" t="s">
        <v>73</v>
      </c>
      <c r="J1137" t="str">
        <f>"46100"</f>
        <v>46100</v>
      </c>
      <c r="K1137" t="s">
        <v>1566</v>
      </c>
      <c r="L1137" t="s">
        <v>75</v>
      </c>
      <c r="M1137" t="s">
        <v>76</v>
      </c>
    </row>
    <row r="1138" spans="2:13" x14ac:dyDescent="0.25">
      <c r="B1138" t="s">
        <v>67</v>
      </c>
      <c r="C1138" t="s">
        <v>627</v>
      </c>
      <c r="D1138" t="s">
        <v>68</v>
      </c>
      <c r="E1138" t="s">
        <v>69</v>
      </c>
      <c r="F1138" t="s">
        <v>70</v>
      </c>
      <c r="G1138" t="s">
        <v>71</v>
      </c>
      <c r="H1138" t="s">
        <v>72</v>
      </c>
      <c r="I1138" t="s">
        <v>73</v>
      </c>
      <c r="J1138" t="str">
        <f>"46101"</f>
        <v>46101</v>
      </c>
      <c r="K1138" t="s">
        <v>1567</v>
      </c>
      <c r="L1138" t="s">
        <v>75</v>
      </c>
      <c r="M1138" t="s">
        <v>76</v>
      </c>
    </row>
    <row r="1139" spans="2:13" x14ac:dyDescent="0.25">
      <c r="B1139" t="s">
        <v>67</v>
      </c>
      <c r="C1139" t="s">
        <v>629</v>
      </c>
      <c r="D1139" t="s">
        <v>68</v>
      </c>
      <c r="E1139" t="s">
        <v>69</v>
      </c>
      <c r="F1139" t="s">
        <v>70</v>
      </c>
      <c r="G1139" t="s">
        <v>71</v>
      </c>
      <c r="H1139" t="s">
        <v>72</v>
      </c>
      <c r="I1139" t="s">
        <v>73</v>
      </c>
      <c r="J1139" t="str">
        <f>"46102"</f>
        <v>46102</v>
      </c>
      <c r="K1139" t="s">
        <v>1568</v>
      </c>
      <c r="L1139" t="s">
        <v>75</v>
      </c>
      <c r="M1139" t="s">
        <v>76</v>
      </c>
    </row>
    <row r="1140" spans="2:13" x14ac:dyDescent="0.25">
      <c r="B1140" t="s">
        <v>67</v>
      </c>
      <c r="C1140" t="s">
        <v>631</v>
      </c>
      <c r="D1140" t="s">
        <v>68</v>
      </c>
      <c r="E1140" t="s">
        <v>69</v>
      </c>
      <c r="F1140" t="s">
        <v>70</v>
      </c>
      <c r="G1140" t="s">
        <v>71</v>
      </c>
      <c r="H1140" t="s">
        <v>72</v>
      </c>
      <c r="I1140" t="s">
        <v>73</v>
      </c>
      <c r="J1140" t="str">
        <f>"46103"</f>
        <v>46103</v>
      </c>
      <c r="K1140" t="s">
        <v>1569</v>
      </c>
      <c r="L1140" t="s">
        <v>75</v>
      </c>
      <c r="M1140" t="s">
        <v>76</v>
      </c>
    </row>
    <row r="1141" spans="2:13" x14ac:dyDescent="0.25">
      <c r="B1141" t="s">
        <v>67</v>
      </c>
      <c r="C1141" t="s">
        <v>633</v>
      </c>
      <c r="D1141" t="s">
        <v>68</v>
      </c>
      <c r="E1141" t="s">
        <v>69</v>
      </c>
      <c r="F1141" t="s">
        <v>70</v>
      </c>
      <c r="G1141" t="s">
        <v>71</v>
      </c>
      <c r="H1141" t="s">
        <v>72</v>
      </c>
      <c r="I1141" t="s">
        <v>73</v>
      </c>
      <c r="J1141" t="str">
        <f>"46104"</f>
        <v>46104</v>
      </c>
      <c r="K1141" t="s">
        <v>1570</v>
      </c>
      <c r="L1141" t="s">
        <v>75</v>
      </c>
      <c r="M1141" t="s">
        <v>76</v>
      </c>
    </row>
    <row r="1142" spans="2:13" x14ac:dyDescent="0.25">
      <c r="B1142" t="s">
        <v>67</v>
      </c>
      <c r="C1142" t="s">
        <v>635</v>
      </c>
      <c r="D1142" t="s">
        <v>68</v>
      </c>
      <c r="E1142" t="s">
        <v>69</v>
      </c>
      <c r="F1142" t="s">
        <v>70</v>
      </c>
      <c r="G1142" t="s">
        <v>71</v>
      </c>
      <c r="H1142" t="s">
        <v>72</v>
      </c>
      <c r="I1142" t="s">
        <v>73</v>
      </c>
      <c r="J1142" t="str">
        <f>"46105"</f>
        <v>46105</v>
      </c>
      <c r="K1142" t="s">
        <v>1571</v>
      </c>
      <c r="L1142" t="s">
        <v>75</v>
      </c>
      <c r="M1142" t="s">
        <v>76</v>
      </c>
    </row>
    <row r="1143" spans="2:13" x14ac:dyDescent="0.25">
      <c r="B1143" t="s">
        <v>67</v>
      </c>
      <c r="C1143" t="s">
        <v>637</v>
      </c>
      <c r="D1143" t="s">
        <v>68</v>
      </c>
      <c r="E1143" t="s">
        <v>69</v>
      </c>
      <c r="F1143" t="s">
        <v>70</v>
      </c>
      <c r="G1143" t="s">
        <v>71</v>
      </c>
      <c r="H1143" t="s">
        <v>72</v>
      </c>
      <c r="I1143" t="s">
        <v>73</v>
      </c>
      <c r="J1143" t="str">
        <f>"46106"</f>
        <v>46106</v>
      </c>
      <c r="K1143" t="s">
        <v>1572</v>
      </c>
      <c r="L1143" t="s">
        <v>75</v>
      </c>
      <c r="M1143" t="s">
        <v>76</v>
      </c>
    </row>
    <row r="1144" spans="2:13" x14ac:dyDescent="0.25">
      <c r="B1144" t="s">
        <v>67</v>
      </c>
      <c r="C1144" t="s">
        <v>639</v>
      </c>
      <c r="D1144" t="s">
        <v>68</v>
      </c>
      <c r="E1144" t="s">
        <v>69</v>
      </c>
      <c r="F1144" t="s">
        <v>70</v>
      </c>
      <c r="G1144" t="s">
        <v>71</v>
      </c>
      <c r="H1144" t="s">
        <v>72</v>
      </c>
      <c r="I1144" t="s">
        <v>73</v>
      </c>
      <c r="J1144" t="str">
        <f>"46107"</f>
        <v>46107</v>
      </c>
      <c r="K1144" t="s">
        <v>1573</v>
      </c>
      <c r="L1144" t="s">
        <v>75</v>
      </c>
      <c r="M1144" t="s">
        <v>76</v>
      </c>
    </row>
    <row r="1145" spans="2:13" x14ac:dyDescent="0.25">
      <c r="B1145" t="s">
        <v>67</v>
      </c>
      <c r="C1145" t="s">
        <v>641</v>
      </c>
      <c r="D1145" t="s">
        <v>68</v>
      </c>
      <c r="E1145" t="s">
        <v>69</v>
      </c>
      <c r="F1145" t="s">
        <v>70</v>
      </c>
      <c r="G1145" t="s">
        <v>71</v>
      </c>
      <c r="H1145" t="s">
        <v>72</v>
      </c>
      <c r="I1145" t="s">
        <v>73</v>
      </c>
      <c r="J1145" t="str">
        <f>"46108"</f>
        <v>46108</v>
      </c>
      <c r="K1145" t="s">
        <v>1574</v>
      </c>
      <c r="L1145" t="s">
        <v>75</v>
      </c>
      <c r="M1145" t="s">
        <v>76</v>
      </c>
    </row>
    <row r="1146" spans="2:13" x14ac:dyDescent="0.25">
      <c r="B1146" t="s">
        <v>67</v>
      </c>
      <c r="C1146" t="s">
        <v>643</v>
      </c>
      <c r="D1146" t="s">
        <v>68</v>
      </c>
      <c r="E1146" t="s">
        <v>69</v>
      </c>
      <c r="F1146" t="s">
        <v>70</v>
      </c>
      <c r="G1146" t="s">
        <v>71</v>
      </c>
      <c r="H1146" t="s">
        <v>72</v>
      </c>
      <c r="I1146" t="s">
        <v>73</v>
      </c>
      <c r="J1146" t="str">
        <f>"46109"</f>
        <v>46109</v>
      </c>
      <c r="K1146" t="s">
        <v>1575</v>
      </c>
      <c r="L1146" t="s">
        <v>75</v>
      </c>
      <c r="M1146" t="s">
        <v>76</v>
      </c>
    </row>
    <row r="1147" spans="2:13" x14ac:dyDescent="0.25">
      <c r="B1147" t="s">
        <v>67</v>
      </c>
      <c r="C1147" t="s">
        <v>645</v>
      </c>
      <c r="D1147" t="s">
        <v>68</v>
      </c>
      <c r="E1147" t="s">
        <v>69</v>
      </c>
      <c r="F1147" t="s">
        <v>70</v>
      </c>
      <c r="G1147" t="s">
        <v>71</v>
      </c>
      <c r="H1147" t="s">
        <v>72</v>
      </c>
      <c r="I1147" t="s">
        <v>73</v>
      </c>
      <c r="J1147" t="str">
        <f>"46110"</f>
        <v>46110</v>
      </c>
      <c r="K1147" t="s">
        <v>1576</v>
      </c>
      <c r="L1147" t="s">
        <v>75</v>
      </c>
      <c r="M1147" t="s">
        <v>76</v>
      </c>
    </row>
    <row r="1148" spans="2:13" x14ac:dyDescent="0.25">
      <c r="B1148" t="s">
        <v>67</v>
      </c>
      <c r="C1148" t="s">
        <v>647</v>
      </c>
      <c r="D1148" t="s">
        <v>68</v>
      </c>
      <c r="E1148" t="s">
        <v>69</v>
      </c>
      <c r="F1148" t="s">
        <v>70</v>
      </c>
      <c r="G1148" t="s">
        <v>71</v>
      </c>
      <c r="H1148" t="s">
        <v>72</v>
      </c>
      <c r="I1148" t="s">
        <v>73</v>
      </c>
      <c r="J1148" t="str">
        <f>"46111"</f>
        <v>46111</v>
      </c>
      <c r="K1148" t="s">
        <v>1577</v>
      </c>
      <c r="L1148" t="s">
        <v>75</v>
      </c>
      <c r="M1148" t="s">
        <v>76</v>
      </c>
    </row>
    <row r="1149" spans="2:13" x14ac:dyDescent="0.25">
      <c r="B1149" t="s">
        <v>67</v>
      </c>
      <c r="C1149" t="s">
        <v>649</v>
      </c>
      <c r="D1149" t="s">
        <v>68</v>
      </c>
      <c r="E1149" t="s">
        <v>69</v>
      </c>
      <c r="F1149" t="s">
        <v>70</v>
      </c>
      <c r="G1149" t="s">
        <v>71</v>
      </c>
      <c r="H1149" t="s">
        <v>72</v>
      </c>
      <c r="I1149" t="s">
        <v>73</v>
      </c>
      <c r="J1149" t="str">
        <f>"46112"</f>
        <v>46112</v>
      </c>
      <c r="K1149" t="s">
        <v>1578</v>
      </c>
      <c r="L1149" t="s">
        <v>75</v>
      </c>
      <c r="M1149" t="s">
        <v>76</v>
      </c>
    </row>
    <row r="1150" spans="2:13" x14ac:dyDescent="0.25">
      <c r="B1150" t="s">
        <v>67</v>
      </c>
      <c r="C1150" t="s">
        <v>651</v>
      </c>
      <c r="D1150" t="s">
        <v>68</v>
      </c>
      <c r="E1150" t="s">
        <v>69</v>
      </c>
      <c r="F1150" t="s">
        <v>70</v>
      </c>
      <c r="G1150" t="s">
        <v>71</v>
      </c>
      <c r="H1150" t="s">
        <v>72</v>
      </c>
      <c r="I1150" t="s">
        <v>73</v>
      </c>
      <c r="J1150" t="str">
        <f>"46113"</f>
        <v>46113</v>
      </c>
      <c r="K1150" t="s">
        <v>1579</v>
      </c>
      <c r="L1150" t="s">
        <v>75</v>
      </c>
      <c r="M1150" t="s">
        <v>76</v>
      </c>
    </row>
    <row r="1151" spans="2:13" x14ac:dyDescent="0.25">
      <c r="B1151" t="s">
        <v>67</v>
      </c>
      <c r="C1151" t="s">
        <v>653</v>
      </c>
      <c r="D1151" t="s">
        <v>68</v>
      </c>
      <c r="E1151" t="s">
        <v>69</v>
      </c>
      <c r="F1151" t="s">
        <v>70</v>
      </c>
      <c r="G1151" t="s">
        <v>71</v>
      </c>
      <c r="H1151" t="s">
        <v>72</v>
      </c>
      <c r="I1151" t="s">
        <v>73</v>
      </c>
      <c r="J1151" t="str">
        <f>"46114"</f>
        <v>46114</v>
      </c>
      <c r="K1151" t="s">
        <v>1580</v>
      </c>
      <c r="L1151" t="s">
        <v>75</v>
      </c>
      <c r="M1151" t="s">
        <v>76</v>
      </c>
    </row>
    <row r="1152" spans="2:13" x14ac:dyDescent="0.25">
      <c r="B1152" t="s">
        <v>67</v>
      </c>
      <c r="C1152" t="s">
        <v>655</v>
      </c>
      <c r="D1152" t="s">
        <v>68</v>
      </c>
      <c r="E1152" t="s">
        <v>69</v>
      </c>
      <c r="F1152" t="s">
        <v>70</v>
      </c>
      <c r="G1152" t="s">
        <v>71</v>
      </c>
      <c r="H1152" t="s">
        <v>72</v>
      </c>
      <c r="I1152" t="s">
        <v>73</v>
      </c>
      <c r="J1152" t="str">
        <f>"46115"</f>
        <v>46115</v>
      </c>
      <c r="K1152" t="s">
        <v>1581</v>
      </c>
      <c r="L1152" t="s">
        <v>75</v>
      </c>
      <c r="M1152" t="s">
        <v>76</v>
      </c>
    </row>
    <row r="1153" spans="2:13" x14ac:dyDescent="0.25">
      <c r="B1153" t="s">
        <v>67</v>
      </c>
      <c r="C1153" t="s">
        <v>657</v>
      </c>
      <c r="D1153" t="s">
        <v>68</v>
      </c>
      <c r="E1153" t="s">
        <v>69</v>
      </c>
      <c r="F1153" t="s">
        <v>70</v>
      </c>
      <c r="G1153" t="s">
        <v>71</v>
      </c>
      <c r="H1153" t="s">
        <v>72</v>
      </c>
      <c r="I1153" t="s">
        <v>73</v>
      </c>
      <c r="J1153" t="str">
        <f>"46116"</f>
        <v>46116</v>
      </c>
      <c r="K1153" t="s">
        <v>1582</v>
      </c>
      <c r="L1153" t="s">
        <v>75</v>
      </c>
      <c r="M1153" t="s">
        <v>76</v>
      </c>
    </row>
    <row r="1154" spans="2:13" x14ac:dyDescent="0.25">
      <c r="B1154" t="s">
        <v>67</v>
      </c>
      <c r="C1154" t="s">
        <v>659</v>
      </c>
      <c r="D1154" t="s">
        <v>68</v>
      </c>
      <c r="E1154" t="s">
        <v>69</v>
      </c>
      <c r="F1154" t="s">
        <v>70</v>
      </c>
      <c r="G1154" t="s">
        <v>71</v>
      </c>
      <c r="H1154" t="s">
        <v>72</v>
      </c>
      <c r="I1154" t="s">
        <v>73</v>
      </c>
      <c r="J1154" t="str">
        <f>"46117"</f>
        <v>46117</v>
      </c>
      <c r="K1154" t="s">
        <v>1583</v>
      </c>
      <c r="L1154" t="s">
        <v>75</v>
      </c>
      <c r="M1154" t="s">
        <v>76</v>
      </c>
    </row>
    <row r="1155" spans="2:13" x14ac:dyDescent="0.25">
      <c r="B1155" t="s">
        <v>67</v>
      </c>
      <c r="C1155" t="s">
        <v>661</v>
      </c>
      <c r="D1155" t="s">
        <v>68</v>
      </c>
      <c r="E1155" t="s">
        <v>69</v>
      </c>
      <c r="F1155" t="s">
        <v>70</v>
      </c>
      <c r="G1155" t="s">
        <v>71</v>
      </c>
      <c r="H1155" t="s">
        <v>72</v>
      </c>
      <c r="I1155" t="s">
        <v>73</v>
      </c>
      <c r="J1155" t="str">
        <f>"46118"</f>
        <v>46118</v>
      </c>
      <c r="K1155" t="s">
        <v>1584</v>
      </c>
      <c r="L1155" t="s">
        <v>75</v>
      </c>
      <c r="M1155" t="s">
        <v>76</v>
      </c>
    </row>
    <row r="1156" spans="2:13" x14ac:dyDescent="0.25">
      <c r="B1156" t="s">
        <v>67</v>
      </c>
      <c r="C1156" t="s">
        <v>663</v>
      </c>
      <c r="D1156" t="s">
        <v>68</v>
      </c>
      <c r="E1156" t="s">
        <v>69</v>
      </c>
      <c r="F1156" t="s">
        <v>70</v>
      </c>
      <c r="G1156" t="s">
        <v>71</v>
      </c>
      <c r="H1156" t="s">
        <v>72</v>
      </c>
      <c r="I1156" t="s">
        <v>73</v>
      </c>
      <c r="J1156" t="str">
        <f>"46119"</f>
        <v>46119</v>
      </c>
      <c r="K1156" t="s">
        <v>1585</v>
      </c>
      <c r="L1156" t="s">
        <v>75</v>
      </c>
      <c r="M1156" t="s">
        <v>76</v>
      </c>
    </row>
    <row r="1157" spans="2:13" x14ac:dyDescent="0.25">
      <c r="B1157" t="s">
        <v>67</v>
      </c>
      <c r="C1157" t="s">
        <v>665</v>
      </c>
      <c r="D1157" t="s">
        <v>68</v>
      </c>
      <c r="E1157" t="s">
        <v>69</v>
      </c>
      <c r="F1157" t="s">
        <v>70</v>
      </c>
      <c r="G1157" t="s">
        <v>71</v>
      </c>
      <c r="H1157" t="s">
        <v>72</v>
      </c>
      <c r="I1157" t="s">
        <v>73</v>
      </c>
      <c r="J1157" t="str">
        <f>"46120"</f>
        <v>46120</v>
      </c>
      <c r="K1157" t="s">
        <v>1586</v>
      </c>
      <c r="L1157" t="s">
        <v>75</v>
      </c>
      <c r="M1157" t="s">
        <v>76</v>
      </c>
    </row>
    <row r="1158" spans="2:13" x14ac:dyDescent="0.25">
      <c r="B1158" t="s">
        <v>67</v>
      </c>
      <c r="C1158" t="s">
        <v>667</v>
      </c>
      <c r="D1158" t="s">
        <v>68</v>
      </c>
      <c r="E1158" t="s">
        <v>69</v>
      </c>
      <c r="F1158" t="s">
        <v>70</v>
      </c>
      <c r="G1158" t="s">
        <v>71</v>
      </c>
      <c r="H1158" t="s">
        <v>72</v>
      </c>
      <c r="I1158" t="s">
        <v>73</v>
      </c>
      <c r="J1158" t="str">
        <f>"46121"</f>
        <v>46121</v>
      </c>
      <c r="K1158" t="s">
        <v>1587</v>
      </c>
      <c r="L1158" t="s">
        <v>75</v>
      </c>
      <c r="M1158" t="s">
        <v>76</v>
      </c>
    </row>
    <row r="1159" spans="2:13" x14ac:dyDescent="0.25">
      <c r="B1159" t="s">
        <v>67</v>
      </c>
      <c r="C1159" t="s">
        <v>669</v>
      </c>
      <c r="D1159" t="s">
        <v>68</v>
      </c>
      <c r="E1159" t="s">
        <v>69</v>
      </c>
      <c r="F1159" t="s">
        <v>70</v>
      </c>
      <c r="G1159" t="s">
        <v>71</v>
      </c>
      <c r="H1159" t="s">
        <v>72</v>
      </c>
      <c r="I1159" t="s">
        <v>73</v>
      </c>
      <c r="J1159" t="str">
        <f>"46122"</f>
        <v>46122</v>
      </c>
      <c r="K1159" t="s">
        <v>1588</v>
      </c>
      <c r="L1159" t="s">
        <v>75</v>
      </c>
      <c r="M1159" t="s">
        <v>76</v>
      </c>
    </row>
    <row r="1160" spans="2:13" x14ac:dyDescent="0.25">
      <c r="B1160" t="s">
        <v>67</v>
      </c>
      <c r="C1160" t="s">
        <v>671</v>
      </c>
      <c r="D1160" t="s">
        <v>68</v>
      </c>
      <c r="E1160" t="s">
        <v>69</v>
      </c>
      <c r="F1160" t="s">
        <v>70</v>
      </c>
      <c r="G1160" t="s">
        <v>71</v>
      </c>
      <c r="H1160" t="s">
        <v>72</v>
      </c>
      <c r="I1160" t="s">
        <v>73</v>
      </c>
      <c r="J1160" t="str">
        <f>"46123"</f>
        <v>46123</v>
      </c>
      <c r="K1160" t="s">
        <v>1589</v>
      </c>
      <c r="L1160" t="s">
        <v>75</v>
      </c>
      <c r="M1160" t="s">
        <v>76</v>
      </c>
    </row>
    <row r="1161" spans="2:13" x14ac:dyDescent="0.25">
      <c r="B1161" t="s">
        <v>67</v>
      </c>
      <c r="C1161" t="s">
        <v>673</v>
      </c>
      <c r="D1161" t="s">
        <v>68</v>
      </c>
      <c r="E1161" t="s">
        <v>69</v>
      </c>
      <c r="F1161" t="s">
        <v>70</v>
      </c>
      <c r="G1161" t="s">
        <v>71</v>
      </c>
      <c r="H1161" t="s">
        <v>72</v>
      </c>
      <c r="I1161" t="s">
        <v>73</v>
      </c>
      <c r="J1161" t="str">
        <f>"46124"</f>
        <v>46124</v>
      </c>
      <c r="K1161" t="s">
        <v>1590</v>
      </c>
      <c r="L1161" t="s">
        <v>75</v>
      </c>
      <c r="M1161" t="s">
        <v>76</v>
      </c>
    </row>
    <row r="1162" spans="2:13" x14ac:dyDescent="0.25">
      <c r="B1162" t="s">
        <v>67</v>
      </c>
      <c r="C1162" t="s">
        <v>675</v>
      </c>
      <c r="D1162" t="s">
        <v>68</v>
      </c>
      <c r="E1162" t="s">
        <v>69</v>
      </c>
      <c r="F1162" t="s">
        <v>70</v>
      </c>
      <c r="G1162" t="s">
        <v>71</v>
      </c>
      <c r="H1162" t="s">
        <v>72</v>
      </c>
      <c r="I1162" t="s">
        <v>73</v>
      </c>
      <c r="J1162" t="str">
        <f>"46125"</f>
        <v>46125</v>
      </c>
      <c r="K1162" t="s">
        <v>1591</v>
      </c>
      <c r="L1162" t="s">
        <v>75</v>
      </c>
      <c r="M1162" t="s">
        <v>76</v>
      </c>
    </row>
    <row r="1163" spans="2:13" x14ac:dyDescent="0.25">
      <c r="B1163" t="s">
        <v>67</v>
      </c>
      <c r="C1163" t="s">
        <v>677</v>
      </c>
      <c r="D1163" t="s">
        <v>68</v>
      </c>
      <c r="E1163" t="s">
        <v>69</v>
      </c>
      <c r="F1163" t="s">
        <v>70</v>
      </c>
      <c r="G1163" t="s">
        <v>71</v>
      </c>
      <c r="H1163" t="s">
        <v>72</v>
      </c>
      <c r="I1163" t="s">
        <v>73</v>
      </c>
      <c r="J1163" t="str">
        <f>"46126"</f>
        <v>46126</v>
      </c>
      <c r="K1163" t="s">
        <v>1592</v>
      </c>
      <c r="L1163" t="s">
        <v>75</v>
      </c>
      <c r="M1163" t="s">
        <v>76</v>
      </c>
    </row>
    <row r="1164" spans="2:13" x14ac:dyDescent="0.25">
      <c r="B1164" t="s">
        <v>67</v>
      </c>
      <c r="C1164" t="s">
        <v>679</v>
      </c>
      <c r="D1164" t="s">
        <v>68</v>
      </c>
      <c r="E1164" t="s">
        <v>69</v>
      </c>
      <c r="F1164" t="s">
        <v>70</v>
      </c>
      <c r="G1164" t="s">
        <v>71</v>
      </c>
      <c r="H1164" t="s">
        <v>72</v>
      </c>
      <c r="I1164" t="s">
        <v>73</v>
      </c>
      <c r="J1164" t="str">
        <f>"46127"</f>
        <v>46127</v>
      </c>
      <c r="K1164" t="s">
        <v>1593</v>
      </c>
      <c r="L1164" t="s">
        <v>75</v>
      </c>
      <c r="M1164" t="s">
        <v>76</v>
      </c>
    </row>
    <row r="1165" spans="2:13" x14ac:dyDescent="0.25">
      <c r="B1165" t="s">
        <v>67</v>
      </c>
      <c r="C1165" t="s">
        <v>681</v>
      </c>
      <c r="D1165" t="s">
        <v>68</v>
      </c>
      <c r="E1165" t="s">
        <v>69</v>
      </c>
      <c r="F1165" t="s">
        <v>70</v>
      </c>
      <c r="G1165" t="s">
        <v>71</v>
      </c>
      <c r="H1165" t="s">
        <v>72</v>
      </c>
      <c r="I1165" t="s">
        <v>73</v>
      </c>
      <c r="J1165" t="str">
        <f>"46128"</f>
        <v>46128</v>
      </c>
      <c r="K1165" t="s">
        <v>1594</v>
      </c>
      <c r="L1165" t="s">
        <v>75</v>
      </c>
      <c r="M1165" t="s">
        <v>76</v>
      </c>
    </row>
    <row r="1166" spans="2:13" x14ac:dyDescent="0.25">
      <c r="B1166" t="s">
        <v>67</v>
      </c>
      <c r="C1166" t="s">
        <v>683</v>
      </c>
      <c r="D1166" t="s">
        <v>68</v>
      </c>
      <c r="E1166" t="s">
        <v>69</v>
      </c>
      <c r="F1166" t="s">
        <v>70</v>
      </c>
      <c r="G1166" t="s">
        <v>71</v>
      </c>
      <c r="H1166" t="s">
        <v>72</v>
      </c>
      <c r="I1166" t="s">
        <v>73</v>
      </c>
      <c r="J1166" t="str">
        <f>"46129"</f>
        <v>46129</v>
      </c>
      <c r="K1166" t="s">
        <v>1595</v>
      </c>
      <c r="L1166" t="s">
        <v>75</v>
      </c>
      <c r="M1166" t="s">
        <v>76</v>
      </c>
    </row>
    <row r="1167" spans="2:13" x14ac:dyDescent="0.25">
      <c r="B1167" t="s">
        <v>67</v>
      </c>
      <c r="C1167" t="s">
        <v>685</v>
      </c>
      <c r="D1167" t="s">
        <v>68</v>
      </c>
      <c r="E1167" t="s">
        <v>69</v>
      </c>
      <c r="F1167" t="s">
        <v>70</v>
      </c>
      <c r="G1167" t="s">
        <v>71</v>
      </c>
      <c r="H1167" t="s">
        <v>72</v>
      </c>
      <c r="I1167" t="s">
        <v>73</v>
      </c>
      <c r="J1167" t="str">
        <f>"46130"</f>
        <v>46130</v>
      </c>
      <c r="K1167" t="s">
        <v>1596</v>
      </c>
      <c r="L1167" t="s">
        <v>75</v>
      </c>
      <c r="M1167" t="s">
        <v>76</v>
      </c>
    </row>
    <row r="1168" spans="2:13" x14ac:dyDescent="0.25">
      <c r="B1168" t="s">
        <v>67</v>
      </c>
      <c r="C1168" t="s">
        <v>687</v>
      </c>
      <c r="D1168" t="s">
        <v>68</v>
      </c>
      <c r="E1168" t="s">
        <v>69</v>
      </c>
      <c r="F1168" t="s">
        <v>70</v>
      </c>
      <c r="G1168" t="s">
        <v>71</v>
      </c>
      <c r="H1168" t="s">
        <v>72</v>
      </c>
      <c r="I1168" t="s">
        <v>73</v>
      </c>
      <c r="J1168" t="str">
        <f>"46131"</f>
        <v>46131</v>
      </c>
      <c r="K1168" t="s">
        <v>1597</v>
      </c>
      <c r="L1168" t="s">
        <v>75</v>
      </c>
      <c r="M1168" t="s">
        <v>76</v>
      </c>
    </row>
    <row r="1169" spans="2:13" x14ac:dyDescent="0.25">
      <c r="B1169" t="s">
        <v>67</v>
      </c>
      <c r="C1169" t="s">
        <v>689</v>
      </c>
      <c r="D1169" t="s">
        <v>68</v>
      </c>
      <c r="E1169" t="s">
        <v>69</v>
      </c>
      <c r="F1169" t="s">
        <v>70</v>
      </c>
      <c r="G1169" t="s">
        <v>71</v>
      </c>
      <c r="H1169" t="s">
        <v>72</v>
      </c>
      <c r="I1169" t="s">
        <v>73</v>
      </c>
      <c r="J1169" t="str">
        <f>"46132"</f>
        <v>46132</v>
      </c>
      <c r="K1169" t="s">
        <v>1598</v>
      </c>
      <c r="L1169" t="s">
        <v>75</v>
      </c>
      <c r="M1169" t="s">
        <v>76</v>
      </c>
    </row>
    <row r="1170" spans="2:13" x14ac:dyDescent="0.25">
      <c r="B1170" t="s">
        <v>67</v>
      </c>
      <c r="C1170" t="s">
        <v>691</v>
      </c>
      <c r="D1170" t="s">
        <v>68</v>
      </c>
      <c r="E1170" t="s">
        <v>69</v>
      </c>
      <c r="F1170" t="s">
        <v>70</v>
      </c>
      <c r="G1170" t="s">
        <v>71</v>
      </c>
      <c r="H1170" t="s">
        <v>72</v>
      </c>
      <c r="I1170" t="s">
        <v>73</v>
      </c>
      <c r="J1170" t="str">
        <f>"46133"</f>
        <v>46133</v>
      </c>
      <c r="K1170" t="s">
        <v>1599</v>
      </c>
      <c r="L1170" t="s">
        <v>75</v>
      </c>
      <c r="M1170" t="s">
        <v>76</v>
      </c>
    </row>
    <row r="1171" spans="2:13" x14ac:dyDescent="0.25">
      <c r="B1171" t="s">
        <v>67</v>
      </c>
      <c r="C1171" t="s">
        <v>693</v>
      </c>
      <c r="D1171" t="s">
        <v>68</v>
      </c>
      <c r="E1171" t="s">
        <v>69</v>
      </c>
      <c r="F1171" t="s">
        <v>70</v>
      </c>
      <c r="G1171" t="s">
        <v>71</v>
      </c>
      <c r="H1171" t="s">
        <v>72</v>
      </c>
      <c r="I1171" t="s">
        <v>73</v>
      </c>
      <c r="J1171" t="str">
        <f>"46134"</f>
        <v>46134</v>
      </c>
      <c r="K1171" t="s">
        <v>1600</v>
      </c>
      <c r="L1171" t="s">
        <v>75</v>
      </c>
      <c r="M1171" t="s">
        <v>76</v>
      </c>
    </row>
    <row r="1172" spans="2:13" x14ac:dyDescent="0.25">
      <c r="B1172" t="s">
        <v>67</v>
      </c>
      <c r="C1172" t="s">
        <v>695</v>
      </c>
      <c r="D1172" t="s">
        <v>68</v>
      </c>
      <c r="E1172" t="s">
        <v>69</v>
      </c>
      <c r="F1172" t="s">
        <v>70</v>
      </c>
      <c r="G1172" t="s">
        <v>71</v>
      </c>
      <c r="H1172" t="s">
        <v>72</v>
      </c>
      <c r="I1172" t="s">
        <v>73</v>
      </c>
      <c r="J1172" t="str">
        <f>"46135"</f>
        <v>46135</v>
      </c>
      <c r="K1172" t="s">
        <v>1601</v>
      </c>
      <c r="L1172" t="s">
        <v>75</v>
      </c>
      <c r="M1172" t="s">
        <v>76</v>
      </c>
    </row>
    <row r="1173" spans="2:13" x14ac:dyDescent="0.25">
      <c r="B1173" t="s">
        <v>67</v>
      </c>
      <c r="C1173" t="s">
        <v>697</v>
      </c>
      <c r="D1173" t="s">
        <v>68</v>
      </c>
      <c r="E1173" t="s">
        <v>69</v>
      </c>
      <c r="F1173" t="s">
        <v>70</v>
      </c>
      <c r="G1173" t="s">
        <v>71</v>
      </c>
      <c r="H1173" t="s">
        <v>72</v>
      </c>
      <c r="I1173" t="s">
        <v>73</v>
      </c>
      <c r="J1173" t="str">
        <f>"46136"</f>
        <v>46136</v>
      </c>
      <c r="K1173" t="s">
        <v>1602</v>
      </c>
      <c r="L1173" t="s">
        <v>75</v>
      </c>
      <c r="M1173" t="s">
        <v>76</v>
      </c>
    </row>
    <row r="1174" spans="2:13" x14ac:dyDescent="0.25">
      <c r="B1174" t="s">
        <v>67</v>
      </c>
      <c r="C1174" t="s">
        <v>699</v>
      </c>
      <c r="D1174" t="s">
        <v>68</v>
      </c>
      <c r="E1174" t="s">
        <v>69</v>
      </c>
      <c r="F1174" t="s">
        <v>70</v>
      </c>
      <c r="G1174" t="s">
        <v>71</v>
      </c>
      <c r="H1174" t="s">
        <v>72</v>
      </c>
      <c r="I1174" t="s">
        <v>73</v>
      </c>
      <c r="J1174" t="str">
        <f>"46137"</f>
        <v>46137</v>
      </c>
      <c r="K1174" t="s">
        <v>1603</v>
      </c>
      <c r="L1174" t="s">
        <v>75</v>
      </c>
      <c r="M1174" t="s">
        <v>76</v>
      </c>
    </row>
    <row r="1175" spans="2:13" x14ac:dyDescent="0.25">
      <c r="B1175" t="s">
        <v>67</v>
      </c>
      <c r="C1175" t="s">
        <v>701</v>
      </c>
      <c r="D1175" t="s">
        <v>68</v>
      </c>
      <c r="E1175" t="s">
        <v>69</v>
      </c>
      <c r="F1175" t="s">
        <v>70</v>
      </c>
      <c r="G1175" t="s">
        <v>71</v>
      </c>
      <c r="H1175" t="s">
        <v>72</v>
      </c>
      <c r="I1175" t="s">
        <v>73</v>
      </c>
      <c r="J1175" t="str">
        <f>"46138"</f>
        <v>46138</v>
      </c>
      <c r="K1175" t="s">
        <v>1604</v>
      </c>
      <c r="L1175" t="s">
        <v>75</v>
      </c>
      <c r="M1175" t="s">
        <v>76</v>
      </c>
    </row>
    <row r="1176" spans="2:13" x14ac:dyDescent="0.25">
      <c r="B1176" t="s">
        <v>67</v>
      </c>
      <c r="C1176" t="s">
        <v>703</v>
      </c>
      <c r="D1176" t="s">
        <v>68</v>
      </c>
      <c r="E1176" t="s">
        <v>69</v>
      </c>
      <c r="F1176" t="s">
        <v>70</v>
      </c>
      <c r="G1176" t="s">
        <v>71</v>
      </c>
      <c r="H1176" t="s">
        <v>72</v>
      </c>
      <c r="I1176" t="s">
        <v>73</v>
      </c>
      <c r="J1176" t="str">
        <f>"46139"</f>
        <v>46139</v>
      </c>
      <c r="K1176" t="s">
        <v>1605</v>
      </c>
      <c r="L1176" t="s">
        <v>75</v>
      </c>
      <c r="M1176" t="s">
        <v>76</v>
      </c>
    </row>
    <row r="1177" spans="2:13" x14ac:dyDescent="0.25">
      <c r="B1177" t="s">
        <v>67</v>
      </c>
      <c r="C1177" t="s">
        <v>705</v>
      </c>
      <c r="D1177" t="s">
        <v>68</v>
      </c>
      <c r="E1177" t="s">
        <v>69</v>
      </c>
      <c r="F1177" t="s">
        <v>70</v>
      </c>
      <c r="G1177" t="s">
        <v>71</v>
      </c>
      <c r="H1177" t="s">
        <v>72</v>
      </c>
      <c r="I1177" t="s">
        <v>73</v>
      </c>
      <c r="J1177" t="str">
        <f>"46140"</f>
        <v>46140</v>
      </c>
      <c r="K1177" t="s">
        <v>1606</v>
      </c>
      <c r="L1177" t="s">
        <v>75</v>
      </c>
      <c r="M1177" t="s">
        <v>76</v>
      </c>
    </row>
    <row r="1178" spans="2:13" x14ac:dyDescent="0.25">
      <c r="B1178" t="s">
        <v>67</v>
      </c>
      <c r="C1178" t="s">
        <v>707</v>
      </c>
      <c r="D1178" t="s">
        <v>68</v>
      </c>
      <c r="E1178" t="s">
        <v>69</v>
      </c>
      <c r="F1178" t="s">
        <v>70</v>
      </c>
      <c r="G1178" t="s">
        <v>71</v>
      </c>
      <c r="H1178" t="s">
        <v>72</v>
      </c>
      <c r="I1178" t="s">
        <v>73</v>
      </c>
      <c r="J1178" t="str">
        <f>"46141"</f>
        <v>46141</v>
      </c>
      <c r="K1178" t="s">
        <v>1607</v>
      </c>
      <c r="L1178" t="s">
        <v>75</v>
      </c>
      <c r="M1178" t="s">
        <v>76</v>
      </c>
    </row>
    <row r="1179" spans="2:13" x14ac:dyDescent="0.25">
      <c r="B1179" t="s">
        <v>67</v>
      </c>
      <c r="C1179" t="s">
        <v>709</v>
      </c>
      <c r="D1179" t="s">
        <v>68</v>
      </c>
      <c r="E1179" t="s">
        <v>69</v>
      </c>
      <c r="F1179" t="s">
        <v>70</v>
      </c>
      <c r="G1179" t="s">
        <v>71</v>
      </c>
      <c r="H1179" t="s">
        <v>72</v>
      </c>
      <c r="I1179" t="s">
        <v>73</v>
      </c>
      <c r="J1179" t="str">
        <f>"46142"</f>
        <v>46142</v>
      </c>
      <c r="K1179" t="s">
        <v>1608</v>
      </c>
      <c r="L1179" t="s">
        <v>75</v>
      </c>
      <c r="M1179" t="s">
        <v>76</v>
      </c>
    </row>
    <row r="1180" spans="2:13" x14ac:dyDescent="0.25">
      <c r="B1180" t="s">
        <v>67</v>
      </c>
      <c r="C1180" t="s">
        <v>711</v>
      </c>
      <c r="D1180" t="s">
        <v>68</v>
      </c>
      <c r="E1180" t="s">
        <v>69</v>
      </c>
      <c r="F1180" t="s">
        <v>70</v>
      </c>
      <c r="G1180" t="s">
        <v>71</v>
      </c>
      <c r="H1180" t="s">
        <v>72</v>
      </c>
      <c r="I1180" t="s">
        <v>73</v>
      </c>
      <c r="J1180" t="str">
        <f>"46143"</f>
        <v>46143</v>
      </c>
      <c r="K1180" t="s">
        <v>1609</v>
      </c>
      <c r="L1180" t="s">
        <v>75</v>
      </c>
      <c r="M1180" t="s">
        <v>76</v>
      </c>
    </row>
    <row r="1181" spans="2:13" x14ac:dyDescent="0.25">
      <c r="B1181" t="s">
        <v>67</v>
      </c>
      <c r="C1181" t="s">
        <v>713</v>
      </c>
      <c r="D1181" t="s">
        <v>68</v>
      </c>
      <c r="E1181" t="s">
        <v>69</v>
      </c>
      <c r="F1181" t="s">
        <v>70</v>
      </c>
      <c r="G1181" t="s">
        <v>71</v>
      </c>
      <c r="H1181" t="s">
        <v>72</v>
      </c>
      <c r="I1181" t="s">
        <v>73</v>
      </c>
      <c r="J1181" t="str">
        <f>"46144"</f>
        <v>46144</v>
      </c>
      <c r="K1181" t="s">
        <v>1610</v>
      </c>
      <c r="L1181" t="s">
        <v>75</v>
      </c>
      <c r="M1181" t="s">
        <v>76</v>
      </c>
    </row>
    <row r="1182" spans="2:13" x14ac:dyDescent="0.25">
      <c r="B1182" t="s">
        <v>67</v>
      </c>
      <c r="C1182" t="s">
        <v>715</v>
      </c>
      <c r="D1182" t="s">
        <v>68</v>
      </c>
      <c r="E1182" t="s">
        <v>69</v>
      </c>
      <c r="F1182" t="s">
        <v>70</v>
      </c>
      <c r="G1182" t="s">
        <v>71</v>
      </c>
      <c r="H1182" t="s">
        <v>72</v>
      </c>
      <c r="I1182" t="s">
        <v>73</v>
      </c>
      <c r="J1182" t="str">
        <f>"46145"</f>
        <v>46145</v>
      </c>
      <c r="K1182" t="s">
        <v>1611</v>
      </c>
      <c r="L1182" t="s">
        <v>75</v>
      </c>
      <c r="M1182" t="s">
        <v>76</v>
      </c>
    </row>
    <row r="1183" spans="2:13" x14ac:dyDescent="0.25">
      <c r="B1183" t="s">
        <v>67</v>
      </c>
      <c r="C1183" t="s">
        <v>717</v>
      </c>
      <c r="D1183" t="s">
        <v>68</v>
      </c>
      <c r="E1183" t="s">
        <v>69</v>
      </c>
      <c r="F1183" t="s">
        <v>70</v>
      </c>
      <c r="G1183" t="s">
        <v>71</v>
      </c>
      <c r="H1183" t="s">
        <v>72</v>
      </c>
      <c r="I1183" t="s">
        <v>73</v>
      </c>
      <c r="J1183" t="str">
        <f>"46146"</f>
        <v>46146</v>
      </c>
      <c r="K1183" t="s">
        <v>1612</v>
      </c>
      <c r="L1183" t="s">
        <v>75</v>
      </c>
      <c r="M1183" t="s">
        <v>76</v>
      </c>
    </row>
    <row r="1184" spans="2:13" x14ac:dyDescent="0.25">
      <c r="B1184" t="s">
        <v>67</v>
      </c>
      <c r="C1184" t="s">
        <v>719</v>
      </c>
      <c r="D1184" t="s">
        <v>68</v>
      </c>
      <c r="E1184" t="s">
        <v>69</v>
      </c>
      <c r="F1184" t="s">
        <v>70</v>
      </c>
      <c r="G1184" t="s">
        <v>71</v>
      </c>
      <c r="H1184" t="s">
        <v>72</v>
      </c>
      <c r="I1184" t="s">
        <v>73</v>
      </c>
      <c r="J1184" t="str">
        <f>"46147"</f>
        <v>46147</v>
      </c>
      <c r="K1184" t="s">
        <v>1613</v>
      </c>
      <c r="L1184" t="s">
        <v>75</v>
      </c>
      <c r="M1184" t="s">
        <v>76</v>
      </c>
    </row>
    <row r="1185" spans="2:13" x14ac:dyDescent="0.25">
      <c r="B1185" t="s">
        <v>67</v>
      </c>
      <c r="C1185" t="s">
        <v>721</v>
      </c>
      <c r="D1185" t="s">
        <v>68</v>
      </c>
      <c r="E1185" t="s">
        <v>69</v>
      </c>
      <c r="F1185" t="s">
        <v>70</v>
      </c>
      <c r="G1185" t="s">
        <v>71</v>
      </c>
      <c r="H1185" t="s">
        <v>72</v>
      </c>
      <c r="I1185" t="s">
        <v>73</v>
      </c>
      <c r="J1185" t="str">
        <f>"46148"</f>
        <v>46148</v>
      </c>
      <c r="K1185" t="s">
        <v>1614</v>
      </c>
      <c r="L1185" t="s">
        <v>75</v>
      </c>
      <c r="M1185" t="s">
        <v>76</v>
      </c>
    </row>
    <row r="1186" spans="2:13" x14ac:dyDescent="0.25">
      <c r="B1186" t="s">
        <v>67</v>
      </c>
      <c r="C1186" t="s">
        <v>723</v>
      </c>
      <c r="D1186" t="s">
        <v>68</v>
      </c>
      <c r="E1186" t="s">
        <v>69</v>
      </c>
      <c r="F1186" t="s">
        <v>70</v>
      </c>
      <c r="G1186" t="s">
        <v>71</v>
      </c>
      <c r="H1186" t="s">
        <v>72</v>
      </c>
      <c r="I1186" t="s">
        <v>73</v>
      </c>
      <c r="J1186" t="str">
        <f>"46149"</f>
        <v>46149</v>
      </c>
      <c r="K1186" t="s">
        <v>1615</v>
      </c>
      <c r="L1186" t="s">
        <v>75</v>
      </c>
      <c r="M1186" t="s">
        <v>76</v>
      </c>
    </row>
    <row r="1187" spans="2:13" x14ac:dyDescent="0.25">
      <c r="B1187" t="s">
        <v>67</v>
      </c>
      <c r="C1187" t="s">
        <v>725</v>
      </c>
      <c r="D1187" t="s">
        <v>68</v>
      </c>
      <c r="E1187" t="s">
        <v>69</v>
      </c>
      <c r="F1187" t="s">
        <v>70</v>
      </c>
      <c r="G1187" t="s">
        <v>71</v>
      </c>
      <c r="H1187" t="s">
        <v>72</v>
      </c>
      <c r="I1187" t="s">
        <v>73</v>
      </c>
      <c r="J1187" t="str">
        <f>"46150"</f>
        <v>46150</v>
      </c>
      <c r="K1187" t="s">
        <v>1616</v>
      </c>
      <c r="L1187" t="s">
        <v>75</v>
      </c>
      <c r="M1187" t="s">
        <v>76</v>
      </c>
    </row>
    <row r="1188" spans="2:13" x14ac:dyDescent="0.25">
      <c r="B1188" t="s">
        <v>67</v>
      </c>
      <c r="C1188" t="s">
        <v>727</v>
      </c>
      <c r="D1188" t="s">
        <v>68</v>
      </c>
      <c r="E1188" t="s">
        <v>69</v>
      </c>
      <c r="F1188" t="s">
        <v>70</v>
      </c>
      <c r="G1188" t="s">
        <v>71</v>
      </c>
      <c r="H1188" t="s">
        <v>72</v>
      </c>
      <c r="I1188" t="s">
        <v>73</v>
      </c>
      <c r="J1188" t="str">
        <f>"46151"</f>
        <v>46151</v>
      </c>
      <c r="K1188" t="s">
        <v>1617</v>
      </c>
      <c r="L1188" t="s">
        <v>75</v>
      </c>
      <c r="M1188" t="s">
        <v>76</v>
      </c>
    </row>
    <row r="1189" spans="2:13" x14ac:dyDescent="0.25">
      <c r="B1189" t="s">
        <v>67</v>
      </c>
      <c r="C1189" t="s">
        <v>729</v>
      </c>
      <c r="D1189" t="s">
        <v>68</v>
      </c>
      <c r="E1189" t="s">
        <v>69</v>
      </c>
      <c r="F1189" t="s">
        <v>70</v>
      </c>
      <c r="G1189" t="s">
        <v>71</v>
      </c>
      <c r="H1189" t="s">
        <v>72</v>
      </c>
      <c r="I1189" t="s">
        <v>73</v>
      </c>
      <c r="J1189" t="str">
        <f>"46152"</f>
        <v>46152</v>
      </c>
      <c r="K1189" t="s">
        <v>1618</v>
      </c>
      <c r="L1189" t="s">
        <v>75</v>
      </c>
      <c r="M1189" t="s">
        <v>76</v>
      </c>
    </row>
    <row r="1190" spans="2:13" x14ac:dyDescent="0.25">
      <c r="B1190" t="s">
        <v>67</v>
      </c>
      <c r="C1190" t="s">
        <v>731</v>
      </c>
      <c r="D1190" t="s">
        <v>68</v>
      </c>
      <c r="E1190" t="s">
        <v>69</v>
      </c>
      <c r="F1190" t="s">
        <v>70</v>
      </c>
      <c r="G1190" t="s">
        <v>71</v>
      </c>
      <c r="H1190" t="s">
        <v>72</v>
      </c>
      <c r="I1190" t="s">
        <v>73</v>
      </c>
      <c r="J1190" t="str">
        <f>"46153"</f>
        <v>46153</v>
      </c>
      <c r="K1190" t="s">
        <v>1619</v>
      </c>
      <c r="L1190" t="s">
        <v>75</v>
      </c>
      <c r="M1190" t="s">
        <v>76</v>
      </c>
    </row>
  </sheetData>
  <autoFilter ref="A1:M1" xr:uid="{8CD10A1C-44BB-44A7-B770-C4FB1C5E0484}"/>
  <conditionalFormatting sqref="J1:J1048576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arredondoivan</dc:creator>
  <cp:lastModifiedBy>IVAN MAURICIO ARREDONDO ARTEAGA</cp:lastModifiedBy>
  <dcterms:created xsi:type="dcterms:W3CDTF">2022-10-06T16:19:04Z</dcterms:created>
  <dcterms:modified xsi:type="dcterms:W3CDTF">2024-09-16T15:34:30Z</dcterms:modified>
</cp:coreProperties>
</file>