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79B22384-96CD-4871-94B8-B7E76495B466}" xr6:coauthVersionLast="47" xr6:coauthVersionMax="47" xr10:uidLastSave="{00000000-0000-0000-0000-000000000000}"/>
  <bookViews>
    <workbookView xWindow="-120" yWindow="-120" windowWidth="29040" windowHeight="15840" activeTab="1" xr2:uid="{2E2B48C4-17E3-4387-8B2C-BD530D7BDFF8}"/>
  </bookViews>
  <sheets>
    <sheet name="EJERCICIOS" sheetId="1" r:id="rId1"/>
    <sheet name="FORMULAR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3" l="1"/>
  <c r="C53" i="3"/>
  <c r="C51" i="3"/>
  <c r="B46" i="3"/>
  <c r="B45" i="3"/>
  <c r="B41" i="3"/>
  <c r="B40" i="3"/>
  <c r="C18" i="3"/>
  <c r="A18" i="3" s="1"/>
  <c r="A17" i="3"/>
  <c r="C10" i="3"/>
  <c r="C9" i="3"/>
  <c r="G9" i="3" s="1"/>
  <c r="N148" i="1"/>
  <c r="C12" i="3" l="1"/>
  <c r="C11" i="3"/>
  <c r="C19" i="3"/>
  <c r="N149" i="1"/>
  <c r="N151" i="1" s="1"/>
  <c r="N152" i="1" s="1"/>
  <c r="N150" i="1"/>
  <c r="O143" i="1"/>
  <c r="O142" i="1"/>
  <c r="U136" i="1"/>
  <c r="Q136" i="1"/>
  <c r="U131" i="1"/>
  <c r="U132" i="1"/>
  <c r="U133" i="1"/>
  <c r="Q134" i="1"/>
  <c r="Q133" i="1"/>
  <c r="Q135" i="1" s="1"/>
  <c r="Q132" i="1"/>
  <c r="Q131" i="1"/>
  <c r="M132" i="1"/>
  <c r="D180" i="1"/>
  <c r="D179" i="1"/>
  <c r="D176" i="1"/>
  <c r="F173" i="1"/>
  <c r="E168" i="1"/>
  <c r="E169" i="1"/>
  <c r="E170" i="1"/>
  <c r="E171" i="1"/>
  <c r="E167" i="1"/>
  <c r="D170" i="1"/>
  <c r="D171" i="1"/>
  <c r="D169" i="1"/>
  <c r="D168" i="1"/>
  <c r="D167" i="1"/>
  <c r="D161" i="1"/>
  <c r="D162" i="1"/>
  <c r="D160" i="1"/>
  <c r="F159" i="1"/>
  <c r="C160" i="1" s="1"/>
  <c r="C156" i="1"/>
  <c r="C155" i="1"/>
  <c r="D148" i="1"/>
  <c r="D149" i="1"/>
  <c r="D147" i="1"/>
  <c r="D135" i="1"/>
  <c r="C139" i="1"/>
  <c r="D141" i="1"/>
  <c r="F138" i="1"/>
  <c r="D134" i="1"/>
  <c r="G106" i="1"/>
  <c r="S41" i="1"/>
  <c r="C83" i="1"/>
  <c r="D79" i="1"/>
  <c r="A19" i="3" l="1"/>
  <c r="C20" i="3"/>
  <c r="O144" i="1"/>
  <c r="O145" i="1" s="1"/>
  <c r="Q137" i="1"/>
  <c r="U134" i="1"/>
  <c r="U135" i="1" s="1"/>
  <c r="E160" i="1"/>
  <c r="F160" i="1" s="1"/>
  <c r="C161" i="1"/>
  <c r="E161" i="1" s="1"/>
  <c r="F161" i="1" s="1"/>
  <c r="D139" i="1"/>
  <c r="D143" i="1"/>
  <c r="D142" i="1"/>
  <c r="D140" i="1"/>
  <c r="E139" i="1"/>
  <c r="F139" i="1" s="1"/>
  <c r="C140" i="1" s="1"/>
  <c r="E140" i="1" s="1"/>
  <c r="C21" i="3" l="1"/>
  <c r="A20" i="3"/>
  <c r="U137" i="1"/>
  <c r="C162" i="1"/>
  <c r="E162" i="1" s="1"/>
  <c r="F162" i="1" s="1"/>
  <c r="F140" i="1"/>
  <c r="F146" i="1" s="1"/>
  <c r="C147" i="1" s="1"/>
  <c r="E147" i="1" s="1"/>
  <c r="F147" i="1" s="1"/>
  <c r="C148" i="1" s="1"/>
  <c r="E148" i="1" s="1"/>
  <c r="F148" i="1" s="1"/>
  <c r="C149" i="1" s="1"/>
  <c r="A21" i="3" l="1"/>
  <c r="C22" i="3"/>
  <c r="C141" i="1"/>
  <c r="E141" i="1" s="1"/>
  <c r="F141" i="1" s="1"/>
  <c r="C142" i="1" s="1"/>
  <c r="E142" i="1" s="1"/>
  <c r="F142" i="1" s="1"/>
  <c r="E149" i="1"/>
  <c r="F149" i="1" s="1"/>
  <c r="C23" i="3" l="1"/>
  <c r="A22" i="3"/>
  <c r="C143" i="1"/>
  <c r="E143" i="1" s="1"/>
  <c r="F143" i="1"/>
  <c r="C24" i="3" l="1"/>
  <c r="A23" i="3"/>
  <c r="Q79" i="1"/>
  <c r="Q80" i="1" s="1"/>
  <c r="P79" i="1"/>
  <c r="P80" i="1" s="1"/>
  <c r="Q77" i="1"/>
  <c r="Q78" i="1" s="1"/>
  <c r="P77" i="1"/>
  <c r="P78" i="1" s="1"/>
  <c r="A24" i="3" l="1"/>
  <c r="C25" i="3"/>
  <c r="P83" i="1"/>
  <c r="P82" i="1"/>
  <c r="Q81" i="1"/>
  <c r="Q82" i="1" s="1"/>
  <c r="F23" i="1"/>
  <c r="F24" i="1"/>
  <c r="C26" i="3" l="1"/>
  <c r="A25" i="3"/>
  <c r="W75" i="1"/>
  <c r="W76" i="1" s="1"/>
  <c r="W80" i="1" s="1"/>
  <c r="W81" i="1" s="1"/>
  <c r="W82" i="1" s="1"/>
  <c r="W83" i="1" s="1"/>
  <c r="P84" i="1"/>
  <c r="V75" i="1"/>
  <c r="V76" i="1" s="1"/>
  <c r="V80" i="1" s="1"/>
  <c r="V81" i="1" s="1"/>
  <c r="V82" i="1" s="1"/>
  <c r="V83" i="1" s="1"/>
  <c r="Q83" i="1"/>
  <c r="Q84" i="1" s="1"/>
  <c r="Q85" i="1" s="1"/>
  <c r="Q86" i="1" s="1"/>
  <c r="P85" i="1"/>
  <c r="P86" i="1" s="1"/>
  <c r="V38" i="1"/>
  <c r="V39" i="1"/>
  <c r="V40" i="1"/>
  <c r="C27" i="3" l="1"/>
  <c r="A26" i="3"/>
  <c r="V41" i="1"/>
  <c r="F82" i="1"/>
  <c r="C28" i="3" l="1"/>
  <c r="A27" i="3"/>
  <c r="D80" i="1"/>
  <c r="C29" i="3" l="1"/>
  <c r="A28" i="3"/>
  <c r="D85" i="1"/>
  <c r="D86" i="1"/>
  <c r="D87" i="1"/>
  <c r="D88" i="1"/>
  <c r="D89" i="1"/>
  <c r="C96" i="1"/>
  <c r="E96" i="1" s="1"/>
  <c r="C95" i="1"/>
  <c r="E95" i="1" s="1"/>
  <c r="D90" i="1"/>
  <c r="D83" i="1"/>
  <c r="C97" i="1"/>
  <c r="E97" i="1" s="1"/>
  <c r="D84" i="1"/>
  <c r="F42" i="1"/>
  <c r="C43" i="1" s="1"/>
  <c r="D40" i="1"/>
  <c r="D47" i="1" s="1"/>
  <c r="N21" i="1"/>
  <c r="N22" i="1" s="1"/>
  <c r="A29" i="3" l="1"/>
  <c r="C30" i="3"/>
  <c r="D44" i="1"/>
  <c r="D46" i="1"/>
  <c r="D45" i="1"/>
  <c r="D43" i="1"/>
  <c r="E43" i="1" s="1"/>
  <c r="F43" i="1" s="1"/>
  <c r="E83" i="1"/>
  <c r="F83" i="1" s="1"/>
  <c r="A30" i="3" l="1"/>
  <c r="C31" i="3"/>
  <c r="C84" i="1"/>
  <c r="E84" i="1" s="1"/>
  <c r="F84" i="1" s="1"/>
  <c r="C85" i="1" s="1"/>
  <c r="E85" i="1" s="1"/>
  <c r="F85" i="1" s="1"/>
  <c r="C44" i="1"/>
  <c r="C32" i="3" l="1"/>
  <c r="A32" i="3" s="1"/>
  <c r="A31" i="3"/>
  <c r="E104" i="1"/>
  <c r="E107" i="1" s="1"/>
  <c r="J79" i="1"/>
  <c r="C86" i="1"/>
  <c r="E86" i="1" s="1"/>
  <c r="F86" i="1" s="1"/>
  <c r="C87" i="1" s="1"/>
  <c r="E87" i="1" s="1"/>
  <c r="F87" i="1" s="1"/>
  <c r="C88" i="1" s="1"/>
  <c r="E88" i="1" s="1"/>
  <c r="F88" i="1" s="1"/>
  <c r="C89" i="1" s="1"/>
  <c r="E89" i="1" s="1"/>
  <c r="F89" i="1" s="1"/>
  <c r="E44" i="1"/>
  <c r="F44" i="1" s="1"/>
  <c r="C45" i="1" s="1"/>
  <c r="E45" i="1" s="1"/>
  <c r="F45" i="1" s="1"/>
  <c r="C46" i="1" s="1"/>
  <c r="E46" i="1" s="1"/>
  <c r="F46" i="1" s="1"/>
  <c r="C47" i="1" s="1"/>
  <c r="E47" i="1" s="1"/>
  <c r="F47" i="1" s="1"/>
  <c r="E49" i="1" l="1"/>
  <c r="L84" i="1"/>
  <c r="I85" i="1" s="1"/>
  <c r="J82" i="1"/>
  <c r="C90" i="1"/>
  <c r="E90" i="1" s="1"/>
  <c r="F90" i="1" s="1"/>
  <c r="J87" i="1" l="1"/>
  <c r="J85" i="1"/>
  <c r="K85" i="1" s="1"/>
  <c r="L85" i="1" s="1"/>
  <c r="C100" i="1"/>
  <c r="E100" i="1" s="1"/>
  <c r="J86" i="1"/>
  <c r="C99" i="1"/>
  <c r="E99" i="1" s="1"/>
  <c r="C98" i="1"/>
  <c r="E98" i="1" s="1"/>
  <c r="E101" i="1" s="1"/>
  <c r="I86" i="1" l="1"/>
  <c r="K86" i="1" s="1"/>
  <c r="L86" i="1" s="1"/>
  <c r="I87" i="1" s="1"/>
  <c r="K87" i="1" s="1"/>
  <c r="L87" i="1" s="1"/>
</calcChain>
</file>

<file path=xl/sharedStrings.xml><?xml version="1.0" encoding="utf-8"?>
<sst xmlns="http://schemas.openxmlformats.org/spreadsheetml/2006/main" count="251" uniqueCount="137">
  <si>
    <t>FORMULARIO</t>
  </si>
  <si>
    <t>PRECIO</t>
  </si>
  <si>
    <t>PERIODO (AÑOS)</t>
  </si>
  <si>
    <t>INTERES ANUAL COMPUESTO</t>
  </si>
  <si>
    <t>CAPITAL INICIAL</t>
  </si>
  <si>
    <t>?</t>
  </si>
  <si>
    <t>INTERÉS COMPUESTO</t>
  </si>
  <si>
    <t>INTERÉS ANUAL COMPUESTO</t>
  </si>
  <si>
    <t>PAGO</t>
  </si>
  <si>
    <t>COMPOSICION MENSUAL</t>
  </si>
  <si>
    <t>PERIODO (AÑO)</t>
  </si>
  <si>
    <t>TASA REAL EFECTIVA</t>
  </si>
  <si>
    <t>TASA INTERÉS ANUAL</t>
  </si>
  <si>
    <t>CUOTA</t>
  </si>
  <si>
    <t>PERIODOS</t>
  </si>
  <si>
    <t>INTERESES</t>
  </si>
  <si>
    <t>AMORTIZACION</t>
  </si>
  <si>
    <t>SALDO</t>
  </si>
  <si>
    <t>TOTAL INTERESES</t>
  </si>
  <si>
    <t>PAGO ÚNICO</t>
  </si>
  <si>
    <t>PAGO CUOTA MENSUAL</t>
  </si>
  <si>
    <t>CUOTA ANUAL</t>
  </si>
  <si>
    <t>TASA</t>
  </si>
  <si>
    <t>CONVIENE EL PAGO CUOTA MENSUAL $294,03 &lt; $300</t>
  </si>
  <si>
    <t>CONTROL 1</t>
  </si>
  <si>
    <t>CRÉDITO</t>
  </si>
  <si>
    <t>COMPOSICION SEMESTRAL</t>
  </si>
  <si>
    <t>TABLA AMORTIZACIÓN BANCO EDWARDS</t>
  </si>
  <si>
    <t>TASA DE INTERÉS EFECTIVA</t>
  </si>
  <si>
    <t>AMORTIZACIÓN</t>
  </si>
  <si>
    <t>TABLA AMORTIZACIÓN BANCO BCI</t>
  </si>
  <si>
    <t>TASA DE INTERÉS</t>
  </si>
  <si>
    <t>PERIODOS (AÑOS)</t>
  </si>
  <si>
    <t>CREDITO</t>
  </si>
  <si>
    <t>A</t>
  </si>
  <si>
    <t>B</t>
  </si>
  <si>
    <t>TOTAL PAGADO EN VALOR PRESENTE</t>
  </si>
  <si>
    <t>CUOTAS PAGADAS</t>
  </si>
  <si>
    <t>VALOR PRESENTE</t>
  </si>
  <si>
    <t>C</t>
  </si>
  <si>
    <t>SALDO INSOLUTO</t>
  </si>
  <si>
    <t>PERIODO MESES</t>
  </si>
  <si>
    <t>MULTA MES</t>
  </si>
  <si>
    <t>MONTO NUEVO</t>
  </si>
  <si>
    <t>HOMBRE</t>
  </si>
  <si>
    <t>MUJER</t>
  </si>
  <si>
    <t>INICIO VIDA LABORAL</t>
  </si>
  <si>
    <t>JUBILACIÓN</t>
  </si>
  <si>
    <t>Expectativa de vida</t>
  </si>
  <si>
    <t>Sueldo mensual</t>
  </si>
  <si>
    <t>13% AFP</t>
  </si>
  <si>
    <t>7% Isapre</t>
  </si>
  <si>
    <t>Sueldo descontado</t>
  </si>
  <si>
    <t>Impuesto 10%</t>
  </si>
  <si>
    <t>Sueldo liquido</t>
  </si>
  <si>
    <t>VIDA LABORAL (AÑOS)</t>
  </si>
  <si>
    <t>VIDA LABORAL (MESES)</t>
  </si>
  <si>
    <t>AÑOS JUBILACION</t>
  </si>
  <si>
    <t>MESES JUBILACION</t>
  </si>
  <si>
    <t>FONDO ACUMULADO JUBILACION</t>
  </si>
  <si>
    <t>RENTABILIDAD AFP AL MES</t>
  </si>
  <si>
    <t>JUBILACION MENSUAL</t>
  </si>
  <si>
    <t>MONTO ADICIONAL DESEADO</t>
  </si>
  <si>
    <t xml:space="preserve">HOMBRE </t>
  </si>
  <si>
    <t>JUBILACIÓN DESEADA</t>
  </si>
  <si>
    <t>FONDO ACUMULADO DESEADO</t>
  </si>
  <si>
    <t>MONTO AFP POR MES</t>
  </si>
  <si>
    <t>INCREMENTO AL FONDO PREVISIONAL</t>
  </si>
  <si>
    <t>DATOS</t>
  </si>
  <si>
    <t>CAP. INICIAL</t>
  </si>
  <si>
    <t>CAP. FINAL</t>
  </si>
  <si>
    <t>INTERES</t>
  </si>
  <si>
    <t>FORMA 1</t>
  </si>
  <si>
    <t>FORMA 2</t>
  </si>
  <si>
    <t>AYUDANTÍA 2</t>
  </si>
  <si>
    <t>AYUDANTÍA 1</t>
  </si>
  <si>
    <t>TASA NOMIAL ANUAL</t>
  </si>
  <si>
    <t>COMPOSICION TRIMESTRAL</t>
  </si>
  <si>
    <t>PERIODOS (SEMESTRES)</t>
  </si>
  <si>
    <t>TASA INTERES EFECTIVA</t>
  </si>
  <si>
    <t>INT. ANUAL NOMINAL</t>
  </si>
  <si>
    <t>COMPOSICION</t>
  </si>
  <si>
    <t>CUOTAS</t>
  </si>
  <si>
    <t>ANUALES</t>
  </si>
  <si>
    <t>SEMESTRALES</t>
  </si>
  <si>
    <t>MENSUALES</t>
  </si>
  <si>
    <t>TRIMESTRALES</t>
  </si>
  <si>
    <t>ANUAL</t>
  </si>
  <si>
    <t>TRIMESTRAL</t>
  </si>
  <si>
    <t>SEMESTRAL</t>
  </si>
  <si>
    <t>MENSUAL</t>
  </si>
  <si>
    <t xml:space="preserve"> </t>
  </si>
  <si>
    <t>MONTO CUOTA A PAGAR</t>
  </si>
  <si>
    <t>PERIODO</t>
  </si>
  <si>
    <t>CAPITAL FINAL / VF</t>
  </si>
  <si>
    <t>CAPITAL INICIAL / VP</t>
  </si>
  <si>
    <t>VF = CAP.FINAL</t>
  </si>
  <si>
    <t>VP = CAP.INICIAL</t>
  </si>
  <si>
    <t>VALOR PRESENTE DE CUOTAS PAGADAS</t>
  </si>
  <si>
    <t>MULTAS</t>
  </si>
  <si>
    <t>INTERES SIMPLE</t>
  </si>
  <si>
    <t>TASA INTERES MENSUAL</t>
  </si>
  <si>
    <t>NUM MESES</t>
  </si>
  <si>
    <t>INTERES COMPUESTO</t>
  </si>
  <si>
    <t>&lt;- SIMPLE</t>
  </si>
  <si>
    <t>&lt;- COMPUESTO</t>
  </si>
  <si>
    <t>TASA DE INTERÉS EFECTIVA SEMESTRAL</t>
  </si>
  <si>
    <t>TABLA DESARROLLO BCI</t>
  </si>
  <si>
    <t>TABLA DESARROLLO SANTANDER</t>
  </si>
  <si>
    <t>TASA REAL EF.</t>
  </si>
  <si>
    <t>Num meses</t>
  </si>
  <si>
    <t>DEPOSITO A PLAZO</t>
  </si>
  <si>
    <t>M. INICIAL</t>
  </si>
  <si>
    <t>M.FINAL</t>
  </si>
  <si>
    <t>TASA MENSUAL</t>
  </si>
  <si>
    <t>TABLA DESARROLLO SANTANDER CON DP</t>
  </si>
  <si>
    <t>VALOR ACTUAL PERIODO 0</t>
  </si>
  <si>
    <t>TASA ANUAL</t>
  </si>
  <si>
    <t>TOTAL PAGADO A VALOR ACTUAL</t>
  </si>
  <si>
    <t>MULTA</t>
  </si>
  <si>
    <t>SUELDO BRUTO MENSUAL 25-45 AÑOS</t>
  </si>
  <si>
    <t>SUELDO BRUTO MENSUAL 45-65 AÑOS</t>
  </si>
  <si>
    <t>CALCULO PRIMEROS 20 AÑOS</t>
  </si>
  <si>
    <t>SUELDO MENSUAL BRUTO</t>
  </si>
  <si>
    <t>SUELDO DESCONTADO</t>
  </si>
  <si>
    <t>IMPUESTOS 12%</t>
  </si>
  <si>
    <t>SUELDO LIQUIDO</t>
  </si>
  <si>
    <t>CALCULO ULTIMOS 20 AÑOS</t>
  </si>
  <si>
    <t>CALCULO PENSION</t>
  </si>
  <si>
    <t>RENTABILIDAD AFP ANUAL</t>
  </si>
  <si>
    <t>RENTABILIDAD EFECTIVA MENSUAL</t>
  </si>
  <si>
    <t>MESES DE JUBILACION</t>
  </si>
  <si>
    <t>JUBILACIÓN OBJETIVO</t>
  </si>
  <si>
    <t>FONDO ACUM. ULT. AÑOS</t>
  </si>
  <si>
    <t>FONDO OBJETIVO</t>
  </si>
  <si>
    <t>FONDO OBJ. PRIM. AÑOS</t>
  </si>
  <si>
    <t>APORTE MENS. PRIM.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</si>
</sst>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5">
    <xf numFmtId="0" fontId="0" fillId="0" borderId="0" xfId="0"/>
    <xf numFmtId="6" fontId="0" fillId="0" borderId="0" xfId="0" applyNumberFormat="1"/>
    <xf numFmtId="9" fontId="0" fillId="0" borderId="0" xfId="0" applyNumberFormat="1"/>
    <xf numFmtId="6" fontId="0" fillId="0" borderId="7" xfId="0" applyNumberFormat="1" applyBorder="1"/>
    <xf numFmtId="0" fontId="0" fillId="0" borderId="7" xfId="0" applyBorder="1"/>
    <xf numFmtId="9" fontId="0" fillId="0" borderId="12" xfId="0" applyNumberFormat="1" applyBorder="1"/>
    <xf numFmtId="0" fontId="0" fillId="0" borderId="12" xfId="0" applyBorder="1"/>
    <xf numFmtId="0" fontId="0" fillId="0" borderId="15" xfId="0" applyBorder="1"/>
    <xf numFmtId="6" fontId="0" fillId="0" borderId="10" xfId="0" applyNumberForma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6" fontId="0" fillId="0" borderId="18" xfId="0" applyNumberFormat="1" applyBorder="1"/>
    <xf numFmtId="8" fontId="0" fillId="0" borderId="0" xfId="0" applyNumberFormat="1"/>
    <xf numFmtId="0" fontId="4" fillId="0" borderId="0" xfId="0" applyFont="1"/>
    <xf numFmtId="8" fontId="0" fillId="0" borderId="7" xfId="0" applyNumberFormat="1" applyBorder="1"/>
    <xf numFmtId="42" fontId="0" fillId="0" borderId="10" xfId="1" applyFont="1" applyBorder="1"/>
    <xf numFmtId="10" fontId="0" fillId="0" borderId="12" xfId="2" applyNumberFormat="1" applyFont="1" applyBorder="1"/>
    <xf numFmtId="8" fontId="0" fillId="0" borderId="3" xfId="0" applyNumberFormat="1" applyBorder="1"/>
    <xf numFmtId="0" fontId="5" fillId="0" borderId="7" xfId="0" applyFont="1" applyBorder="1"/>
    <xf numFmtId="4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2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42" fontId="0" fillId="0" borderId="14" xfId="0" applyNumberFormat="1" applyBorder="1"/>
    <xf numFmtId="8" fontId="0" fillId="0" borderId="14" xfId="0" applyNumberFormat="1" applyBorder="1"/>
    <xf numFmtId="42" fontId="0" fillId="2" borderId="21" xfId="0" applyNumberFormat="1" applyFill="1" applyBorder="1"/>
    <xf numFmtId="6" fontId="0" fillId="2" borderId="18" xfId="0" applyNumberFormat="1" applyFill="1" applyBorder="1"/>
    <xf numFmtId="8" fontId="0" fillId="2" borderId="15" xfId="0" applyNumberFormat="1" applyFill="1" applyBorder="1"/>
    <xf numFmtId="0" fontId="0" fillId="2" borderId="0" xfId="0" applyFill="1" applyAlignment="1">
      <alignment horizontal="center"/>
    </xf>
    <xf numFmtId="6" fontId="0" fillId="4" borderId="10" xfId="0" applyNumberFormat="1" applyFill="1" applyBorder="1"/>
    <xf numFmtId="9" fontId="0" fillId="4" borderId="12" xfId="0" applyNumberFormat="1" applyFill="1" applyBorder="1"/>
    <xf numFmtId="0" fontId="0" fillId="4" borderId="12" xfId="0" applyFill="1" applyBorder="1"/>
    <xf numFmtId="0" fontId="0" fillId="4" borderId="15" xfId="0" applyFill="1" applyBorder="1"/>
    <xf numFmtId="6" fontId="0" fillId="0" borderId="12" xfId="0" applyNumberFormat="1" applyBorder="1"/>
    <xf numFmtId="0" fontId="0" fillId="0" borderId="14" xfId="0" applyBorder="1"/>
    <xf numFmtId="6" fontId="0" fillId="0" borderId="15" xfId="0" applyNumberFormat="1" applyBorder="1"/>
    <xf numFmtId="0" fontId="0" fillId="5" borderId="11" xfId="0" applyFill="1" applyBorder="1"/>
    <xf numFmtId="8" fontId="0" fillId="5" borderId="7" xfId="0" applyNumberFormat="1" applyFill="1" applyBorder="1"/>
    <xf numFmtId="0" fontId="0" fillId="5" borderId="7" xfId="0" applyFill="1" applyBorder="1"/>
    <xf numFmtId="6" fontId="0" fillId="5" borderId="12" xfId="0" applyNumberFormat="1" applyFill="1" applyBorder="1"/>
    <xf numFmtId="6" fontId="0" fillId="0" borderId="14" xfId="0" applyNumberFormat="1" applyBorder="1"/>
    <xf numFmtId="0" fontId="0" fillId="2" borderId="0" xfId="0" applyFill="1" applyAlignment="1">
      <alignment horizontal="center" vertical="center"/>
    </xf>
    <xf numFmtId="8" fontId="0" fillId="2" borderId="21" xfId="0" applyNumberFormat="1" applyFill="1" applyBorder="1"/>
    <xf numFmtId="10" fontId="0" fillId="0" borderId="7" xfId="0" applyNumberFormat="1" applyBorder="1"/>
    <xf numFmtId="10" fontId="0" fillId="0" borderId="12" xfId="0" applyNumberFormat="1" applyBorder="1"/>
    <xf numFmtId="8" fontId="0" fillId="0" borderId="12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9" fontId="0" fillId="2" borderId="14" xfId="0" applyNumberFormat="1" applyFill="1" applyBorder="1"/>
    <xf numFmtId="0" fontId="0" fillId="2" borderId="14" xfId="0" applyFill="1" applyBorder="1"/>
    <xf numFmtId="6" fontId="0" fillId="2" borderId="15" xfId="0" applyNumberFormat="1" applyFill="1" applyBorder="1"/>
    <xf numFmtId="6" fontId="0" fillId="2" borderId="23" xfId="0" applyNumberFormat="1" applyFill="1" applyBorder="1"/>
    <xf numFmtId="0" fontId="0" fillId="6" borderId="7" xfId="0" applyFill="1" applyBorder="1"/>
    <xf numFmtId="6" fontId="0" fillId="6" borderId="12" xfId="0" applyNumberFormat="1" applyFill="1" applyBorder="1"/>
    <xf numFmtId="0" fontId="0" fillId="6" borderId="14" xfId="0" applyFill="1" applyBorder="1"/>
    <xf numFmtId="6" fontId="0" fillId="6" borderId="15" xfId="0" applyNumberFormat="1" applyFill="1" applyBorder="1"/>
    <xf numFmtId="0" fontId="4" fillId="6" borderId="7" xfId="0" applyFont="1" applyFill="1" applyBorder="1"/>
    <xf numFmtId="0" fontId="0" fillId="6" borderId="12" xfId="0" applyFill="1" applyBorder="1" applyAlignment="1">
      <alignment horizontal="right"/>
    </xf>
    <xf numFmtId="0" fontId="4" fillId="6" borderId="14" xfId="0" applyFont="1" applyFill="1" applyBorder="1"/>
    <xf numFmtId="0" fontId="0" fillId="6" borderId="15" xfId="0" applyFill="1" applyBorder="1" applyAlignment="1">
      <alignment horizontal="right"/>
    </xf>
    <xf numFmtId="0" fontId="6" fillId="2" borderId="25" xfId="0" applyFont="1" applyFill="1" applyBorder="1"/>
    <xf numFmtId="0" fontId="6" fillId="2" borderId="7" xfId="0" applyFont="1" applyFill="1" applyBorder="1"/>
    <xf numFmtId="0" fontId="6" fillId="2" borderId="12" xfId="0" applyFont="1" applyFill="1" applyBorder="1"/>
    <xf numFmtId="0" fontId="0" fillId="6" borderId="11" xfId="0" applyFill="1" applyBorder="1"/>
    <xf numFmtId="0" fontId="0" fillId="6" borderId="13" xfId="0" applyFill="1" applyBorder="1"/>
    <xf numFmtId="0" fontId="6" fillId="0" borderId="0" xfId="0" applyFont="1"/>
    <xf numFmtId="0" fontId="0" fillId="2" borderId="15" xfId="0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7" xfId="0" applyFont="1" applyBorder="1"/>
    <xf numFmtId="6" fontId="0" fillId="0" borderId="10" xfId="0" applyNumberFormat="1" applyBorder="1"/>
    <xf numFmtId="6" fontId="0" fillId="5" borderId="7" xfId="0" applyNumberFormat="1" applyFill="1" applyBorder="1"/>
    <xf numFmtId="9" fontId="0" fillId="0" borderId="13" xfId="0" applyNumberForma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8" fontId="0" fillId="0" borderId="0" xfId="0" applyNumberFormat="1" applyAlignment="1">
      <alignment horizontal="center"/>
    </xf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4" fillId="6" borderId="11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6" borderId="32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6" fontId="0" fillId="6" borderId="34" xfId="0" applyNumberForma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8" fontId="0" fillId="6" borderId="14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6" fontId="0" fillId="2" borderId="23" xfId="0" applyNumberForma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0" fontId="0" fillId="2" borderId="14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8" fontId="0" fillId="6" borderId="7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10" fontId="0" fillId="6" borderId="11" xfId="2" applyNumberFormat="1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10" fontId="0" fillId="6" borderId="13" xfId="2" applyNumberFormat="1" applyFont="1" applyFill="1" applyBorder="1" applyAlignment="1">
      <alignment horizontal="center"/>
    </xf>
    <xf numFmtId="10" fontId="0" fillId="6" borderId="14" xfId="2" applyNumberFormat="1" applyFont="1" applyFill="1" applyBorder="1" applyAlignment="1">
      <alignment horizontal="center"/>
    </xf>
    <xf numFmtId="10" fontId="0" fillId="6" borderId="7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7</xdr:col>
      <xdr:colOff>601036</xdr:colOff>
      <xdr:row>15</xdr:row>
      <xdr:rowOff>9786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39693F-BB55-8A35-54A2-4E60E148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9175"/>
          <a:ext cx="6887536" cy="18671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5</xdr:row>
      <xdr:rowOff>28575</xdr:rowOff>
    </xdr:from>
    <xdr:to>
      <xdr:col>18</xdr:col>
      <xdr:colOff>77132</xdr:colOff>
      <xdr:row>15</xdr:row>
      <xdr:rowOff>28841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FC3FA-1F59-A85B-3F83-9357290C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1000125"/>
          <a:ext cx="6677957" cy="1905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7</xdr:col>
      <xdr:colOff>296194</xdr:colOff>
      <xdr:row>33</xdr:row>
      <xdr:rowOff>162156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B369E6-3579-04B3-FDE3-F28C9B22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57750"/>
          <a:ext cx="6582694" cy="1657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23</xdr:row>
      <xdr:rowOff>28575</xdr:rowOff>
    </xdr:from>
    <xdr:to>
      <xdr:col>17</xdr:col>
      <xdr:colOff>572396</xdr:colOff>
      <xdr:row>33</xdr:row>
      <xdr:rowOff>171737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E66B9-50E7-BFB6-635F-F07353B6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4467225"/>
          <a:ext cx="6420746" cy="2057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171450</xdr:rowOff>
    </xdr:from>
    <xdr:to>
      <xdr:col>8</xdr:col>
      <xdr:colOff>172351</xdr:colOff>
      <xdr:row>68</xdr:row>
      <xdr:rowOff>162349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CDD86A-E281-DDE4-7379-16354C74F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0248900"/>
          <a:ext cx="6458851" cy="3038899"/>
        </a:xfrm>
        <a:prstGeom prst="rect">
          <a:avLst/>
        </a:prstGeom>
      </xdr:spPr>
    </xdr:pic>
    <xdr:clientData/>
  </xdr:twoCellAnchor>
  <xdr:twoCellAnchor editAs="oneCell">
    <xdr:from>
      <xdr:col>12</xdr:col>
      <xdr:colOff>752475</xdr:colOff>
      <xdr:row>52</xdr:row>
      <xdr:rowOff>180975</xdr:rowOff>
    </xdr:from>
    <xdr:to>
      <xdr:col>20</xdr:col>
      <xdr:colOff>715295</xdr:colOff>
      <xdr:row>70</xdr:row>
      <xdr:rowOff>171927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8E2B8D-0578-DAC9-A5D5-7C6DE3618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96475" y="10258425"/>
          <a:ext cx="6592220" cy="341995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111</xdr:row>
      <xdr:rowOff>0</xdr:rowOff>
    </xdr:from>
    <xdr:to>
      <xdr:col>7</xdr:col>
      <xdr:colOff>562879</xdr:colOff>
      <xdr:row>127</xdr:row>
      <xdr:rowOff>171899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90C69E-5F61-A8C1-046C-60571C0E5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475" y="21459825"/>
          <a:ext cx="6477904" cy="3219899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110</xdr:row>
      <xdr:rowOff>66675</xdr:rowOff>
    </xdr:from>
    <xdr:to>
      <xdr:col>18</xdr:col>
      <xdr:colOff>48556</xdr:colOff>
      <xdr:row>126</xdr:row>
      <xdr:rowOff>171890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2469578-821A-7296-DCD8-5C0E66BC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2050" y="21336000"/>
          <a:ext cx="6668431" cy="3153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</xdr:colOff>
      <xdr:row>9</xdr:row>
      <xdr:rowOff>26670</xdr:rowOff>
    </xdr:from>
    <xdr:ext cx="1224915" cy="775159"/>
    <xdr:pic>
      <xdr:nvPicPr>
        <xdr:cNvPr id="2" name="Imagen 1">
          <a:extLst>
            <a:ext uri="{FF2B5EF4-FFF2-40B4-BE49-F238E27FC236}">
              <a16:creationId xmlns:a16="http://schemas.microsoft.com/office/drawing/2014/main" id="{AB45489C-A6C0-443F-989F-9F9A84909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0510" y="1779270"/>
          <a:ext cx="1224915" cy="775159"/>
        </a:xfrm>
        <a:prstGeom prst="rect">
          <a:avLst/>
        </a:prstGeom>
      </xdr:spPr>
    </xdr:pic>
    <xdr:clientData/>
  </xdr:oneCellAnchor>
  <xdr:oneCellAnchor>
    <xdr:from>
      <xdr:col>3</xdr:col>
      <xdr:colOff>36195</xdr:colOff>
      <xdr:row>9</xdr:row>
      <xdr:rowOff>59055</xdr:rowOff>
    </xdr:from>
    <xdr:ext cx="1552797" cy="453451"/>
    <xdr:pic>
      <xdr:nvPicPr>
        <xdr:cNvPr id="3" name="Imagen 2">
          <a:extLst>
            <a:ext uri="{FF2B5EF4-FFF2-40B4-BE49-F238E27FC236}">
              <a16:creationId xmlns:a16="http://schemas.microsoft.com/office/drawing/2014/main" id="{3F8AB36B-A163-4DF7-B520-50B0CDAD6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4595" y="1811655"/>
          <a:ext cx="1552797" cy="4534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9525</xdr:rowOff>
    </xdr:from>
    <xdr:ext cx="4677428" cy="600159"/>
    <xdr:pic>
      <xdr:nvPicPr>
        <xdr:cNvPr id="4" name="Imagen 3">
          <a:extLst>
            <a:ext uri="{FF2B5EF4-FFF2-40B4-BE49-F238E27FC236}">
              <a16:creationId xmlns:a16="http://schemas.microsoft.com/office/drawing/2014/main" id="{E8943869-29B7-4DC6-8B36-AC273B045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72200"/>
          <a:ext cx="4677428" cy="600159"/>
        </a:xfrm>
        <a:prstGeom prst="rect">
          <a:avLst/>
        </a:prstGeom>
      </xdr:spPr>
    </xdr:pic>
    <xdr:clientData/>
  </xdr:oneCellAnchor>
  <xdr:oneCellAnchor>
    <xdr:from>
      <xdr:col>7</xdr:col>
      <xdr:colOff>28575</xdr:colOff>
      <xdr:row>37</xdr:row>
      <xdr:rowOff>104775</xdr:rowOff>
    </xdr:from>
    <xdr:ext cx="1571844" cy="590632"/>
    <xdr:pic>
      <xdr:nvPicPr>
        <xdr:cNvPr id="5" name="Imagen 4">
          <a:extLst>
            <a:ext uri="{FF2B5EF4-FFF2-40B4-BE49-F238E27FC236}">
              <a16:creationId xmlns:a16="http://schemas.microsoft.com/office/drawing/2014/main" id="{B37D6301-1A0D-4884-B7D7-722B0ACFC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7229475"/>
          <a:ext cx="1571844" cy="590632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41</xdr:row>
      <xdr:rowOff>188595</xdr:rowOff>
    </xdr:from>
    <xdr:ext cx="1448002" cy="628738"/>
    <xdr:pic>
      <xdr:nvPicPr>
        <xdr:cNvPr id="6" name="Imagen 5">
          <a:extLst>
            <a:ext uri="{FF2B5EF4-FFF2-40B4-BE49-F238E27FC236}">
              <a16:creationId xmlns:a16="http://schemas.microsoft.com/office/drawing/2014/main" id="{CF3A5957-73EB-4BA7-97A0-050E9603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93080" y="8094345"/>
          <a:ext cx="1448002" cy="628738"/>
        </a:xfrm>
        <a:prstGeom prst="rect">
          <a:avLst/>
        </a:prstGeom>
      </xdr:spPr>
    </xdr:pic>
    <xdr:clientData/>
  </xdr:oneCellAnchor>
  <xdr:oneCellAnchor>
    <xdr:from>
      <xdr:col>8</xdr:col>
      <xdr:colOff>171450</xdr:colOff>
      <xdr:row>47</xdr:row>
      <xdr:rowOff>180975</xdr:rowOff>
    </xdr:from>
    <xdr:ext cx="4371975" cy="887849"/>
    <xdr:pic>
      <xdr:nvPicPr>
        <xdr:cNvPr id="7" name="Imagen 6">
          <a:extLst>
            <a:ext uri="{FF2B5EF4-FFF2-40B4-BE49-F238E27FC236}">
              <a16:creationId xmlns:a16="http://schemas.microsoft.com/office/drawing/2014/main" id="{9360D2FF-FADE-40E6-9256-72136690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9850" y="9258300"/>
          <a:ext cx="4371975" cy="887849"/>
        </a:xfrm>
        <a:prstGeom prst="rect">
          <a:avLst/>
        </a:prstGeom>
      </xdr:spPr>
    </xdr:pic>
    <xdr:clientData/>
  </xdr:oneCellAnchor>
  <xdr:oneCellAnchor>
    <xdr:from>
      <xdr:col>5</xdr:col>
      <xdr:colOff>504825</xdr:colOff>
      <xdr:row>52</xdr:row>
      <xdr:rowOff>114300</xdr:rowOff>
    </xdr:from>
    <xdr:ext cx="6325483" cy="685896"/>
    <xdr:pic>
      <xdr:nvPicPr>
        <xdr:cNvPr id="8" name="Imagen 7">
          <a:extLst>
            <a:ext uri="{FF2B5EF4-FFF2-40B4-BE49-F238E27FC236}">
              <a16:creationId xmlns:a16="http://schemas.microsoft.com/office/drawing/2014/main" id="{EAE2B510-EC4A-4B84-8F37-B78D299F9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67225" y="10163175"/>
          <a:ext cx="6325483" cy="6858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2C7D-F581-42F8-AD0E-E228090ADEFE}">
  <dimension ref="A3:W180"/>
  <sheetViews>
    <sheetView topLeftCell="C119" workbookViewId="0">
      <selection activeCell="G154" sqref="G154"/>
    </sheetView>
  </sheetViews>
  <sheetFormatPr baseColWidth="10" defaultRowHeight="15" x14ac:dyDescent="0.25"/>
  <cols>
    <col min="3" max="3" width="13.42578125" bestFit="1" customWidth="1"/>
    <col min="4" max="4" width="14.42578125" bestFit="1" customWidth="1"/>
    <col min="5" max="5" width="15.42578125" bestFit="1" customWidth="1"/>
    <col min="6" max="6" width="13.7109375" bestFit="1" customWidth="1"/>
    <col min="7" max="7" width="14.42578125" bestFit="1" customWidth="1"/>
    <col min="10" max="10" width="14.42578125" bestFit="1" customWidth="1"/>
    <col min="14" max="15" width="15.42578125" bestFit="1" customWidth="1"/>
    <col min="22" max="22" width="18.140625" bestFit="1" customWidth="1"/>
    <col min="23" max="23" width="14.7109375" bestFit="1" customWidth="1"/>
  </cols>
  <sheetData>
    <row r="3" spans="1:23" ht="15.75" thickBot="1" x14ac:dyDescent="0.3"/>
    <row r="4" spans="1:23" ht="15" customHeight="1" x14ac:dyDescent="0.25">
      <c r="A4" s="97" t="s">
        <v>75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9"/>
    </row>
    <row r="5" spans="1:23" ht="15.75" customHeight="1" thickBot="1" x14ac:dyDescent="0.3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2"/>
    </row>
    <row r="16" spans="1:23" ht="15.75" thickBot="1" x14ac:dyDescent="0.3"/>
    <row r="17" spans="4:14" ht="15.75" thickBot="1" x14ac:dyDescent="0.3">
      <c r="L17" s="80" t="s">
        <v>1</v>
      </c>
      <c r="M17" s="81"/>
      <c r="N17" s="16">
        <v>3000</v>
      </c>
    </row>
    <row r="18" spans="4:14" x14ac:dyDescent="0.25">
      <c r="D18" s="133" t="s">
        <v>1</v>
      </c>
      <c r="E18" s="134"/>
      <c r="F18" s="8">
        <v>1200</v>
      </c>
      <c r="L18" s="123" t="s">
        <v>7</v>
      </c>
      <c r="M18" s="124"/>
      <c r="N18" s="5">
        <v>0.03</v>
      </c>
    </row>
    <row r="19" spans="4:14" x14ac:dyDescent="0.25">
      <c r="D19" s="135" t="s">
        <v>3</v>
      </c>
      <c r="E19" s="136"/>
      <c r="F19" s="9">
        <v>0.05</v>
      </c>
      <c r="L19" s="103" t="s">
        <v>9</v>
      </c>
      <c r="M19" s="79"/>
      <c r="N19" s="6">
        <v>12</v>
      </c>
    </row>
    <row r="20" spans="4:14" x14ac:dyDescent="0.25">
      <c r="D20" s="137" t="s">
        <v>2</v>
      </c>
      <c r="E20" s="138"/>
      <c r="F20" s="10">
        <v>1</v>
      </c>
      <c r="L20" s="103" t="s">
        <v>10</v>
      </c>
      <c r="M20" s="79"/>
      <c r="N20" s="6">
        <v>1</v>
      </c>
    </row>
    <row r="21" spans="4:14" ht="15.75" thickBot="1" x14ac:dyDescent="0.3">
      <c r="D21" s="139" t="s">
        <v>4</v>
      </c>
      <c r="E21" s="140"/>
      <c r="F21" s="11" t="s">
        <v>5</v>
      </c>
      <c r="L21" s="103" t="s">
        <v>11</v>
      </c>
      <c r="M21" s="79"/>
      <c r="N21" s="17">
        <f>(1+N18/N19)^1 -1</f>
        <v>2.4999999999999467E-3</v>
      </c>
    </row>
    <row r="22" spans="4:14" ht="15.75" thickBot="1" x14ac:dyDescent="0.3">
      <c r="L22" s="131" t="s">
        <v>8</v>
      </c>
      <c r="M22" s="132"/>
      <c r="N22" s="32">
        <f>-PMT(N21,N19,,N17)</f>
        <v>246.5810962754669</v>
      </c>
    </row>
    <row r="23" spans="4:14" ht="15.75" thickBot="1" x14ac:dyDescent="0.3">
      <c r="D23" s="127" t="s">
        <v>6</v>
      </c>
      <c r="E23" s="128"/>
      <c r="F23" s="31">
        <f>F18/(1+F19)</f>
        <v>1142.8571428571429</v>
      </c>
    </row>
    <row r="24" spans="4:14" ht="15.75" thickBot="1" x14ac:dyDescent="0.3">
      <c r="D24" s="129" t="s">
        <v>6</v>
      </c>
      <c r="E24" s="130"/>
      <c r="F24" s="12">
        <f>-PV(F19,F20,,F18)</f>
        <v>1142.8571428571429</v>
      </c>
    </row>
    <row r="35" spans="2:22" ht="15.75" thickBot="1" x14ac:dyDescent="0.3"/>
    <row r="36" spans="2:22" ht="15.75" thickBot="1" x14ac:dyDescent="0.3">
      <c r="B36" s="80" t="s">
        <v>1</v>
      </c>
      <c r="C36" s="81"/>
      <c r="D36" s="16">
        <v>25000</v>
      </c>
      <c r="K36" s="116" t="s">
        <v>19</v>
      </c>
      <c r="L36" s="117"/>
      <c r="M36" s="117"/>
      <c r="N36" s="118"/>
      <c r="Q36" s="116" t="s">
        <v>20</v>
      </c>
      <c r="R36" s="117"/>
      <c r="S36" s="117"/>
      <c r="T36" s="118"/>
    </row>
    <row r="37" spans="2:22" x14ac:dyDescent="0.25">
      <c r="B37" s="123" t="s">
        <v>12</v>
      </c>
      <c r="C37" s="124"/>
      <c r="D37" s="5">
        <v>0.04</v>
      </c>
      <c r="U37" t="s">
        <v>14</v>
      </c>
    </row>
    <row r="38" spans="2:22" ht="15.75" thickBot="1" x14ac:dyDescent="0.3">
      <c r="B38" s="95" t="s">
        <v>2</v>
      </c>
      <c r="C38" s="96"/>
      <c r="D38" s="7">
        <v>5</v>
      </c>
      <c r="L38" t="s">
        <v>1</v>
      </c>
      <c r="M38" s="1">
        <v>300</v>
      </c>
      <c r="R38" s="14" t="s">
        <v>21</v>
      </c>
      <c r="S38" s="1">
        <v>110</v>
      </c>
      <c r="U38">
        <v>1</v>
      </c>
      <c r="V38" s="13">
        <f>PV($S$39,U38,,$S$38)</f>
        <v>-103.77358490566037</v>
      </c>
    </row>
    <row r="39" spans="2:22" ht="15.75" thickBot="1" x14ac:dyDescent="0.3">
      <c r="M39" s="13"/>
      <c r="R39" t="s">
        <v>22</v>
      </c>
      <c r="S39" s="2">
        <v>0.06</v>
      </c>
      <c r="U39">
        <v>2</v>
      </c>
      <c r="V39" s="13">
        <f t="shared" ref="V39:V40" si="0">PV($S$39,U39,,$S$38)</f>
        <v>-97.899608401566383</v>
      </c>
    </row>
    <row r="40" spans="2:22" ht="15.75" thickBot="1" x14ac:dyDescent="0.3">
      <c r="B40" s="125" t="s">
        <v>13</v>
      </c>
      <c r="C40" s="126"/>
      <c r="D40" s="18">
        <f>-PMT(D37,D38,D36)</f>
        <v>5615.6778373258485</v>
      </c>
      <c r="R40" t="s">
        <v>14</v>
      </c>
      <c r="S40">
        <v>3</v>
      </c>
      <c r="U40">
        <v>3</v>
      </c>
      <c r="V40" s="13">
        <f t="shared" si="0"/>
        <v>-92.358121133553183</v>
      </c>
    </row>
    <row r="41" spans="2:22" x14ac:dyDescent="0.25">
      <c r="B41" s="21"/>
      <c r="C41" s="22"/>
      <c r="D41" s="22"/>
      <c r="E41" s="22"/>
      <c r="F41" s="23" t="s">
        <v>17</v>
      </c>
      <c r="S41" s="13">
        <f>-PV(S39,S40,S38)</f>
        <v>294.03131444078036</v>
      </c>
      <c r="V41" s="13">
        <f>SUM(V38:V40)</f>
        <v>-294.03131444077997</v>
      </c>
    </row>
    <row r="42" spans="2:22" x14ac:dyDescent="0.25">
      <c r="B42" s="24" t="s">
        <v>14</v>
      </c>
      <c r="C42" s="4" t="s">
        <v>15</v>
      </c>
      <c r="D42" s="4" t="s">
        <v>13</v>
      </c>
      <c r="E42" s="19" t="s">
        <v>16</v>
      </c>
      <c r="F42" s="25">
        <f>D36</f>
        <v>25000</v>
      </c>
    </row>
    <row r="43" spans="2:22" x14ac:dyDescent="0.25">
      <c r="B43" s="24">
        <v>1</v>
      </c>
      <c r="C43" s="20">
        <f>F42*$D$37</f>
        <v>1000</v>
      </c>
      <c r="D43" s="15">
        <f>$D$40</f>
        <v>5615.6778373258485</v>
      </c>
      <c r="E43" s="15">
        <f>D43-C43</f>
        <v>4615.6778373258485</v>
      </c>
      <c r="F43" s="26">
        <f>F42-E43</f>
        <v>20384.322162674151</v>
      </c>
      <c r="M43" s="109" t="s">
        <v>23</v>
      </c>
      <c r="N43" s="109"/>
      <c r="O43" s="109"/>
      <c r="P43" s="109"/>
    </row>
    <row r="44" spans="2:22" x14ac:dyDescent="0.25">
      <c r="B44" s="24">
        <v>2</v>
      </c>
      <c r="C44" s="20">
        <f t="shared" ref="C44:C47" si="1">F43*$D$37</f>
        <v>815.3728865069661</v>
      </c>
      <c r="D44" s="15">
        <f t="shared" ref="D44:D47" si="2">$D$40</f>
        <v>5615.6778373258485</v>
      </c>
      <c r="E44" s="15">
        <f t="shared" ref="E44:E47" si="3">D44-C44</f>
        <v>4800.3049508188824</v>
      </c>
      <c r="F44" s="26">
        <f t="shared" ref="F44:F47" si="4">F43-E44</f>
        <v>15584.017211855269</v>
      </c>
    </row>
    <row r="45" spans="2:22" x14ac:dyDescent="0.25">
      <c r="B45" s="24">
        <v>3</v>
      </c>
      <c r="C45" s="20">
        <f t="shared" si="1"/>
        <v>623.36068847421075</v>
      </c>
      <c r="D45" s="15">
        <f t="shared" si="2"/>
        <v>5615.6778373258485</v>
      </c>
      <c r="E45" s="15">
        <f t="shared" si="3"/>
        <v>4992.3171488516382</v>
      </c>
      <c r="F45" s="26">
        <f t="shared" si="4"/>
        <v>10591.700063003631</v>
      </c>
    </row>
    <row r="46" spans="2:22" x14ac:dyDescent="0.25">
      <c r="B46" s="24">
        <v>4</v>
      </c>
      <c r="C46" s="20">
        <f t="shared" si="1"/>
        <v>423.66800252014525</v>
      </c>
      <c r="D46" s="15">
        <f t="shared" si="2"/>
        <v>5615.6778373258485</v>
      </c>
      <c r="E46" s="15">
        <f t="shared" si="3"/>
        <v>5192.0098348057036</v>
      </c>
      <c r="F46" s="26">
        <f t="shared" si="4"/>
        <v>5399.6902281979274</v>
      </c>
    </row>
    <row r="47" spans="2:22" ht="15.75" thickBot="1" x14ac:dyDescent="0.3">
      <c r="B47" s="27">
        <v>5</v>
      </c>
      <c r="C47" s="28">
        <f t="shared" si="1"/>
        <v>215.9876091279171</v>
      </c>
      <c r="D47" s="29">
        <f t="shared" si="2"/>
        <v>5615.6778373258485</v>
      </c>
      <c r="E47" s="29">
        <f t="shared" si="3"/>
        <v>5399.690228197931</v>
      </c>
      <c r="F47" s="7">
        <f t="shared" si="4"/>
        <v>0</v>
      </c>
    </row>
    <row r="48" spans="2:22" ht="15.75" thickBot="1" x14ac:dyDescent="0.3"/>
    <row r="49" spans="1:23" ht="15.75" thickBot="1" x14ac:dyDescent="0.3">
      <c r="C49" s="105" t="s">
        <v>18</v>
      </c>
      <c r="D49" s="106"/>
      <c r="E49" s="30">
        <f>SUM(C43:C47)</f>
        <v>3078.3891866292392</v>
      </c>
    </row>
    <row r="50" spans="1:23" ht="15.75" thickBot="1" x14ac:dyDescent="0.3"/>
    <row r="51" spans="1:23" x14ac:dyDescent="0.25">
      <c r="A51" s="97" t="s">
        <v>24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9"/>
    </row>
    <row r="52" spans="1:23" ht="15.75" thickBot="1" x14ac:dyDescent="0.3">
      <c r="A52" s="100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2"/>
    </row>
    <row r="71" spans="1:23" ht="15.75" thickBot="1" x14ac:dyDescent="0.3"/>
    <row r="72" spans="1:23" ht="15.75" thickBot="1" x14ac:dyDescent="0.3">
      <c r="B72" s="119" t="s">
        <v>25</v>
      </c>
      <c r="C72" s="120"/>
      <c r="D72" s="34">
        <v>65000000</v>
      </c>
    </row>
    <row r="73" spans="1:23" x14ac:dyDescent="0.25">
      <c r="B73" s="121" t="s">
        <v>7</v>
      </c>
      <c r="C73" s="122"/>
      <c r="D73" s="35">
        <v>0.08</v>
      </c>
      <c r="N73" s="21"/>
      <c r="O73" s="22"/>
      <c r="P73" s="22" t="s">
        <v>44</v>
      </c>
      <c r="Q73" s="23" t="s">
        <v>45</v>
      </c>
      <c r="S73" s="21"/>
      <c r="T73" s="22"/>
      <c r="U73" s="22"/>
      <c r="V73" s="22" t="s">
        <v>44</v>
      </c>
      <c r="W73" s="23" t="s">
        <v>45</v>
      </c>
    </row>
    <row r="74" spans="1:23" x14ac:dyDescent="0.25">
      <c r="B74" s="121" t="s">
        <v>26</v>
      </c>
      <c r="C74" s="122"/>
      <c r="D74" s="36">
        <v>2</v>
      </c>
      <c r="N74" s="103" t="s">
        <v>46</v>
      </c>
      <c r="O74" s="79"/>
      <c r="P74" s="4">
        <v>25</v>
      </c>
      <c r="Q74" s="6">
        <v>25</v>
      </c>
      <c r="S74" s="103" t="s">
        <v>60</v>
      </c>
      <c r="T74" s="79"/>
      <c r="U74" s="79"/>
      <c r="V74" s="48">
        <v>2E-3</v>
      </c>
      <c r="W74" s="49">
        <v>2E-3</v>
      </c>
    </row>
    <row r="75" spans="1:23" ht="15.75" thickBot="1" x14ac:dyDescent="0.3">
      <c r="B75" s="110" t="s">
        <v>2</v>
      </c>
      <c r="C75" s="111"/>
      <c r="D75" s="37">
        <v>8</v>
      </c>
      <c r="N75" s="103" t="s">
        <v>47</v>
      </c>
      <c r="O75" s="79"/>
      <c r="P75" s="4">
        <v>65</v>
      </c>
      <c r="Q75" s="6">
        <v>60</v>
      </c>
      <c r="S75" s="103" t="s">
        <v>59</v>
      </c>
      <c r="T75" s="79"/>
      <c r="U75" s="79"/>
      <c r="V75" s="15">
        <f>-FV(V74,P78,P82)</f>
        <v>174677985.10748067</v>
      </c>
      <c r="W75" s="50">
        <f>-FV(W74,Q78,Q82)</f>
        <v>114144635.19729827</v>
      </c>
    </row>
    <row r="76" spans="1:23" ht="15.75" thickBot="1" x14ac:dyDescent="0.3">
      <c r="N76" s="103" t="s">
        <v>48</v>
      </c>
      <c r="O76" s="79"/>
      <c r="P76" s="4">
        <v>85</v>
      </c>
      <c r="Q76" s="6">
        <v>90</v>
      </c>
      <c r="S76" s="95" t="s">
        <v>61</v>
      </c>
      <c r="T76" s="96"/>
      <c r="U76" s="96"/>
      <c r="V76" s="29">
        <f>PMT(V74,P80,-V75)</f>
        <v>917137.57956119278</v>
      </c>
      <c r="W76" s="51">
        <f>PMT(W74,Q80,-W75)</f>
        <v>445097.15018392843</v>
      </c>
    </row>
    <row r="77" spans="1:23" ht="15.75" thickBot="1" x14ac:dyDescent="0.3">
      <c r="A77" s="46" t="s">
        <v>34</v>
      </c>
      <c r="B77" s="113" t="s">
        <v>27</v>
      </c>
      <c r="C77" s="114"/>
      <c r="D77" s="114"/>
      <c r="E77" s="114"/>
      <c r="F77" s="115"/>
      <c r="H77" s="113" t="s">
        <v>30</v>
      </c>
      <c r="I77" s="114"/>
      <c r="J77" s="114"/>
      <c r="K77" s="114"/>
      <c r="L77" s="115"/>
      <c r="N77" s="103" t="s">
        <v>55</v>
      </c>
      <c r="O77" s="79"/>
      <c r="P77" s="4">
        <f>P75-P74</f>
        <v>40</v>
      </c>
      <c r="Q77" s="6">
        <f>Q75-Q74</f>
        <v>35</v>
      </c>
      <c r="S77" s="104"/>
      <c r="T77" s="104"/>
      <c r="U77" s="104"/>
      <c r="V77" s="13"/>
    </row>
    <row r="78" spans="1:23" x14ac:dyDescent="0.25">
      <c r="N78" s="103" t="s">
        <v>56</v>
      </c>
      <c r="O78" s="79"/>
      <c r="P78" s="4">
        <f>P77*12</f>
        <v>480</v>
      </c>
      <c r="Q78" s="6">
        <f>Q77*12</f>
        <v>420</v>
      </c>
      <c r="S78" s="21"/>
      <c r="T78" s="52"/>
      <c r="U78" s="22"/>
      <c r="V78" s="22" t="s">
        <v>63</v>
      </c>
      <c r="W78" s="23" t="s">
        <v>45</v>
      </c>
    </row>
    <row r="79" spans="1:23" x14ac:dyDescent="0.25">
      <c r="B79" s="112" t="s">
        <v>28</v>
      </c>
      <c r="C79" s="112"/>
      <c r="D79">
        <f>POWER(1+(D73/D74),2) -1</f>
        <v>8.1600000000000117E-2</v>
      </c>
      <c r="H79" s="104" t="s">
        <v>33</v>
      </c>
      <c r="I79" s="104"/>
      <c r="J79" s="1">
        <f>F85</f>
        <v>45245009.51578369</v>
      </c>
      <c r="N79" s="103" t="s">
        <v>57</v>
      </c>
      <c r="O79" s="79"/>
      <c r="P79" s="4">
        <f>P76-P75</f>
        <v>20</v>
      </c>
      <c r="Q79" s="6">
        <f>Q76-Q75</f>
        <v>30</v>
      </c>
      <c r="S79" s="83" t="s">
        <v>62</v>
      </c>
      <c r="T79" s="84"/>
      <c r="U79" s="85"/>
      <c r="V79" s="3">
        <v>300000</v>
      </c>
      <c r="W79" s="38">
        <v>500000</v>
      </c>
    </row>
    <row r="80" spans="1:23" ht="15.75" thickBot="1" x14ac:dyDescent="0.3">
      <c r="B80" s="104" t="s">
        <v>13</v>
      </c>
      <c r="C80" s="104"/>
      <c r="D80" s="13">
        <f>-PMT(D79,D75,D72)</f>
        <v>11379731.896831045</v>
      </c>
      <c r="H80" s="104" t="s">
        <v>31</v>
      </c>
      <c r="I80" s="104"/>
      <c r="J80" s="2">
        <v>0.05</v>
      </c>
      <c r="N80" s="103" t="s">
        <v>58</v>
      </c>
      <c r="O80" s="79"/>
      <c r="P80" s="4">
        <f>12*P79</f>
        <v>240</v>
      </c>
      <c r="Q80" s="6">
        <f>12*Q79</f>
        <v>360</v>
      </c>
      <c r="S80" s="83" t="s">
        <v>64</v>
      </c>
      <c r="T80" s="84"/>
      <c r="U80" s="85"/>
      <c r="V80" s="15">
        <f>V76+V79</f>
        <v>1217137.5795611928</v>
      </c>
      <c r="W80" s="50">
        <f>W76+W79</f>
        <v>945097.15018392843</v>
      </c>
    </row>
    <row r="81" spans="1:23" x14ac:dyDescent="0.25">
      <c r="B81" s="21"/>
      <c r="C81" s="22"/>
      <c r="D81" s="22"/>
      <c r="E81" s="22"/>
      <c r="F81" s="23" t="s">
        <v>17</v>
      </c>
      <c r="H81" s="104" t="s">
        <v>32</v>
      </c>
      <c r="I81" s="104"/>
      <c r="J81">
        <v>3</v>
      </c>
      <c r="N81" s="103" t="s">
        <v>49</v>
      </c>
      <c r="O81" s="79"/>
      <c r="P81" s="3">
        <v>1670000</v>
      </c>
      <c r="Q81" s="38">
        <f>P81*0.8</f>
        <v>1336000</v>
      </c>
      <c r="S81" s="83" t="s">
        <v>65</v>
      </c>
      <c r="T81" s="84"/>
      <c r="U81" s="85"/>
      <c r="V81" s="15">
        <f>-PV(V74,P80,V80)</f>
        <v>231815972.5807614</v>
      </c>
      <c r="W81" s="50">
        <f>-PV(W74,Q80,W80)</f>
        <v>242369040.98166293</v>
      </c>
    </row>
    <row r="82" spans="1:23" ht="15.75" thickBot="1" x14ac:dyDescent="0.3">
      <c r="B82" s="24" t="s">
        <v>14</v>
      </c>
      <c r="C82" s="4" t="s">
        <v>15</v>
      </c>
      <c r="D82" s="4" t="s">
        <v>13</v>
      </c>
      <c r="E82" s="19" t="s">
        <v>29</v>
      </c>
      <c r="F82" s="38">
        <f>D72</f>
        <v>65000000</v>
      </c>
      <c r="H82" s="104" t="s">
        <v>13</v>
      </c>
      <c r="I82" s="104"/>
      <c r="J82" s="13">
        <f>-PMT(J80,J81,J79)</f>
        <v>16614355.001017952</v>
      </c>
      <c r="N82" s="103" t="s">
        <v>50</v>
      </c>
      <c r="O82" s="79"/>
      <c r="P82" s="3">
        <f>0.13*P81</f>
        <v>217100</v>
      </c>
      <c r="Q82" s="38">
        <f>0.13*Q81</f>
        <v>173680</v>
      </c>
      <c r="S82" s="83" t="s">
        <v>66</v>
      </c>
      <c r="T82" s="84"/>
      <c r="U82" s="85"/>
      <c r="V82" s="15">
        <f>-PMT(V74,P78,,V81)</f>
        <v>288114.42733505159</v>
      </c>
      <c r="W82" s="50">
        <f>-PMT(W74,Q78,,W81)</f>
        <v>368783.47339701263</v>
      </c>
    </row>
    <row r="83" spans="1:23" ht="15.75" thickBot="1" x14ac:dyDescent="0.3">
      <c r="B83" s="24">
        <v>1</v>
      </c>
      <c r="C83" s="15">
        <f t="shared" ref="C83:C90" si="5">F82*$D$79</f>
        <v>5304000.0000000075</v>
      </c>
      <c r="D83" s="15">
        <f>$D$80</f>
        <v>11379731.896831045</v>
      </c>
      <c r="E83" s="4">
        <f>D83-C83</f>
        <v>6075731.8968310375</v>
      </c>
      <c r="F83" s="38">
        <f>F82-E83</f>
        <v>58924268.103168964</v>
      </c>
      <c r="H83" s="21"/>
      <c r="I83" s="22"/>
      <c r="J83" s="22"/>
      <c r="K83" s="22"/>
      <c r="L83" s="23" t="s">
        <v>17</v>
      </c>
      <c r="N83" s="103" t="s">
        <v>51</v>
      </c>
      <c r="O83" s="79"/>
      <c r="P83" s="3">
        <f>0.07*P81</f>
        <v>116900.00000000001</v>
      </c>
      <c r="Q83" s="38">
        <f>0.07*Q81</f>
        <v>93520.000000000015</v>
      </c>
      <c r="S83" s="86" t="s">
        <v>67</v>
      </c>
      <c r="T83" s="87"/>
      <c r="U83" s="88"/>
      <c r="V83" s="29">
        <f>V82-P82</f>
        <v>71014.427335051587</v>
      </c>
      <c r="W83" s="51">
        <f>W82-Q82</f>
        <v>195103.47339701263</v>
      </c>
    </row>
    <row r="84" spans="1:23" x14ac:dyDescent="0.25">
      <c r="B84" s="24">
        <v>2</v>
      </c>
      <c r="C84" s="15">
        <f t="shared" si="5"/>
        <v>4808220.2772185942</v>
      </c>
      <c r="D84" s="15">
        <f t="shared" ref="D84:D90" si="6">$D$80</f>
        <v>11379731.896831045</v>
      </c>
      <c r="E84" s="4">
        <f t="shared" ref="E84:E90" si="7">D84-C84</f>
        <v>6571511.6196124507</v>
      </c>
      <c r="F84" s="38">
        <f t="shared" ref="F84:F90" si="8">F83-E84</f>
        <v>52352756.483556516</v>
      </c>
      <c r="H84" s="24" t="s">
        <v>14</v>
      </c>
      <c r="I84" s="4" t="s">
        <v>15</v>
      </c>
      <c r="J84" s="4" t="s">
        <v>13</v>
      </c>
      <c r="K84" s="4" t="s">
        <v>29</v>
      </c>
      <c r="L84" s="38">
        <f>J79</f>
        <v>45245009.51578369</v>
      </c>
      <c r="N84" s="103" t="s">
        <v>52</v>
      </c>
      <c r="O84" s="79"/>
      <c r="P84" s="3">
        <f>P81-P82-P83</f>
        <v>1336000</v>
      </c>
      <c r="Q84" s="38">
        <f>Q81-Q82-Q83</f>
        <v>1068800</v>
      </c>
    </row>
    <row r="85" spans="1:23" x14ac:dyDescent="0.25">
      <c r="B85" s="41">
        <v>3</v>
      </c>
      <c r="C85" s="42">
        <f t="shared" si="5"/>
        <v>4271984.9290582174</v>
      </c>
      <c r="D85" s="42">
        <f t="shared" si="6"/>
        <v>11379731.896831045</v>
      </c>
      <c r="E85" s="43">
        <f t="shared" si="7"/>
        <v>7107746.9677728275</v>
      </c>
      <c r="F85" s="44">
        <f t="shared" si="8"/>
        <v>45245009.51578369</v>
      </c>
      <c r="H85" s="24">
        <v>1</v>
      </c>
      <c r="I85" s="3">
        <f>L84*$J$80</f>
        <v>2262250.4757891847</v>
      </c>
      <c r="J85" s="15">
        <f>$J$82</f>
        <v>16614355.001017952</v>
      </c>
      <c r="K85" s="4">
        <f>J85-I85</f>
        <v>14352104.525228769</v>
      </c>
      <c r="L85" s="38">
        <f>L84-K85</f>
        <v>30892904.990554921</v>
      </c>
      <c r="N85" s="103" t="s">
        <v>53</v>
      </c>
      <c r="O85" s="79"/>
      <c r="P85" s="3">
        <f>0.1*P84</f>
        <v>133600</v>
      </c>
      <c r="Q85" s="38">
        <f>0.1*Q84</f>
        <v>106880</v>
      </c>
    </row>
    <row r="86" spans="1:23" ht="15.75" thickBot="1" x14ac:dyDescent="0.3">
      <c r="B86" s="24">
        <v>4</v>
      </c>
      <c r="C86" s="15">
        <f t="shared" si="5"/>
        <v>3691992.7764879544</v>
      </c>
      <c r="D86" s="15">
        <f t="shared" si="6"/>
        <v>11379731.896831045</v>
      </c>
      <c r="E86" s="4">
        <f t="shared" si="7"/>
        <v>7687739.120343091</v>
      </c>
      <c r="F86" s="38">
        <f t="shared" si="8"/>
        <v>37557270.395440601</v>
      </c>
      <c r="H86" s="24">
        <v>2</v>
      </c>
      <c r="I86" s="3">
        <f t="shared" ref="I86:I87" si="9">L85*$J$80</f>
        <v>1544645.2495277461</v>
      </c>
      <c r="J86" s="15">
        <f t="shared" ref="J86:J87" si="10">$J$82</f>
        <v>16614355.001017952</v>
      </c>
      <c r="K86" s="4">
        <f t="shared" ref="K86:K87" si="11">J86-I86</f>
        <v>15069709.751490206</v>
      </c>
      <c r="L86" s="38">
        <f t="shared" ref="L86:L87" si="12">L85-K86</f>
        <v>15823195.239064716</v>
      </c>
      <c r="N86" s="95" t="s">
        <v>54</v>
      </c>
      <c r="O86" s="96"/>
      <c r="P86" s="45">
        <f>P84-P85</f>
        <v>1202400</v>
      </c>
      <c r="Q86" s="40">
        <f>Q84-Q85</f>
        <v>961920</v>
      </c>
    </row>
    <row r="87" spans="1:23" ht="15.75" thickBot="1" x14ac:dyDescent="0.3">
      <c r="B87" s="24">
        <v>5</v>
      </c>
      <c r="C87" s="15">
        <f t="shared" si="5"/>
        <v>3064673.2642679573</v>
      </c>
      <c r="D87" s="15">
        <f t="shared" si="6"/>
        <v>11379731.896831045</v>
      </c>
      <c r="E87" s="4">
        <f t="shared" si="7"/>
        <v>8315058.6325630881</v>
      </c>
      <c r="F87" s="38">
        <f t="shared" si="8"/>
        <v>29242211.762877513</v>
      </c>
      <c r="H87" s="27">
        <v>3</v>
      </c>
      <c r="I87" s="45">
        <f t="shared" si="9"/>
        <v>791159.76195323584</v>
      </c>
      <c r="J87" s="29">
        <f t="shared" si="10"/>
        <v>16614355.001017952</v>
      </c>
      <c r="K87" s="39">
        <f t="shared" si="11"/>
        <v>15823195.239064716</v>
      </c>
      <c r="L87" s="40">
        <f t="shared" si="12"/>
        <v>0</v>
      </c>
    </row>
    <row r="88" spans="1:23" x14ac:dyDescent="0.25">
      <c r="B88" s="24">
        <v>6</v>
      </c>
      <c r="C88" s="15">
        <f t="shared" si="5"/>
        <v>2386164.4798508086</v>
      </c>
      <c r="D88" s="15">
        <f t="shared" si="6"/>
        <v>11379731.896831045</v>
      </c>
      <c r="E88" s="4">
        <f t="shared" si="7"/>
        <v>8993567.4169802368</v>
      </c>
      <c r="F88" s="38">
        <f t="shared" si="8"/>
        <v>20248644.345897276</v>
      </c>
    </row>
    <row r="89" spans="1:23" x14ac:dyDescent="0.25">
      <c r="B89" s="24">
        <v>7</v>
      </c>
      <c r="C89" s="15">
        <f t="shared" si="5"/>
        <v>1652289.3786252202</v>
      </c>
      <c r="D89" s="15">
        <f t="shared" si="6"/>
        <v>11379731.896831045</v>
      </c>
      <c r="E89" s="4">
        <f t="shared" si="7"/>
        <v>9727442.5182058252</v>
      </c>
      <c r="F89" s="38">
        <f t="shared" si="8"/>
        <v>10521201.827691451</v>
      </c>
    </row>
    <row r="90" spans="1:23" ht="15.75" thickBot="1" x14ac:dyDescent="0.3">
      <c r="B90" s="27">
        <v>8</v>
      </c>
      <c r="C90" s="29">
        <f t="shared" si="5"/>
        <v>858530.06913962367</v>
      </c>
      <c r="D90" s="29">
        <f t="shared" si="6"/>
        <v>11379731.896831045</v>
      </c>
      <c r="E90" s="39">
        <f t="shared" si="7"/>
        <v>10521201.827691421</v>
      </c>
      <c r="F90" s="40">
        <f t="shared" si="8"/>
        <v>2.9802322387695313E-8</v>
      </c>
    </row>
    <row r="92" spans="1:23" x14ac:dyDescent="0.25">
      <c r="A92" s="33" t="s">
        <v>35</v>
      </c>
    </row>
    <row r="93" spans="1:23" x14ac:dyDescent="0.25">
      <c r="B93" s="104" t="s">
        <v>31</v>
      </c>
      <c r="C93" s="104"/>
      <c r="D93" s="2">
        <v>0.03</v>
      </c>
    </row>
    <row r="94" spans="1:23" x14ac:dyDescent="0.25">
      <c r="B94" t="s">
        <v>14</v>
      </c>
      <c r="C94" s="104" t="s">
        <v>37</v>
      </c>
      <c r="D94" s="104"/>
      <c r="E94" s="104" t="s">
        <v>38</v>
      </c>
      <c r="F94" s="104"/>
    </row>
    <row r="95" spans="1:23" x14ac:dyDescent="0.25">
      <c r="B95">
        <v>1</v>
      </c>
      <c r="C95" s="107">
        <f>$D$80</f>
        <v>11379731.896831045</v>
      </c>
      <c r="D95" s="104"/>
      <c r="E95" s="107">
        <f>-PV($D$93,B95,,C95)</f>
        <v>11048283.394981597</v>
      </c>
      <c r="F95" s="104"/>
      <c r="G95" s="13"/>
    </row>
    <row r="96" spans="1:23" x14ac:dyDescent="0.25">
      <c r="B96">
        <v>2</v>
      </c>
      <c r="C96" s="107">
        <f t="shared" ref="C96:C97" si="13">$D$80</f>
        <v>11379731.896831045</v>
      </c>
      <c r="D96" s="104"/>
      <c r="E96" s="107">
        <f t="shared" ref="E96:E100" si="14">-PV($D$93,B96,,C96)</f>
        <v>10726488.732991843</v>
      </c>
      <c r="F96" s="104"/>
      <c r="G96" s="13"/>
    </row>
    <row r="97" spans="1:23" x14ac:dyDescent="0.25">
      <c r="B97">
        <v>3</v>
      </c>
      <c r="C97" s="107">
        <f t="shared" si="13"/>
        <v>11379731.896831045</v>
      </c>
      <c r="D97" s="104"/>
      <c r="E97" s="107">
        <f t="shared" si="14"/>
        <v>10414066.731060041</v>
      </c>
      <c r="F97" s="104"/>
      <c r="G97" s="13"/>
    </row>
    <row r="98" spans="1:23" x14ac:dyDescent="0.25">
      <c r="B98">
        <v>4</v>
      </c>
      <c r="C98" s="107">
        <f>$J$82</f>
        <v>16614355.001017952</v>
      </c>
      <c r="D98" s="104"/>
      <c r="E98" s="107">
        <f t="shared" si="14"/>
        <v>14761639.227877704</v>
      </c>
      <c r="F98" s="104"/>
      <c r="G98" s="13"/>
    </row>
    <row r="99" spans="1:23" x14ac:dyDescent="0.25">
      <c r="B99">
        <v>5</v>
      </c>
      <c r="C99" s="107">
        <f t="shared" ref="C99:C100" si="15">$J$82</f>
        <v>16614355.001017952</v>
      </c>
      <c r="D99" s="104"/>
      <c r="E99" s="107">
        <f t="shared" si="14"/>
        <v>14331688.570755053</v>
      </c>
      <c r="F99" s="104"/>
      <c r="G99" s="13"/>
    </row>
    <row r="100" spans="1:23" x14ac:dyDescent="0.25">
      <c r="B100">
        <v>6</v>
      </c>
      <c r="C100" s="107">
        <f t="shared" si="15"/>
        <v>16614355.001017952</v>
      </c>
      <c r="D100" s="104"/>
      <c r="E100" s="107">
        <f t="shared" si="14"/>
        <v>13914260.748305876</v>
      </c>
      <c r="F100" s="104"/>
      <c r="G100" s="13"/>
    </row>
    <row r="101" spans="1:23" x14ac:dyDescent="0.25">
      <c r="B101" s="109" t="s">
        <v>36</v>
      </c>
      <c r="C101" s="109"/>
      <c r="D101" s="109"/>
      <c r="E101" s="108">
        <f>SUM(E95:F100)</f>
        <v>75196427.405972108</v>
      </c>
      <c r="F101" s="109"/>
      <c r="G101" s="13"/>
    </row>
    <row r="103" spans="1:23" x14ac:dyDescent="0.25">
      <c r="A103" s="33" t="s">
        <v>39</v>
      </c>
    </row>
    <row r="104" spans="1:23" x14ac:dyDescent="0.25">
      <c r="C104" s="104" t="s">
        <v>40</v>
      </c>
      <c r="D104" s="104"/>
      <c r="E104" s="1">
        <f>F85</f>
        <v>45245009.51578369</v>
      </c>
    </row>
    <row r="105" spans="1:23" x14ac:dyDescent="0.25">
      <c r="C105" s="104" t="s">
        <v>41</v>
      </c>
      <c r="D105" s="104"/>
      <c r="E105">
        <v>3</v>
      </c>
      <c r="G105" s="1"/>
    </row>
    <row r="106" spans="1:23" ht="15.75" thickBot="1" x14ac:dyDescent="0.3">
      <c r="C106" s="104" t="s">
        <v>42</v>
      </c>
      <c r="D106" s="104"/>
      <c r="E106" s="2">
        <v>0.01</v>
      </c>
      <c r="G106" s="13">
        <f>E107-E104</f>
        <v>1370969.033337757</v>
      </c>
    </row>
    <row r="107" spans="1:23" ht="15.75" thickBot="1" x14ac:dyDescent="0.3">
      <c r="C107" s="105" t="s">
        <v>43</v>
      </c>
      <c r="D107" s="106"/>
      <c r="E107" s="47">
        <f>-FV(E106,E105,,E104)</f>
        <v>46615978.549121447</v>
      </c>
    </row>
    <row r="108" spans="1:23" ht="15.75" thickBot="1" x14ac:dyDescent="0.3"/>
    <row r="109" spans="1:23" x14ac:dyDescent="0.25">
      <c r="A109" s="97" t="s">
        <v>74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9"/>
    </row>
    <row r="110" spans="1:23" ht="15.75" thickBot="1" x14ac:dyDescent="0.3">
      <c r="A110" s="100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2"/>
    </row>
    <row r="129" spans="1:21" ht="15.75" thickBot="1" x14ac:dyDescent="0.3"/>
    <row r="130" spans="1:21" x14ac:dyDescent="0.25">
      <c r="A130" s="33" t="s">
        <v>34</v>
      </c>
      <c r="B130" s="80" t="s">
        <v>33</v>
      </c>
      <c r="C130" s="81"/>
      <c r="D130" s="75">
        <v>35000000</v>
      </c>
      <c r="K130" s="91" t="s">
        <v>120</v>
      </c>
      <c r="L130" s="91"/>
      <c r="M130" s="92">
        <v>1760000</v>
      </c>
      <c r="O130" s="79" t="s">
        <v>122</v>
      </c>
      <c r="P130" s="79"/>
      <c r="Q130" s="79"/>
      <c r="S130" s="79" t="s">
        <v>127</v>
      </c>
      <c r="T130" s="79"/>
      <c r="U130" s="79"/>
    </row>
    <row r="131" spans="1:21" x14ac:dyDescent="0.25">
      <c r="B131" s="103" t="s">
        <v>76</v>
      </c>
      <c r="C131" s="79"/>
      <c r="D131" s="5">
        <v>0.12</v>
      </c>
      <c r="K131" s="91"/>
      <c r="L131" s="91"/>
      <c r="M131" s="92"/>
      <c r="O131" s="4" t="s">
        <v>56</v>
      </c>
      <c r="P131" s="4"/>
      <c r="Q131" s="4">
        <f>20*12</f>
        <v>240</v>
      </c>
      <c r="S131" s="4" t="s">
        <v>56</v>
      </c>
      <c r="T131" s="4"/>
      <c r="U131" s="4">
        <f>20*12</f>
        <v>240</v>
      </c>
    </row>
    <row r="132" spans="1:21" x14ac:dyDescent="0.25">
      <c r="B132" s="103" t="s">
        <v>77</v>
      </c>
      <c r="C132" s="79"/>
      <c r="D132" s="6">
        <v>4</v>
      </c>
      <c r="K132" s="91" t="s">
        <v>121</v>
      </c>
      <c r="L132" s="91"/>
      <c r="M132" s="92">
        <f>1.2*M130</f>
        <v>2112000</v>
      </c>
      <c r="O132" s="4" t="s">
        <v>123</v>
      </c>
      <c r="P132" s="4"/>
      <c r="Q132" s="3">
        <f>M130</f>
        <v>1760000</v>
      </c>
      <c r="S132" s="4" t="s">
        <v>123</v>
      </c>
      <c r="T132" s="4"/>
      <c r="U132" s="3">
        <f>M132</f>
        <v>2112000</v>
      </c>
    </row>
    <row r="133" spans="1:21" x14ac:dyDescent="0.25">
      <c r="B133" s="103" t="s">
        <v>78</v>
      </c>
      <c r="C133" s="79"/>
      <c r="D133" s="6">
        <v>5</v>
      </c>
      <c r="K133" s="91"/>
      <c r="L133" s="91"/>
      <c r="M133" s="93"/>
      <c r="O133" s="4" t="s">
        <v>50</v>
      </c>
      <c r="P133" s="4"/>
      <c r="Q133" s="3">
        <f>0.13*Q132</f>
        <v>228800</v>
      </c>
      <c r="S133" s="4" t="s">
        <v>50</v>
      </c>
      <c r="T133" s="4"/>
      <c r="U133" s="3">
        <f>0.13*U132</f>
        <v>274560</v>
      </c>
    </row>
    <row r="134" spans="1:21" x14ac:dyDescent="0.25">
      <c r="B134" s="94" t="s">
        <v>106</v>
      </c>
      <c r="C134" s="91"/>
      <c r="D134" s="6">
        <f>POWER(1+(D131/D132),2) -1</f>
        <v>6.0899999999999954E-2</v>
      </c>
      <c r="O134" s="4" t="s">
        <v>51</v>
      </c>
      <c r="P134" s="4"/>
      <c r="Q134" s="3">
        <f>0.07*Q132</f>
        <v>123200.00000000001</v>
      </c>
      <c r="S134" s="4" t="s">
        <v>51</v>
      </c>
      <c r="T134" s="4"/>
      <c r="U134" s="3">
        <f>0.07*U132</f>
        <v>147840</v>
      </c>
    </row>
    <row r="135" spans="1:21" ht="15.75" thickBot="1" x14ac:dyDescent="0.3">
      <c r="B135" s="95" t="s">
        <v>13</v>
      </c>
      <c r="C135" s="96"/>
      <c r="D135" s="51">
        <f>-PMT(D134,D133,D130)</f>
        <v>8329227.4942965871</v>
      </c>
      <c r="O135" s="4" t="s">
        <v>124</v>
      </c>
      <c r="P135" s="4"/>
      <c r="Q135" s="3">
        <f>Q132-Q133-Q134</f>
        <v>1408000</v>
      </c>
      <c r="S135" s="4" t="s">
        <v>124</v>
      </c>
      <c r="T135" s="4"/>
      <c r="U135" s="3">
        <f>U132-U133-U134</f>
        <v>1689600</v>
      </c>
    </row>
    <row r="136" spans="1:21" ht="15.75" thickBot="1" x14ac:dyDescent="0.3">
      <c r="O136" s="4" t="s">
        <v>125</v>
      </c>
      <c r="P136" s="4"/>
      <c r="Q136" s="3">
        <f>0.12*Q135</f>
        <v>168960</v>
      </c>
      <c r="S136" s="4" t="s">
        <v>125</v>
      </c>
      <c r="T136" s="4"/>
      <c r="U136" s="3">
        <f>0.12*U135</f>
        <v>202752</v>
      </c>
    </row>
    <row r="137" spans="1:21" x14ac:dyDescent="0.25">
      <c r="B137" s="89" t="s">
        <v>107</v>
      </c>
      <c r="C137" s="90"/>
      <c r="D137" s="90"/>
      <c r="E137" s="90"/>
      <c r="F137" s="72" t="s">
        <v>17</v>
      </c>
      <c r="O137" s="4" t="s">
        <v>126</v>
      </c>
      <c r="P137" s="4"/>
      <c r="Q137" s="3">
        <f>Q135-Q136</f>
        <v>1239040</v>
      </c>
      <c r="S137" s="4" t="s">
        <v>126</v>
      </c>
      <c r="T137" s="4"/>
      <c r="U137" s="3">
        <f>U135-U136</f>
        <v>1486848</v>
      </c>
    </row>
    <row r="138" spans="1:21" x14ac:dyDescent="0.25">
      <c r="B138" s="73" t="s">
        <v>14</v>
      </c>
      <c r="C138" s="74" t="s">
        <v>15</v>
      </c>
      <c r="D138" s="74" t="s">
        <v>13</v>
      </c>
      <c r="E138" s="74" t="s">
        <v>29</v>
      </c>
      <c r="F138" s="38">
        <f>D130</f>
        <v>35000000</v>
      </c>
    </row>
    <row r="139" spans="1:21" ht="15.75" thickBot="1" x14ac:dyDescent="0.3">
      <c r="B139" s="24">
        <v>1</v>
      </c>
      <c r="C139" s="3">
        <f>F138*$D$134</f>
        <v>2131499.9999999986</v>
      </c>
      <c r="D139" s="15">
        <f>$D$135</f>
        <v>8329227.4942965871</v>
      </c>
      <c r="E139" s="4">
        <f>D139-C139</f>
        <v>6197727.494296588</v>
      </c>
      <c r="F139" s="38">
        <f>F138-E139</f>
        <v>28802272.505703412</v>
      </c>
    </row>
    <row r="140" spans="1:21" x14ac:dyDescent="0.25">
      <c r="B140" s="41">
        <v>2</v>
      </c>
      <c r="C140" s="76">
        <f t="shared" ref="C140:C143" si="16">F139*$D$134</f>
        <v>1754058.3955973366</v>
      </c>
      <c r="D140" s="42">
        <f t="shared" ref="D140:D143" si="17">$D$135</f>
        <v>8329227.4942965871</v>
      </c>
      <c r="E140" s="43">
        <f t="shared" ref="E140:E143" si="18">D140-C140</f>
        <v>6575169.0986992503</v>
      </c>
      <c r="F140" s="44">
        <f t="shared" ref="F140:F143" si="19">F139-E140</f>
        <v>22227103.407004163</v>
      </c>
      <c r="K140" s="46" t="s">
        <v>34</v>
      </c>
      <c r="L140" s="80" t="s">
        <v>128</v>
      </c>
      <c r="M140" s="81"/>
      <c r="N140" s="81"/>
      <c r="O140" s="82"/>
    </row>
    <row r="141" spans="1:21" x14ac:dyDescent="0.25">
      <c r="B141" s="24">
        <v>3</v>
      </c>
      <c r="C141" s="3">
        <f t="shared" si="16"/>
        <v>1353630.5974865525</v>
      </c>
      <c r="D141" s="15">
        <f t="shared" si="17"/>
        <v>8329227.4942965871</v>
      </c>
      <c r="E141" s="4">
        <f t="shared" si="18"/>
        <v>6975596.8968100343</v>
      </c>
      <c r="F141" s="38">
        <f t="shared" si="19"/>
        <v>15251506.510194128</v>
      </c>
      <c r="L141" s="83" t="s">
        <v>129</v>
      </c>
      <c r="M141" s="84"/>
      <c r="N141" s="85"/>
      <c r="O141" s="49">
        <v>1.6E-2</v>
      </c>
    </row>
    <row r="142" spans="1:21" x14ac:dyDescent="0.25">
      <c r="B142" s="24">
        <v>4</v>
      </c>
      <c r="C142" s="3">
        <f t="shared" si="16"/>
        <v>928816.74647082167</v>
      </c>
      <c r="D142" s="15">
        <f t="shared" si="17"/>
        <v>8329227.4942965871</v>
      </c>
      <c r="E142" s="4">
        <f t="shared" si="18"/>
        <v>7400410.7478257651</v>
      </c>
      <c r="F142" s="38">
        <f t="shared" si="19"/>
        <v>7851095.7623683633</v>
      </c>
      <c r="L142" s="83" t="s">
        <v>130</v>
      </c>
      <c r="M142" s="84"/>
      <c r="N142" s="85"/>
      <c r="O142" s="6">
        <f>POWER(1+(O141/12),1) -1</f>
        <v>1.3333333333334085E-3</v>
      </c>
    </row>
    <row r="143" spans="1:21" ht="15.75" thickBot="1" x14ac:dyDescent="0.3">
      <c r="B143" s="27">
        <v>5</v>
      </c>
      <c r="C143" s="45">
        <f t="shared" si="16"/>
        <v>478131.73192823294</v>
      </c>
      <c r="D143" s="29">
        <f t="shared" si="17"/>
        <v>8329227.4942965871</v>
      </c>
      <c r="E143" s="39">
        <f t="shared" si="18"/>
        <v>7851095.762368354</v>
      </c>
      <c r="F143" s="40">
        <f t="shared" si="19"/>
        <v>9.3132257461547852E-9</v>
      </c>
      <c r="L143" s="83" t="s">
        <v>131</v>
      </c>
      <c r="M143" s="84"/>
      <c r="N143" s="85"/>
      <c r="O143" s="6">
        <f>12*(85-65)</f>
        <v>240</v>
      </c>
    </row>
    <row r="144" spans="1:21" ht="15.75" thickBot="1" x14ac:dyDescent="0.3">
      <c r="L144" s="83" t="s">
        <v>59</v>
      </c>
      <c r="M144" s="84"/>
      <c r="N144" s="85"/>
      <c r="O144" s="50">
        <f>-FV(O142,Q131,Q133)-FV(O142,U131,U133)</f>
        <v>142262473.32439083</v>
      </c>
    </row>
    <row r="145" spans="2:23" ht="15.75" thickBot="1" x14ac:dyDescent="0.3">
      <c r="B145" s="89" t="s">
        <v>108</v>
      </c>
      <c r="C145" s="90"/>
      <c r="D145" s="90"/>
      <c r="E145" s="90"/>
      <c r="F145" s="72" t="s">
        <v>17</v>
      </c>
      <c r="L145" s="86" t="s">
        <v>61</v>
      </c>
      <c r="M145" s="87"/>
      <c r="N145" s="88"/>
      <c r="O145" s="51">
        <f>PMT(O142,O143,-O144)</f>
        <v>693043.29776588443</v>
      </c>
    </row>
    <row r="146" spans="2:23" x14ac:dyDescent="0.25">
      <c r="B146" s="73" t="s">
        <v>14</v>
      </c>
      <c r="C146" s="74" t="s">
        <v>15</v>
      </c>
      <c r="D146" s="74" t="s">
        <v>13</v>
      </c>
      <c r="E146" s="74" t="s">
        <v>29</v>
      </c>
      <c r="F146" s="38">
        <f>F140</f>
        <v>22227103.407004163</v>
      </c>
      <c r="G146" s="70" t="s">
        <v>109</v>
      </c>
      <c r="H146" s="2">
        <v>6.0000000000000001E-3</v>
      </c>
      <c r="O146" s="13"/>
    </row>
    <row r="147" spans="2:23" x14ac:dyDescent="0.25">
      <c r="B147" s="24">
        <v>1</v>
      </c>
      <c r="C147" s="3">
        <f>F146*$H$146</f>
        <v>133362.62044202499</v>
      </c>
      <c r="D147" s="15">
        <f>-PMT($H$146,$H$147,$F$146)</f>
        <v>7498120.1670730654</v>
      </c>
      <c r="E147" s="4">
        <f>D147-C147</f>
        <v>7364757.5466310401</v>
      </c>
      <c r="F147" s="38">
        <f>F146-E147</f>
        <v>14862345.860373123</v>
      </c>
      <c r="G147" t="s">
        <v>110</v>
      </c>
      <c r="H147">
        <v>3</v>
      </c>
      <c r="K147" s="33" t="s">
        <v>35</v>
      </c>
    </row>
    <row r="148" spans="2:23" x14ac:dyDescent="0.25">
      <c r="B148" s="24">
        <v>2</v>
      </c>
      <c r="C148" s="3">
        <f t="shared" ref="C148:C149" si="20">F147*$H$146</f>
        <v>89174.075162238732</v>
      </c>
      <c r="D148" s="15">
        <f t="shared" ref="D148:D149" si="21">-PMT($H$146,$H$147,$F$146)</f>
        <v>7498120.1670730654</v>
      </c>
      <c r="E148" s="4">
        <f t="shared" ref="E148:E149" si="22">D148-C148</f>
        <v>7408946.091910827</v>
      </c>
      <c r="F148" s="38">
        <f t="shared" ref="F148:F149" si="23">F147-E148</f>
        <v>7453399.7684622956</v>
      </c>
      <c r="L148" t="s">
        <v>132</v>
      </c>
      <c r="N148" s="1">
        <f>1.25*U137</f>
        <v>1858560</v>
      </c>
    </row>
    <row r="149" spans="2:23" ht="15.75" thickBot="1" x14ac:dyDescent="0.3">
      <c r="B149" s="27">
        <v>3</v>
      </c>
      <c r="C149" s="45">
        <f t="shared" si="20"/>
        <v>44720.398610773773</v>
      </c>
      <c r="D149" s="29">
        <f t="shared" si="21"/>
        <v>7498120.1670730654</v>
      </c>
      <c r="E149" s="39">
        <f t="shared" si="22"/>
        <v>7453399.7684622919</v>
      </c>
      <c r="F149" s="40">
        <f t="shared" si="23"/>
        <v>0</v>
      </c>
      <c r="L149" t="s">
        <v>134</v>
      </c>
      <c r="N149" s="13">
        <f>-PV(O142,O143,N148)</f>
        <v>381510568.34995139</v>
      </c>
      <c r="O149" s="13"/>
      <c r="W149" s="78"/>
    </row>
    <row r="150" spans="2:23" ht="15.75" thickBot="1" x14ac:dyDescent="0.3">
      <c r="C150" s="1"/>
      <c r="D150" s="13"/>
      <c r="F150" s="1"/>
      <c r="L150" t="s">
        <v>133</v>
      </c>
      <c r="N150" s="13">
        <f>-FV(O142,O143,U133)</f>
        <v>77597712.722394988</v>
      </c>
      <c r="W150" s="13"/>
    </row>
    <row r="151" spans="2:23" x14ac:dyDescent="0.25">
      <c r="B151" s="80" t="s">
        <v>111</v>
      </c>
      <c r="C151" s="82"/>
      <c r="D151" s="13"/>
      <c r="F151" s="1"/>
      <c r="L151" t="s">
        <v>135</v>
      </c>
      <c r="N151" s="13">
        <f>N149-N150</f>
        <v>303912855.62755638</v>
      </c>
      <c r="W151" s="13"/>
    </row>
    <row r="152" spans="2:23" x14ac:dyDescent="0.25">
      <c r="B152" s="24" t="s">
        <v>93</v>
      </c>
      <c r="C152" s="6">
        <v>7</v>
      </c>
      <c r="L152" t="s">
        <v>136</v>
      </c>
      <c r="N152" s="13">
        <f>-PMT(O142,Q131,N151)</f>
        <v>1480536.3830368416</v>
      </c>
    </row>
    <row r="153" spans="2:23" x14ac:dyDescent="0.25">
      <c r="B153" s="24" t="s">
        <v>114</v>
      </c>
      <c r="C153" s="49">
        <v>8.0000000000000002E-3</v>
      </c>
    </row>
    <row r="154" spans="2:23" x14ac:dyDescent="0.25">
      <c r="B154" s="24" t="s">
        <v>112</v>
      </c>
      <c r="C154" s="38">
        <v>570000</v>
      </c>
      <c r="W154" s="1"/>
    </row>
    <row r="155" spans="2:23" x14ac:dyDescent="0.25">
      <c r="B155" s="24" t="s">
        <v>113</v>
      </c>
      <c r="C155" s="50">
        <f>-FV(C153,C152*12,,C154)</f>
        <v>1113165.0257064542</v>
      </c>
      <c r="W155" s="13"/>
    </row>
    <row r="156" spans="2:23" ht="15.75" thickBot="1" x14ac:dyDescent="0.3">
      <c r="B156" s="77">
        <v>0.8</v>
      </c>
      <c r="C156" s="51">
        <f>0.8*C155</f>
        <v>890532.02056516334</v>
      </c>
      <c r="W156" s="13"/>
    </row>
    <row r="157" spans="2:23" ht="15.75" thickBot="1" x14ac:dyDescent="0.3">
      <c r="W157" s="13"/>
    </row>
    <row r="158" spans="2:23" x14ac:dyDescent="0.25">
      <c r="B158" s="89" t="s">
        <v>115</v>
      </c>
      <c r="C158" s="90"/>
      <c r="D158" s="90"/>
      <c r="E158" s="90"/>
      <c r="F158" s="72" t="s">
        <v>17</v>
      </c>
      <c r="W158" s="13"/>
    </row>
    <row r="159" spans="2:23" x14ac:dyDescent="0.25">
      <c r="B159" s="73" t="s">
        <v>14</v>
      </c>
      <c r="C159" s="74" t="s">
        <v>15</v>
      </c>
      <c r="D159" s="74" t="s">
        <v>13</v>
      </c>
      <c r="E159" s="74" t="s">
        <v>29</v>
      </c>
      <c r="F159" s="38">
        <f>F140-C156</f>
        <v>21336571.386438999</v>
      </c>
      <c r="G159" s="70"/>
    </row>
    <row r="160" spans="2:23" x14ac:dyDescent="0.25">
      <c r="B160" s="24">
        <v>1</v>
      </c>
      <c r="C160" s="3">
        <f>F159*$H$146</f>
        <v>128019.428318634</v>
      </c>
      <c r="D160" s="15">
        <f>-PMT($H$160,$H$161,$F$159)</f>
        <v>7197706.9292096086</v>
      </c>
      <c r="E160" s="4">
        <f>D160-C160</f>
        <v>7069687.5008909749</v>
      </c>
      <c r="F160" s="38">
        <f>F159-E160</f>
        <v>14266883.885548025</v>
      </c>
      <c r="G160" s="70" t="s">
        <v>109</v>
      </c>
      <c r="H160" s="2">
        <v>6.0000000000000001E-3</v>
      </c>
    </row>
    <row r="161" spans="1:8" x14ac:dyDescent="0.25">
      <c r="B161" s="24">
        <v>2</v>
      </c>
      <c r="C161" s="3">
        <f t="shared" ref="C161:C162" si="24">F160*$H$146</f>
        <v>85601.303313288154</v>
      </c>
      <c r="D161" s="15">
        <f t="shared" ref="D161:D162" si="25">-PMT($H$160,$H$161,$F$159)</f>
        <v>7197706.9292096086</v>
      </c>
      <c r="E161" s="4">
        <f t="shared" ref="E161:E162" si="26">D161-C161</f>
        <v>7112105.6258963207</v>
      </c>
      <c r="F161" s="38">
        <f t="shared" ref="F161:F162" si="27">F160-E161</f>
        <v>7154778.2596517047</v>
      </c>
      <c r="G161" t="s">
        <v>110</v>
      </c>
      <c r="H161">
        <v>3</v>
      </c>
    </row>
    <row r="162" spans="1:8" ht="15.75" thickBot="1" x14ac:dyDescent="0.3">
      <c r="B162" s="27">
        <v>3</v>
      </c>
      <c r="C162" s="45">
        <f t="shared" si="24"/>
        <v>42928.669557910231</v>
      </c>
      <c r="D162" s="15">
        <f t="shared" si="25"/>
        <v>7197706.9292096086</v>
      </c>
      <c r="E162" s="39">
        <f t="shared" si="26"/>
        <v>7154778.2596516982</v>
      </c>
      <c r="F162" s="40">
        <f t="shared" si="27"/>
        <v>0</v>
      </c>
    </row>
    <row r="164" spans="1:8" x14ac:dyDescent="0.25">
      <c r="A164" s="33" t="s">
        <v>35</v>
      </c>
    </row>
    <row r="165" spans="1:8" x14ac:dyDescent="0.25">
      <c r="B165" t="s">
        <v>117</v>
      </c>
      <c r="C165" s="2">
        <v>0.03</v>
      </c>
    </row>
    <row r="166" spans="1:8" x14ac:dyDescent="0.25">
      <c r="C166" t="s">
        <v>14</v>
      </c>
      <c r="D166" t="s">
        <v>82</v>
      </c>
      <c r="E166" t="s">
        <v>116</v>
      </c>
    </row>
    <row r="167" spans="1:8" x14ac:dyDescent="0.25">
      <c r="C167">
        <v>1</v>
      </c>
      <c r="D167" s="13">
        <f>$D$135</f>
        <v>8329227.4942965871</v>
      </c>
      <c r="E167" s="13">
        <f>-PV($C$165,C167,,D167)</f>
        <v>8086628.6352394046</v>
      </c>
    </row>
    <row r="168" spans="1:8" x14ac:dyDescent="0.25">
      <c r="C168">
        <v>2</v>
      </c>
      <c r="D168" s="13">
        <f>$D$135</f>
        <v>8329227.4942965871</v>
      </c>
      <c r="E168" s="13">
        <f t="shared" ref="E168:E171" si="28">-PV($C$165,C168,,D168)</f>
        <v>7851095.7623683549</v>
      </c>
    </row>
    <row r="169" spans="1:8" x14ac:dyDescent="0.25">
      <c r="C169">
        <v>3</v>
      </c>
      <c r="D169" s="13">
        <f>$D$160</f>
        <v>7197706.9292096086</v>
      </c>
      <c r="E169" s="13">
        <f t="shared" si="28"/>
        <v>6586921.4627346154</v>
      </c>
    </row>
    <row r="170" spans="1:8" x14ac:dyDescent="0.25">
      <c r="C170">
        <v>4</v>
      </c>
      <c r="D170" s="13">
        <f t="shared" ref="D170:D171" si="29">$D$160</f>
        <v>7197706.9292096086</v>
      </c>
      <c r="E170" s="13">
        <f t="shared" si="28"/>
        <v>6395069.3812957443</v>
      </c>
    </row>
    <row r="171" spans="1:8" x14ac:dyDescent="0.25">
      <c r="C171">
        <v>5</v>
      </c>
      <c r="D171" s="13">
        <f t="shared" si="29"/>
        <v>7197706.9292096086</v>
      </c>
      <c r="E171" s="13">
        <f t="shared" si="28"/>
        <v>6208805.2245589755</v>
      </c>
    </row>
    <row r="173" spans="1:8" x14ac:dyDescent="0.25">
      <c r="D173" t="s">
        <v>118</v>
      </c>
      <c r="F173" s="13">
        <f>SUM(E167:E171)</f>
        <v>35128520.466197096</v>
      </c>
    </row>
    <row r="175" spans="1:8" x14ac:dyDescent="0.25">
      <c r="A175" s="33" t="s">
        <v>39</v>
      </c>
    </row>
    <row r="176" spans="1:8" x14ac:dyDescent="0.25">
      <c r="B176" t="s">
        <v>40</v>
      </c>
      <c r="D176" s="1">
        <f>F140</f>
        <v>22227103.407004163</v>
      </c>
    </row>
    <row r="177" spans="2:4" x14ac:dyDescent="0.25">
      <c r="B177" t="s">
        <v>101</v>
      </c>
      <c r="D177" s="2">
        <v>0.01</v>
      </c>
    </row>
    <row r="178" spans="2:4" x14ac:dyDescent="0.25">
      <c r="B178" t="s">
        <v>102</v>
      </c>
      <c r="D178">
        <v>3</v>
      </c>
    </row>
    <row r="179" spans="2:4" x14ac:dyDescent="0.25">
      <c r="B179" t="s">
        <v>119</v>
      </c>
      <c r="D179" s="1">
        <f>-FV(D177,D178,,D176)-D176</f>
        <v>673503.46033563092</v>
      </c>
    </row>
    <row r="180" spans="2:4" x14ac:dyDescent="0.25">
      <c r="B180" t="s">
        <v>43</v>
      </c>
      <c r="D180" s="1">
        <f>D179+D176</f>
        <v>22900606.867339794</v>
      </c>
    </row>
  </sheetData>
  <mergeCells count="100">
    <mergeCell ref="S75:U75"/>
    <mergeCell ref="S74:U74"/>
    <mergeCell ref="S77:U77"/>
    <mergeCell ref="S79:U79"/>
    <mergeCell ref="N85:O85"/>
    <mergeCell ref="S80:U80"/>
    <mergeCell ref="S81:U81"/>
    <mergeCell ref="S82:U82"/>
    <mergeCell ref="S83:U83"/>
    <mergeCell ref="S76:U76"/>
    <mergeCell ref="N86:O86"/>
    <mergeCell ref="N78:O78"/>
    <mergeCell ref="N77:O77"/>
    <mergeCell ref="N79:O79"/>
    <mergeCell ref="N80:O80"/>
    <mergeCell ref="N82:O82"/>
    <mergeCell ref="N83:O83"/>
    <mergeCell ref="N84:O84"/>
    <mergeCell ref="N81:O81"/>
    <mergeCell ref="A4:W5"/>
    <mergeCell ref="D18:E18"/>
    <mergeCell ref="D19:E19"/>
    <mergeCell ref="D20:E20"/>
    <mergeCell ref="D21:E21"/>
    <mergeCell ref="L17:M17"/>
    <mergeCell ref="L18:M18"/>
    <mergeCell ref="L21:M21"/>
    <mergeCell ref="L22:M22"/>
    <mergeCell ref="L20:M20"/>
    <mergeCell ref="L19:M19"/>
    <mergeCell ref="N75:O75"/>
    <mergeCell ref="N76:O76"/>
    <mergeCell ref="B74:C74"/>
    <mergeCell ref="D23:E23"/>
    <mergeCell ref="D24:E24"/>
    <mergeCell ref="Q36:T36"/>
    <mergeCell ref="M43:P43"/>
    <mergeCell ref="A51:W52"/>
    <mergeCell ref="B72:C72"/>
    <mergeCell ref="B73:C73"/>
    <mergeCell ref="B36:C36"/>
    <mergeCell ref="B37:C37"/>
    <mergeCell ref="B38:C38"/>
    <mergeCell ref="B40:C40"/>
    <mergeCell ref="C49:D49"/>
    <mergeCell ref="K36:N36"/>
    <mergeCell ref="B75:C75"/>
    <mergeCell ref="B79:C79"/>
    <mergeCell ref="B80:C80"/>
    <mergeCell ref="B77:F77"/>
    <mergeCell ref="H81:I81"/>
    <mergeCell ref="H77:L77"/>
    <mergeCell ref="H80:I80"/>
    <mergeCell ref="B101:D101"/>
    <mergeCell ref="C94:D94"/>
    <mergeCell ref="C95:D95"/>
    <mergeCell ref="E94:F94"/>
    <mergeCell ref="E95:F95"/>
    <mergeCell ref="E96:F96"/>
    <mergeCell ref="E97:F97"/>
    <mergeCell ref="E98:F98"/>
    <mergeCell ref="C106:D106"/>
    <mergeCell ref="C107:D107"/>
    <mergeCell ref="N74:O74"/>
    <mergeCell ref="E99:F99"/>
    <mergeCell ref="E100:F100"/>
    <mergeCell ref="B93:C93"/>
    <mergeCell ref="E101:F101"/>
    <mergeCell ref="C104:D104"/>
    <mergeCell ref="C105:D105"/>
    <mergeCell ref="C96:D96"/>
    <mergeCell ref="C97:D97"/>
    <mergeCell ref="C98:D98"/>
    <mergeCell ref="C99:D99"/>
    <mergeCell ref="C100:D100"/>
    <mergeCell ref="H82:I82"/>
    <mergeCell ref="H79:I79"/>
    <mergeCell ref="A109:W110"/>
    <mergeCell ref="B130:C130"/>
    <mergeCell ref="B131:C131"/>
    <mergeCell ref="B132:C132"/>
    <mergeCell ref="B133:C133"/>
    <mergeCell ref="L145:N145"/>
    <mergeCell ref="L142:N142"/>
    <mergeCell ref="L143:N143"/>
    <mergeCell ref="B158:E158"/>
    <mergeCell ref="K130:L131"/>
    <mergeCell ref="M130:M131"/>
    <mergeCell ref="K132:L133"/>
    <mergeCell ref="M132:M133"/>
    <mergeCell ref="B134:C134"/>
    <mergeCell ref="B135:C135"/>
    <mergeCell ref="B137:E137"/>
    <mergeCell ref="B145:E145"/>
    <mergeCell ref="B151:C151"/>
    <mergeCell ref="O130:Q130"/>
    <mergeCell ref="S130:U130"/>
    <mergeCell ref="L140:O140"/>
    <mergeCell ref="L141:N141"/>
    <mergeCell ref="L144:N1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4F07-1EA5-4D61-B81C-BAFB8E67E7B0}">
  <dimension ref="A3:W54"/>
  <sheetViews>
    <sheetView tabSelected="1" topLeftCell="A18" workbookViewId="0">
      <selection activeCell="E68" sqref="E68"/>
    </sheetView>
  </sheetViews>
  <sheetFormatPr baseColWidth="10" defaultRowHeight="15" x14ac:dyDescent="0.25"/>
  <cols>
    <col min="3" max="3" width="13.7109375" bestFit="1" customWidth="1"/>
  </cols>
  <sheetData>
    <row r="3" spans="1:23" ht="15.75" thickBot="1" x14ac:dyDescent="0.3"/>
    <row r="4" spans="1:23" x14ac:dyDescent="0.25">
      <c r="A4" s="189" t="s">
        <v>0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1"/>
    </row>
    <row r="5" spans="1:23" ht="15.75" thickBot="1" x14ac:dyDescent="0.3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4"/>
    </row>
    <row r="6" spans="1:23" ht="15.75" thickBot="1" x14ac:dyDescent="0.3"/>
    <row r="7" spans="1:23" x14ac:dyDescent="0.25">
      <c r="A7" s="153" t="s">
        <v>6</v>
      </c>
      <c r="B7" s="154"/>
      <c r="C7" s="155"/>
      <c r="D7" s="143" t="s">
        <v>68</v>
      </c>
      <c r="E7" s="144"/>
      <c r="F7" s="144"/>
      <c r="G7" s="145"/>
      <c r="H7" t="s">
        <v>96</v>
      </c>
    </row>
    <row r="8" spans="1:23" x14ac:dyDescent="0.25">
      <c r="A8" s="156"/>
      <c r="B8" s="157"/>
      <c r="C8" s="158"/>
      <c r="D8" s="65" t="s">
        <v>69</v>
      </c>
      <c r="E8" s="66" t="s">
        <v>71</v>
      </c>
      <c r="F8" s="66" t="s">
        <v>14</v>
      </c>
      <c r="G8" s="67" t="s">
        <v>70</v>
      </c>
      <c r="H8" t="s">
        <v>97</v>
      </c>
    </row>
    <row r="9" spans="1:23" ht="15.75" customHeight="1" thickBot="1" x14ac:dyDescent="0.3">
      <c r="A9" s="152" t="s">
        <v>94</v>
      </c>
      <c r="B9" s="57" t="s">
        <v>72</v>
      </c>
      <c r="C9" s="58">
        <f>D9*POWER(1+E9,F9)</f>
        <v>1628.8946267774415</v>
      </c>
      <c r="D9" s="56">
        <v>1000</v>
      </c>
      <c r="E9" s="53">
        <v>0.05</v>
      </c>
      <c r="F9" s="54">
        <v>10</v>
      </c>
      <c r="G9" s="55">
        <f>C9</f>
        <v>1628.8946267774415</v>
      </c>
    </row>
    <row r="10" spans="1:23" x14ac:dyDescent="0.25">
      <c r="A10" s="152"/>
      <c r="B10" s="57" t="s">
        <v>73</v>
      </c>
      <c r="C10" s="58">
        <f>-FV(E9,F9,,D9)</f>
        <v>1628.8946267774415</v>
      </c>
      <c r="D10" s="1"/>
      <c r="E10" s="2"/>
      <c r="G10" s="1"/>
    </row>
    <row r="11" spans="1:23" ht="15" customHeight="1" x14ac:dyDescent="0.25">
      <c r="A11" s="187" t="s">
        <v>95</v>
      </c>
      <c r="B11" s="57" t="s">
        <v>72</v>
      </c>
      <c r="C11" s="58">
        <f>-PV(E9,F9,,G9)</f>
        <v>1000</v>
      </c>
    </row>
    <row r="12" spans="1:23" ht="15.75" thickBot="1" x14ac:dyDescent="0.3">
      <c r="A12" s="188"/>
      <c r="B12" s="59" t="s">
        <v>73</v>
      </c>
      <c r="C12" s="60">
        <f>G9/POWER(1+E9,F9)</f>
        <v>1000</v>
      </c>
    </row>
    <row r="14" spans="1:23" ht="15.75" thickBot="1" x14ac:dyDescent="0.3"/>
    <row r="15" spans="1:23" x14ac:dyDescent="0.25">
      <c r="A15" s="153" t="s">
        <v>79</v>
      </c>
      <c r="B15" s="154"/>
      <c r="C15" s="184" t="s">
        <v>68</v>
      </c>
      <c r="D15" s="184"/>
      <c r="E15" s="184"/>
      <c r="F15" s="184"/>
      <c r="G15" s="184"/>
      <c r="H15" s="185"/>
    </row>
    <row r="16" spans="1:23" x14ac:dyDescent="0.25">
      <c r="A16" s="156"/>
      <c r="B16" s="157"/>
      <c r="C16" s="183" t="s">
        <v>80</v>
      </c>
      <c r="D16" s="183"/>
      <c r="E16" s="183" t="s">
        <v>81</v>
      </c>
      <c r="F16" s="183"/>
      <c r="G16" s="183" t="s">
        <v>82</v>
      </c>
      <c r="H16" s="186"/>
    </row>
    <row r="17" spans="1:12" x14ac:dyDescent="0.25">
      <c r="A17" s="177">
        <f>POWER(1+(C17/F17),H17) -1</f>
        <v>0.17999999999999994</v>
      </c>
      <c r="B17" s="178"/>
      <c r="C17" s="181">
        <v>0.18</v>
      </c>
      <c r="D17" s="181"/>
      <c r="E17" s="57" t="s">
        <v>87</v>
      </c>
      <c r="F17" s="57">
        <v>1</v>
      </c>
      <c r="G17" s="61" t="s">
        <v>83</v>
      </c>
      <c r="H17" s="62">
        <v>1</v>
      </c>
    </row>
    <row r="18" spans="1:12" x14ac:dyDescent="0.25">
      <c r="A18" s="177">
        <f>POWER(1+(C18/F18),H18) -1</f>
        <v>0</v>
      </c>
      <c r="B18" s="178"/>
      <c r="C18" s="181">
        <f>C17</f>
        <v>0.18</v>
      </c>
      <c r="D18" s="181"/>
      <c r="E18" s="57" t="s">
        <v>87</v>
      </c>
      <c r="F18" s="57">
        <v>1</v>
      </c>
      <c r="G18" s="61" t="s">
        <v>84</v>
      </c>
      <c r="H18" s="62">
        <v>0</v>
      </c>
    </row>
    <row r="19" spans="1:12" x14ac:dyDescent="0.25">
      <c r="A19" s="177">
        <f>POWER(1+(C19/F19),H19) -1</f>
        <v>0</v>
      </c>
      <c r="B19" s="178"/>
      <c r="C19" s="181">
        <f>C18</f>
        <v>0.18</v>
      </c>
      <c r="D19" s="181"/>
      <c r="E19" s="57" t="s">
        <v>87</v>
      </c>
      <c r="F19" s="57">
        <v>1</v>
      </c>
      <c r="G19" s="61" t="s">
        <v>86</v>
      </c>
      <c r="H19" s="62">
        <v>0</v>
      </c>
    </row>
    <row r="20" spans="1:12" x14ac:dyDescent="0.25">
      <c r="A20" s="177">
        <f>POWER(1+(C20/F20),H20) -1</f>
        <v>0</v>
      </c>
      <c r="B20" s="178"/>
      <c r="C20" s="181">
        <f>C19</f>
        <v>0.18</v>
      </c>
      <c r="D20" s="181"/>
      <c r="E20" s="57" t="s">
        <v>87</v>
      </c>
      <c r="F20" s="57">
        <v>1</v>
      </c>
      <c r="G20" s="61" t="s">
        <v>85</v>
      </c>
      <c r="H20" s="62">
        <v>0</v>
      </c>
    </row>
    <row r="21" spans="1:12" x14ac:dyDescent="0.25">
      <c r="A21" s="177">
        <f>POWER(1+(C21/F21),H21) -1</f>
        <v>0.18810000000000016</v>
      </c>
      <c r="B21" s="178"/>
      <c r="C21" s="181">
        <f>C20</f>
        <v>0.18</v>
      </c>
      <c r="D21" s="181"/>
      <c r="E21" s="57" t="s">
        <v>89</v>
      </c>
      <c r="F21" s="57">
        <v>2</v>
      </c>
      <c r="G21" s="61" t="s">
        <v>83</v>
      </c>
      <c r="H21" s="62">
        <v>2</v>
      </c>
    </row>
    <row r="22" spans="1:12" x14ac:dyDescent="0.25">
      <c r="A22" s="177">
        <f>POWER(1+(C22/F22),H22) -1</f>
        <v>9.000000000000008E-2</v>
      </c>
      <c r="B22" s="178"/>
      <c r="C22" s="181">
        <f>C21</f>
        <v>0.18</v>
      </c>
      <c r="D22" s="181"/>
      <c r="E22" s="57" t="s">
        <v>89</v>
      </c>
      <c r="F22" s="57">
        <v>2</v>
      </c>
      <c r="G22" s="61" t="s">
        <v>84</v>
      </c>
      <c r="H22" s="62">
        <v>1</v>
      </c>
    </row>
    <row r="23" spans="1:12" x14ac:dyDescent="0.25">
      <c r="A23" s="177">
        <f>POWER(1+(C23/F23),H23) -1</f>
        <v>0</v>
      </c>
      <c r="B23" s="178"/>
      <c r="C23" s="181">
        <f>C22</f>
        <v>0.18</v>
      </c>
      <c r="D23" s="181"/>
      <c r="E23" s="57" t="s">
        <v>89</v>
      </c>
      <c r="F23" s="57">
        <v>2</v>
      </c>
      <c r="G23" s="61" t="s">
        <v>86</v>
      </c>
      <c r="H23" s="62">
        <v>0</v>
      </c>
    </row>
    <row r="24" spans="1:12" x14ac:dyDescent="0.25">
      <c r="A24" s="177">
        <f>POWER(1+(C24/F24),H24) -1</f>
        <v>0</v>
      </c>
      <c r="B24" s="178"/>
      <c r="C24" s="181">
        <f>C23</f>
        <v>0.18</v>
      </c>
      <c r="D24" s="181"/>
      <c r="E24" s="57" t="s">
        <v>89</v>
      </c>
      <c r="F24" s="57">
        <v>2</v>
      </c>
      <c r="G24" s="61" t="s">
        <v>85</v>
      </c>
      <c r="H24" s="62">
        <v>0</v>
      </c>
    </row>
    <row r="25" spans="1:12" x14ac:dyDescent="0.25">
      <c r="A25" s="177">
        <f>POWER(1+(C25/F25),H25) -1</f>
        <v>0.19251860062499948</v>
      </c>
      <c r="B25" s="178"/>
      <c r="C25" s="181">
        <f>C24</f>
        <v>0.18</v>
      </c>
      <c r="D25" s="181"/>
      <c r="E25" s="57" t="s">
        <v>88</v>
      </c>
      <c r="F25" s="57">
        <v>4</v>
      </c>
      <c r="G25" s="61" t="s">
        <v>83</v>
      </c>
      <c r="H25" s="62">
        <v>4</v>
      </c>
      <c r="L25" t="s">
        <v>91</v>
      </c>
    </row>
    <row r="26" spans="1:12" x14ac:dyDescent="0.25">
      <c r="A26" s="177">
        <f>POWER(1+(C26/F26),H26) -1</f>
        <v>9.2024999999999801E-2</v>
      </c>
      <c r="B26" s="178"/>
      <c r="C26" s="181">
        <f>C25</f>
        <v>0.18</v>
      </c>
      <c r="D26" s="181"/>
      <c r="E26" s="57" t="s">
        <v>88</v>
      </c>
      <c r="F26" s="57">
        <v>4</v>
      </c>
      <c r="G26" s="61" t="s">
        <v>84</v>
      </c>
      <c r="H26" s="62">
        <v>2</v>
      </c>
    </row>
    <row r="27" spans="1:12" x14ac:dyDescent="0.25">
      <c r="A27" s="177">
        <f>POWER(1+(C27/F27),H27) -1</f>
        <v>4.4999999999999929E-2</v>
      </c>
      <c r="B27" s="178"/>
      <c r="C27" s="181">
        <f>C26</f>
        <v>0.18</v>
      </c>
      <c r="D27" s="181"/>
      <c r="E27" s="57" t="s">
        <v>88</v>
      </c>
      <c r="F27" s="57">
        <v>4</v>
      </c>
      <c r="G27" s="61" t="s">
        <v>86</v>
      </c>
      <c r="H27" s="62">
        <v>1</v>
      </c>
    </row>
    <row r="28" spans="1:12" x14ac:dyDescent="0.25">
      <c r="A28" s="177">
        <f>POWER(1+(C28/F28),H28) -1</f>
        <v>0</v>
      </c>
      <c r="B28" s="178"/>
      <c r="C28" s="181">
        <f>C27</f>
        <v>0.18</v>
      </c>
      <c r="D28" s="181"/>
      <c r="E28" s="57" t="s">
        <v>88</v>
      </c>
      <c r="F28" s="57">
        <v>4</v>
      </c>
      <c r="G28" s="61" t="s">
        <v>85</v>
      </c>
      <c r="H28" s="62">
        <v>0</v>
      </c>
    </row>
    <row r="29" spans="1:12" x14ac:dyDescent="0.25">
      <c r="A29" s="177">
        <f>POWER(1+(C29/F29),H29) -1</f>
        <v>0.19561817146153326</v>
      </c>
      <c r="B29" s="178"/>
      <c r="C29" s="181">
        <f>C28</f>
        <v>0.18</v>
      </c>
      <c r="D29" s="181"/>
      <c r="E29" s="57" t="s">
        <v>90</v>
      </c>
      <c r="F29" s="57">
        <v>12</v>
      </c>
      <c r="G29" s="61" t="s">
        <v>83</v>
      </c>
      <c r="H29" s="62">
        <v>12</v>
      </c>
    </row>
    <row r="30" spans="1:12" x14ac:dyDescent="0.25">
      <c r="A30" s="177">
        <f>POWER(1+(C30/F30),H30) -1</f>
        <v>9.3443263942639687E-2</v>
      </c>
      <c r="B30" s="178"/>
      <c r="C30" s="181">
        <f>C29</f>
        <v>0.18</v>
      </c>
      <c r="D30" s="181"/>
      <c r="E30" s="57" t="s">
        <v>90</v>
      </c>
      <c r="F30" s="57">
        <v>12</v>
      </c>
      <c r="G30" s="61" t="s">
        <v>84</v>
      </c>
      <c r="H30" s="62">
        <v>6</v>
      </c>
    </row>
    <row r="31" spans="1:12" x14ac:dyDescent="0.25">
      <c r="A31" s="177">
        <f>POWER(1+(C31/F31),H31) -1</f>
        <v>4.5678374999999605E-2</v>
      </c>
      <c r="B31" s="178"/>
      <c r="C31" s="181">
        <f>C30</f>
        <v>0.18</v>
      </c>
      <c r="D31" s="181"/>
      <c r="E31" s="57" t="s">
        <v>90</v>
      </c>
      <c r="F31" s="57">
        <v>12</v>
      </c>
      <c r="G31" s="61" t="s">
        <v>86</v>
      </c>
      <c r="H31" s="62">
        <v>3</v>
      </c>
    </row>
    <row r="32" spans="1:12" ht="15.75" thickBot="1" x14ac:dyDescent="0.3">
      <c r="A32" s="179">
        <f>POWER(1+(C32/F32),H32) -1</f>
        <v>1.4999999999999902E-2</v>
      </c>
      <c r="B32" s="180"/>
      <c r="C32" s="182">
        <f>C31</f>
        <v>0.18</v>
      </c>
      <c r="D32" s="182"/>
      <c r="E32" s="59" t="s">
        <v>90</v>
      </c>
      <c r="F32" s="59">
        <v>12</v>
      </c>
      <c r="G32" s="63" t="s">
        <v>85</v>
      </c>
      <c r="H32" s="64">
        <v>1</v>
      </c>
    </row>
    <row r="37" spans="1:7" ht="15.75" thickBot="1" x14ac:dyDescent="0.3"/>
    <row r="38" spans="1:7" x14ac:dyDescent="0.25">
      <c r="A38" s="153" t="s">
        <v>92</v>
      </c>
      <c r="B38" s="154"/>
      <c r="C38" s="155"/>
      <c r="D38" s="176" t="s">
        <v>68</v>
      </c>
      <c r="E38" s="169"/>
      <c r="F38" s="169"/>
      <c r="G38" s="170"/>
    </row>
    <row r="39" spans="1:7" x14ac:dyDescent="0.25">
      <c r="A39" s="156"/>
      <c r="B39" s="157"/>
      <c r="C39" s="158"/>
      <c r="D39" s="65" t="s">
        <v>33</v>
      </c>
      <c r="E39" s="66" t="s">
        <v>93</v>
      </c>
      <c r="F39" s="160" t="s">
        <v>79</v>
      </c>
      <c r="G39" s="171"/>
    </row>
    <row r="40" spans="1:7" ht="15.75" thickBot="1" x14ac:dyDescent="0.3">
      <c r="A40" s="68" t="s">
        <v>72</v>
      </c>
      <c r="B40" s="174">
        <f>-PMT(F40,E40,D40)</f>
        <v>11379731.896831043</v>
      </c>
      <c r="C40" s="175"/>
      <c r="D40" s="56">
        <v>65000000</v>
      </c>
      <c r="E40" s="54">
        <v>8</v>
      </c>
      <c r="F40" s="172">
        <v>8.1600000000000006E-2</v>
      </c>
      <c r="G40" s="173"/>
    </row>
    <row r="41" spans="1:7" ht="15.75" thickBot="1" x14ac:dyDescent="0.3">
      <c r="A41" s="69" t="s">
        <v>73</v>
      </c>
      <c r="B41" s="150">
        <f>D40*(F40*POWER(1+F40,E40)/(POWER(1+F40,E40)-1))</f>
        <v>11379731.896831054</v>
      </c>
      <c r="C41" s="151"/>
    </row>
    <row r="42" spans="1:7" ht="15.75" thickBot="1" x14ac:dyDescent="0.3"/>
    <row r="43" spans="1:7" x14ac:dyDescent="0.25">
      <c r="A43" s="163" t="s">
        <v>98</v>
      </c>
      <c r="B43" s="164"/>
      <c r="C43" s="165"/>
      <c r="D43" s="169" t="s">
        <v>68</v>
      </c>
      <c r="E43" s="169"/>
      <c r="F43" s="169"/>
      <c r="G43" s="170"/>
    </row>
    <row r="44" spans="1:7" x14ac:dyDescent="0.25">
      <c r="A44" s="166"/>
      <c r="B44" s="167"/>
      <c r="C44" s="168"/>
      <c r="D44" s="65" t="s">
        <v>13</v>
      </c>
      <c r="E44" s="66" t="s">
        <v>93</v>
      </c>
      <c r="F44" s="160" t="s">
        <v>79</v>
      </c>
      <c r="G44" s="171"/>
    </row>
    <row r="45" spans="1:7" ht="15.75" thickBot="1" x14ac:dyDescent="0.3">
      <c r="A45" s="68" t="s">
        <v>72</v>
      </c>
      <c r="B45" s="174">
        <f>-PV(F45,E45,D45)</f>
        <v>294.03131444078036</v>
      </c>
      <c r="C45" s="175"/>
      <c r="D45" s="56">
        <v>110</v>
      </c>
      <c r="E45" s="54">
        <v>3</v>
      </c>
      <c r="F45" s="172">
        <v>0.06</v>
      </c>
      <c r="G45" s="173"/>
    </row>
    <row r="46" spans="1:7" ht="15.75" thickBot="1" x14ac:dyDescent="0.3">
      <c r="A46" s="69" t="s">
        <v>73</v>
      </c>
      <c r="B46" s="150">
        <f>D45*((POWER(1+F45,E45)-1)/(F45*POWER(1+F45,E45)))</f>
        <v>294.03131444078036</v>
      </c>
      <c r="C46" s="151"/>
    </row>
    <row r="48" spans="1:7" ht="15.75" thickBot="1" x14ac:dyDescent="0.3"/>
    <row r="49" spans="1:15" x14ac:dyDescent="0.25">
      <c r="A49" s="153" t="s">
        <v>99</v>
      </c>
      <c r="B49" s="154"/>
      <c r="C49" s="155"/>
      <c r="D49" s="143" t="s">
        <v>68</v>
      </c>
      <c r="E49" s="144"/>
      <c r="F49" s="144"/>
      <c r="G49" s="144"/>
      <c r="H49" s="145"/>
    </row>
    <row r="50" spans="1:15" x14ac:dyDescent="0.25">
      <c r="A50" s="156"/>
      <c r="B50" s="157"/>
      <c r="C50" s="158"/>
      <c r="D50" s="159" t="s">
        <v>40</v>
      </c>
      <c r="E50" s="160"/>
      <c r="F50" s="160" t="s">
        <v>101</v>
      </c>
      <c r="G50" s="160"/>
      <c r="H50" s="67" t="s">
        <v>102</v>
      </c>
    </row>
    <row r="51" spans="1:15" ht="15.75" thickBot="1" x14ac:dyDescent="0.3">
      <c r="A51" s="152" t="s">
        <v>100</v>
      </c>
      <c r="B51" s="146" t="s">
        <v>72</v>
      </c>
      <c r="C51" s="148">
        <f>D51*F51*H51</f>
        <v>1357350.3</v>
      </c>
      <c r="D51" s="162">
        <v>45245010</v>
      </c>
      <c r="E51" s="132"/>
      <c r="F51" s="161">
        <v>0.01</v>
      </c>
      <c r="G51" s="132"/>
      <c r="H51" s="71">
        <v>3</v>
      </c>
      <c r="O51" t="s">
        <v>104</v>
      </c>
    </row>
    <row r="52" spans="1:15" x14ac:dyDescent="0.25">
      <c r="A52" s="152"/>
      <c r="B52" s="147"/>
      <c r="C52" s="149"/>
      <c r="D52" s="104"/>
      <c r="E52" s="104"/>
    </row>
    <row r="53" spans="1:15" x14ac:dyDescent="0.25">
      <c r="A53" s="141" t="s">
        <v>103</v>
      </c>
      <c r="B53" s="57" t="s">
        <v>72</v>
      </c>
      <c r="C53" s="58">
        <f>D51*(POWER(1+F51,H51)-1)</f>
        <v>1370969.0480099961</v>
      </c>
    </row>
    <row r="54" spans="1:15" ht="15.75" thickBot="1" x14ac:dyDescent="0.3">
      <c r="A54" s="142"/>
      <c r="B54" s="59" t="s">
        <v>73</v>
      </c>
      <c r="C54" s="60">
        <f>-FV(F51,H51,,D51)-D51</f>
        <v>1370969.0480099991</v>
      </c>
      <c r="O54" t="s">
        <v>105</v>
      </c>
    </row>
  </sheetData>
  <mergeCells count="65">
    <mergeCell ref="D52:E52"/>
    <mergeCell ref="A53:A54"/>
    <mergeCell ref="B46:C46"/>
    <mergeCell ref="A49:C50"/>
    <mergeCell ref="D49:H49"/>
    <mergeCell ref="D50:E50"/>
    <mergeCell ref="F50:G50"/>
    <mergeCell ref="A51:A52"/>
    <mergeCell ref="B51:B52"/>
    <mergeCell ref="C51:C52"/>
    <mergeCell ref="D51:E51"/>
    <mergeCell ref="F51:G51"/>
    <mergeCell ref="B41:C41"/>
    <mergeCell ref="A43:C44"/>
    <mergeCell ref="D43:G43"/>
    <mergeCell ref="F44:G44"/>
    <mergeCell ref="B45:C45"/>
    <mergeCell ref="F45:G45"/>
    <mergeCell ref="A32:B32"/>
    <mergeCell ref="C32:D32"/>
    <mergeCell ref="A38:C39"/>
    <mergeCell ref="D38:G38"/>
    <mergeCell ref="F39:G39"/>
    <mergeCell ref="B40:C40"/>
    <mergeCell ref="F40:G40"/>
    <mergeCell ref="A29:B29"/>
    <mergeCell ref="C29:D29"/>
    <mergeCell ref="A30:B30"/>
    <mergeCell ref="C30:D30"/>
    <mergeCell ref="A31:B31"/>
    <mergeCell ref="C31:D31"/>
    <mergeCell ref="A26:B26"/>
    <mergeCell ref="C26:D26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A20:B20"/>
    <mergeCell ref="C20:D20"/>
    <mergeCell ref="A21:B21"/>
    <mergeCell ref="C21:D21"/>
    <mergeCell ref="A22:B22"/>
    <mergeCell ref="C22:D22"/>
    <mergeCell ref="A17:B17"/>
    <mergeCell ref="C17:D17"/>
    <mergeCell ref="A18:B18"/>
    <mergeCell ref="C18:D18"/>
    <mergeCell ref="A19:B19"/>
    <mergeCell ref="C19:D19"/>
    <mergeCell ref="A4:W5"/>
    <mergeCell ref="A7:C8"/>
    <mergeCell ref="D7:G7"/>
    <mergeCell ref="A9:A10"/>
    <mergeCell ref="A11:A12"/>
    <mergeCell ref="A15:B16"/>
    <mergeCell ref="C15:H15"/>
    <mergeCell ref="C16:D16"/>
    <mergeCell ref="E16:F16"/>
    <mergeCell ref="G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2024-08-27T23:02:43Z</dcterms:created>
  <dcterms:modified xsi:type="dcterms:W3CDTF">2024-09-30T20:01:22Z</dcterms:modified>
</cp:coreProperties>
</file>