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aan\Desktop\git\Apuntes_2024\2024-2\Evaluación de proyectos\Excels\"/>
    </mc:Choice>
  </mc:AlternateContent>
  <xr:revisionPtr revIDLastSave="0" documentId="13_ncr:1_{E008A42E-0691-4F14-A109-49FA135EE0E8}" xr6:coauthVersionLast="47" xr6:coauthVersionMax="47" xr10:uidLastSave="{00000000-0000-0000-0000-000000000000}"/>
  <bookViews>
    <workbookView xWindow="-108" yWindow="-108" windowWidth="23256" windowHeight="12456" activeTab="2" xr2:uid="{19CED661-0993-45BC-9691-DF08BA47EA87}"/>
  </bookViews>
  <sheets>
    <sheet name="Ejercicio 1" sheetId="1" r:id="rId1"/>
    <sheet name="Ejercicio 2" sheetId="2" r:id="rId2"/>
    <sheet name="Ejercici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3" l="1"/>
  <c r="G11" i="3"/>
  <c r="I11" i="3" s="1"/>
  <c r="I7" i="3"/>
  <c r="I4" i="3"/>
  <c r="K11" i="2"/>
  <c r="J11" i="2"/>
  <c r="H11" i="2"/>
  <c r="I11" i="2"/>
  <c r="G11" i="2"/>
  <c r="K20" i="2"/>
  <c r="F19" i="2"/>
  <c r="N10" i="2"/>
  <c r="G9" i="2"/>
  <c r="F18" i="2" l="1"/>
  <c r="F17" i="2"/>
  <c r="G7" i="2"/>
  <c r="G19" i="2"/>
  <c r="Q22" i="2"/>
  <c r="N11" i="2"/>
  <c r="H19" i="2" l="1"/>
  <c r="B24" i="2"/>
  <c r="K17" i="2"/>
  <c r="B14" i="2"/>
  <c r="B13" i="2"/>
  <c r="H9" i="2"/>
  <c r="I9" i="2"/>
  <c r="J9" i="2"/>
  <c r="K9" i="2"/>
  <c r="I19" i="2" l="1"/>
  <c r="J19" i="2" s="1"/>
  <c r="H10" i="2"/>
  <c r="I10" i="2" s="1"/>
  <c r="J10" i="2" s="1"/>
  <c r="K10" i="2" s="1"/>
  <c r="G27" i="1"/>
  <c r="F27" i="1"/>
  <c r="H7" i="2"/>
  <c r="I7" i="2"/>
  <c r="J7" i="2"/>
  <c r="K7" i="2"/>
  <c r="C7" i="2"/>
  <c r="G6" i="2"/>
  <c r="G2" i="2"/>
  <c r="G4" i="2" s="1"/>
  <c r="B25" i="2"/>
  <c r="I12" i="2" s="1"/>
  <c r="K18" i="2"/>
  <c r="K16" i="2"/>
  <c r="J16" i="2"/>
  <c r="I16" i="2"/>
  <c r="H16" i="2"/>
  <c r="G16" i="2"/>
  <c r="H3" i="2"/>
  <c r="I3" i="2" s="1"/>
  <c r="J3" i="2" s="1"/>
  <c r="K3" i="2" s="1"/>
  <c r="I28" i="1"/>
  <c r="I27" i="1"/>
  <c r="I26" i="1"/>
  <c r="I25" i="1"/>
  <c r="I24" i="1"/>
  <c r="H28" i="1"/>
  <c r="H27" i="1"/>
  <c r="H26" i="1"/>
  <c r="H25" i="1"/>
  <c r="H24" i="1"/>
  <c r="G24" i="1"/>
  <c r="G28" i="1"/>
  <c r="F28" i="1"/>
  <c r="F26" i="1"/>
  <c r="F25" i="1"/>
  <c r="F24" i="1"/>
  <c r="E27" i="1"/>
  <c r="E26" i="1"/>
  <c r="E25" i="1"/>
  <c r="E24" i="1"/>
  <c r="D28" i="1"/>
  <c r="D27" i="1"/>
  <c r="D26" i="1"/>
  <c r="D25" i="1"/>
  <c r="D24" i="1"/>
  <c r="C27" i="1"/>
  <c r="C26" i="1"/>
  <c r="C25" i="1"/>
  <c r="C24" i="1"/>
  <c r="C28" i="1"/>
  <c r="B28" i="1"/>
  <c r="B27" i="1"/>
  <c r="B26" i="1"/>
  <c r="B25" i="1"/>
  <c r="B24" i="1"/>
  <c r="H2" i="2" l="1"/>
  <c r="H4" i="2" s="1"/>
  <c r="H6" i="2" s="1"/>
  <c r="G12" i="2"/>
  <c r="G13" i="2" s="1"/>
  <c r="G14" i="2" s="1"/>
  <c r="G15" i="2" s="1"/>
  <c r="H12" i="2"/>
  <c r="B20" i="1"/>
  <c r="I16" i="1"/>
  <c r="H16" i="1"/>
  <c r="G15" i="1"/>
  <c r="D15" i="1"/>
  <c r="B15" i="1"/>
  <c r="F3" i="1"/>
  <c r="B3" i="1"/>
  <c r="F2" i="1"/>
  <c r="E1" i="1"/>
  <c r="G21" i="2" l="1"/>
  <c r="I2" i="2"/>
  <c r="J2" i="2" s="1"/>
  <c r="F21" i="2"/>
  <c r="H2" i="1"/>
  <c r="H13" i="2" l="1"/>
  <c r="H14" i="2" s="1"/>
  <c r="H15" i="2" s="1"/>
  <c r="I4" i="2"/>
  <c r="I6" i="2" s="1"/>
  <c r="R16" i="2"/>
  <c r="N13" i="2"/>
  <c r="J4" i="2"/>
  <c r="J6" i="2" s="1"/>
  <c r="K2" i="2"/>
  <c r="E28" i="1"/>
  <c r="H21" i="2" l="1"/>
  <c r="J13" i="2"/>
  <c r="J14" i="2" s="1"/>
  <c r="J15" i="2" s="1"/>
  <c r="I13" i="2"/>
  <c r="I14" i="2" s="1"/>
  <c r="P20" i="2"/>
  <c r="P18" i="2"/>
  <c r="P17" i="2"/>
  <c r="P19" i="2"/>
  <c r="S16" i="2"/>
  <c r="N17" i="2"/>
  <c r="O17" i="2" s="1"/>
  <c r="K4" i="2"/>
  <c r="K6" i="2" s="1"/>
  <c r="K13" i="2" l="1"/>
  <c r="K14" i="2" s="1"/>
  <c r="K15" i="2" s="1"/>
  <c r="K19" i="2"/>
  <c r="I15" i="2"/>
  <c r="I21" i="2" s="1"/>
  <c r="Q17" i="2"/>
  <c r="S17" i="2" s="1"/>
  <c r="J21" i="2" l="1"/>
  <c r="K21" i="2"/>
  <c r="R17" i="2"/>
  <c r="N18" i="2" s="1"/>
  <c r="O18" i="2" s="1"/>
  <c r="F22" i="2" l="1"/>
  <c r="G24" i="2" s="1"/>
  <c r="Q18" i="2"/>
  <c r="S18" i="2" l="1"/>
  <c r="R18" i="2"/>
  <c r="N19" i="2" l="1"/>
  <c r="O19" i="2" s="1"/>
  <c r="Q19" i="2" l="1"/>
  <c r="S19" i="2" l="1"/>
  <c r="R19" i="2"/>
  <c r="N20" i="2" l="1"/>
  <c r="O20" i="2" s="1"/>
  <c r="Q20" i="2" l="1"/>
  <c r="S20" i="2" s="1"/>
  <c r="Q23" i="2" s="1"/>
  <c r="G25" i="2" s="1"/>
  <c r="G26" i="2" s="1"/>
  <c r="R20" i="2" l="1"/>
</calcChain>
</file>

<file path=xl/sharedStrings.xml><?xml version="1.0" encoding="utf-8"?>
<sst xmlns="http://schemas.openxmlformats.org/spreadsheetml/2006/main" count="135" uniqueCount="109">
  <si>
    <t>Ri</t>
  </si>
  <si>
    <t>Rm</t>
  </si>
  <si>
    <t>% VARIAC</t>
  </si>
  <si>
    <t>COVARIANZA</t>
  </si>
  <si>
    <t>BETA LEVERAGE</t>
  </si>
  <si>
    <t>Año</t>
  </si>
  <si>
    <t>MERCADO</t>
  </si>
  <si>
    <t>VARIANZA</t>
  </si>
  <si>
    <t>ACTIVO</t>
  </si>
  <si>
    <t>PASIVO</t>
  </si>
  <si>
    <t xml:space="preserve"> EMPRESAS</t>
  </si>
  <si>
    <t> BETA LEVERAGE</t>
  </si>
  <si>
    <t>DEUDA</t>
  </si>
  <si>
    <t>PATRIMONIO</t>
  </si>
  <si>
    <t xml:space="preserve">CAJA </t>
  </si>
  <si>
    <t>BANCOS C.P</t>
  </si>
  <si>
    <t>CTAS POR COBRAR</t>
  </si>
  <si>
    <t>BANCOS L.P</t>
  </si>
  <si>
    <t>ACTIVO FIJO</t>
  </si>
  <si>
    <t>TOTAL</t>
  </si>
  <si>
    <t>BETA LEVERAGE INDUSTRIA</t>
  </si>
  <si>
    <t>IMPUESTO</t>
  </si>
  <si>
    <t>Rf</t>
  </si>
  <si>
    <t>Rm-Rf</t>
  </si>
  <si>
    <t>TASA DE DEUDA EFECTIVA</t>
  </si>
  <si>
    <t>PONDERACIÓN</t>
  </si>
  <si>
    <t>BETA UNLEVERAGE</t>
  </si>
  <si>
    <t>CAPM</t>
  </si>
  <si>
    <t>WACC</t>
  </si>
  <si>
    <t>HOLDING</t>
  </si>
  <si>
    <t>ESTADO FINANCIERO BANCO CHILE</t>
  </si>
  <si>
    <t>BANCO CHILE</t>
  </si>
  <si>
    <t>BANK AMERICA</t>
  </si>
  <si>
    <t>BANK NY</t>
  </si>
  <si>
    <t>BANK BOSTON</t>
  </si>
  <si>
    <t>SAAM</t>
  </si>
  <si>
    <t>FORESTAL MININCO</t>
  </si>
  <si>
    <t>PRONTO COPEC</t>
  </si>
  <si>
    <t>D.C.P</t>
  </si>
  <si>
    <t>D.L.P</t>
  </si>
  <si>
    <t>EMPRESAS QUE COMPONEN LA INDUSTRIA BANCARIA</t>
  </si>
  <si>
    <t>IMPUESTO HOLDING</t>
  </si>
  <si>
    <t>t=</t>
  </si>
  <si>
    <t>Cantidad</t>
  </si>
  <si>
    <t>Factoring</t>
  </si>
  <si>
    <t>Precio</t>
  </si>
  <si>
    <t>Contado</t>
  </si>
  <si>
    <t>Ingreso</t>
  </si>
  <si>
    <t>Tasa Factoring</t>
  </si>
  <si>
    <t>Días</t>
  </si>
  <si>
    <t>Incobrable</t>
  </si>
  <si>
    <t>Costos Variables</t>
  </si>
  <si>
    <t>Crédito</t>
  </si>
  <si>
    <t>Costos Fijos</t>
  </si>
  <si>
    <t>Valor</t>
  </si>
  <si>
    <t>Depreciación</t>
  </si>
  <si>
    <t>Interés</t>
  </si>
  <si>
    <t>Leasing</t>
  </si>
  <si>
    <t>Periodos</t>
  </si>
  <si>
    <t>CAPM (Año)</t>
  </si>
  <si>
    <t>Utilidad</t>
  </si>
  <si>
    <t>Cuota</t>
  </si>
  <si>
    <t>CAPM (Mes)</t>
  </si>
  <si>
    <t>Impuesto</t>
  </si>
  <si>
    <t>Utilidad Despues Impuesto</t>
  </si>
  <si>
    <t>Periodo</t>
  </si>
  <si>
    <t>Interés dsps impto</t>
  </si>
  <si>
    <t>Amortización</t>
  </si>
  <si>
    <t>Saldo</t>
  </si>
  <si>
    <t>Terreno</t>
  </si>
  <si>
    <t>Galpón</t>
  </si>
  <si>
    <t>Capital De Trabajo</t>
  </si>
  <si>
    <t>FLUJO</t>
  </si>
  <si>
    <t>VAN</t>
  </si>
  <si>
    <t>Tasa VAN:</t>
  </si>
  <si>
    <t>Inversiones</t>
  </si>
  <si>
    <t>VAN FLUJO</t>
  </si>
  <si>
    <t>VAN CREDITO</t>
  </si>
  <si>
    <t>Monto</t>
  </si>
  <si>
    <t>Años</t>
  </si>
  <si>
    <t>VAN AJUSTADO</t>
  </si>
  <si>
    <t>Meses</t>
  </si>
  <si>
    <t>Tasa</t>
  </si>
  <si>
    <t>COSTO FIJO</t>
  </si>
  <si>
    <t>MONTO</t>
  </si>
  <si>
    <t>TOTAL AJUSTADO</t>
  </si>
  <si>
    <t>MANO DE OBRA NO CALIFICADA</t>
  </si>
  <si>
    <t>MANO DE OBRA CALIFICADA</t>
  </si>
  <si>
    <t>CO2</t>
  </si>
  <si>
    <t>FACTOR AJUSTE</t>
  </si>
  <si>
    <t>Venta activos</t>
  </si>
  <si>
    <t>TONELADAS</t>
  </si>
  <si>
    <t>PUNTOS DE CONTROL</t>
  </si>
  <si>
    <t>a) Beneficios y costos sociales</t>
  </si>
  <si>
    <t>Beneficios Sociales:</t>
  </si>
  <si>
    <t>4. Mejora en salud por menor contaminación (usando costos evitados en salud pública).</t>
  </si>
  <si>
    <t>Costos Sociales:</t>
  </si>
  <si>
    <t>2. Impactos ambientales temporales durante construcción (mitigación de residuos, ruido).</t>
  </si>
  <si>
    <t>1. Generación de empleo calificado (Ctotal⋅0.3⋅0.97).</t>
  </si>
  <si>
    <t>2. Generación de empleo no calificado (Ctotal⋅0.1⋅0.91).</t>
  </si>
  <si>
    <t>3. Reducción de emisiones de CO₂ (tCO2⋅56,083).</t>
  </si>
  <si>
    <t>b) Cálculo de 3 beneficios sociales</t>
  </si>
  <si>
    <r>
      <t>Mano de obra calificada:</t>
    </r>
    <r>
      <rPr>
        <sz val="11"/>
        <color theme="1"/>
        <rFont val="Aptos Narrow"/>
        <family val="2"/>
        <scheme val="minor"/>
      </rPr>
      <t xml:space="preserve"> 300,000⋅0.97=291,000</t>
    </r>
  </si>
  <si>
    <r>
      <t>Mano de obra no calificada:</t>
    </r>
    <r>
      <rPr>
        <sz val="11"/>
        <color theme="1"/>
        <rFont val="Aptos Narrow"/>
        <family val="2"/>
        <scheme val="minor"/>
      </rPr>
      <t xml:space="preserve"> 100,000⋅0.91=91,000</t>
    </r>
  </si>
  <si>
    <r>
      <t>Reducción de CO₂:</t>
    </r>
    <r>
      <rPr>
        <sz val="11"/>
        <color theme="1"/>
        <rFont val="Aptos Narrow"/>
        <family val="2"/>
        <scheme val="minor"/>
      </rPr>
      <t xml:space="preserve"> 2 tCO2⋅56,083=112,1662</t>
    </r>
  </si>
  <si>
    <r>
      <t>Total anual:</t>
    </r>
    <r>
      <rPr>
        <sz val="11"/>
        <color theme="1"/>
        <rFont val="Aptos Narrow"/>
        <family val="2"/>
        <scheme val="minor"/>
      </rPr>
      <t xml:space="preserve"> 291,000+91,000+112,166=494,166</t>
    </r>
  </si>
  <si>
    <t>c) Ajustes adicionales</t>
  </si>
  <si>
    <t>1. Considerar externalidades negativas (impactos ambientales).</t>
  </si>
  <si>
    <t>1. Costos de operación y 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</si>
</sst>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&quot;$&quot;\-#,##0.00"/>
    <numFmt numFmtId="42" formatCode="_ &quot;$&quot;* #,##0_ ;_ &quot;$&quot;* \-#,##0_ ;_ &quot;$&quot;* &quot;-&quot;_ ;_ @_ "/>
    <numFmt numFmtId="169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3.5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2" fontId="0" fillId="0" borderId="1" xfId="0" applyNumberFormat="1" applyBorder="1" applyAlignment="1">
      <alignment horizontal="center" vertical="center"/>
    </xf>
    <xf numFmtId="42" fontId="0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3" fillId="0" borderId="0" xfId="0" applyFont="1"/>
    <xf numFmtId="0" fontId="0" fillId="0" borderId="1" xfId="0" applyBorder="1"/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0" fillId="2" borderId="1" xfId="2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/>
    <xf numFmtId="42" fontId="0" fillId="0" borderId="1" xfId="1" applyFont="1" applyBorder="1"/>
    <xf numFmtId="10" fontId="0" fillId="0" borderId="0" xfId="0" applyNumberFormat="1"/>
    <xf numFmtId="1" fontId="0" fillId="0" borderId="1" xfId="0" applyNumberFormat="1" applyBorder="1"/>
    <xf numFmtId="42" fontId="0" fillId="0" borderId="1" xfId="0" applyNumberFormat="1" applyBorder="1"/>
    <xf numFmtId="9" fontId="0" fillId="0" borderId="1" xfId="0" applyNumberFormat="1" applyBorder="1"/>
    <xf numFmtId="42" fontId="0" fillId="0" borderId="0" xfId="0" applyNumberForma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4" fillId="0" borderId="1" xfId="0" applyFont="1" applyBorder="1"/>
    <xf numFmtId="10" fontId="0" fillId="0" borderId="1" xfId="0" applyNumberFormat="1" applyBorder="1"/>
    <xf numFmtId="8" fontId="0" fillId="0" borderId="1" xfId="0" applyNumberFormat="1" applyBorder="1"/>
    <xf numFmtId="9" fontId="0" fillId="0" borderId="0" xfId="0" applyNumberFormat="1"/>
    <xf numFmtId="0" fontId="0" fillId="4" borderId="1" xfId="0" applyFill="1" applyBorder="1" applyAlignment="1">
      <alignment horizontal="center"/>
    </xf>
    <xf numFmtId="42" fontId="0" fillId="0" borderId="0" xfId="1" applyFont="1"/>
    <xf numFmtId="0" fontId="0" fillId="0" borderId="1" xfId="0" applyBorder="1" applyAlignment="1">
      <alignment wrapText="1"/>
    </xf>
    <xf numFmtId="0" fontId="0" fillId="0" borderId="1" xfId="0" applyNumberFormat="1" applyBorder="1"/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" xfId="0" applyFill="1" applyBorder="1"/>
    <xf numFmtId="10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/>
    <xf numFmtId="9" fontId="0" fillId="0" borderId="0" xfId="0" applyNumberFormat="1" applyFill="1" applyBorder="1"/>
    <xf numFmtId="169" fontId="0" fillId="0" borderId="1" xfId="0" applyNumberFormat="1" applyBorder="1"/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E1A4-9B16-418F-A93A-0FED0F89E5DB}">
  <dimension ref="A1:N28"/>
  <sheetViews>
    <sheetView topLeftCell="A5" zoomScaleNormal="100" workbookViewId="0">
      <selection activeCell="I18" sqref="I18"/>
    </sheetView>
  </sheetViews>
  <sheetFormatPr baseColWidth="10" defaultRowHeight="14.4" x14ac:dyDescent="0.3"/>
  <cols>
    <col min="1" max="1" width="22.33203125" bestFit="1" customWidth="1"/>
    <col min="2" max="2" width="14.33203125" bestFit="1" customWidth="1"/>
    <col min="3" max="3" width="11.77734375" bestFit="1" customWidth="1"/>
    <col min="4" max="4" width="8.21875" bestFit="1" customWidth="1"/>
    <col min="5" max="5" width="13.6640625" bestFit="1" customWidth="1"/>
    <col min="6" max="6" width="23.6640625" bestFit="1" customWidth="1"/>
    <col min="7" max="7" width="14.33203125" bestFit="1" customWidth="1"/>
    <col min="8" max="8" width="12" bestFit="1" customWidth="1"/>
    <col min="9" max="9" width="11.77734375" bestFit="1" customWidth="1"/>
    <col min="11" max="11" width="17.33203125" bestFit="1" customWidth="1"/>
    <col min="12" max="12" width="5.77734375" bestFit="1" customWidth="1"/>
    <col min="13" max="13" width="7.21875" bestFit="1" customWidth="1"/>
    <col min="14" max="14" width="11.6640625" bestFit="1" customWidth="1"/>
  </cols>
  <sheetData>
    <row r="1" spans="1:14" x14ac:dyDescent="0.3">
      <c r="A1" s="1" t="s">
        <v>37</v>
      </c>
      <c r="B1" s="2" t="s">
        <v>0</v>
      </c>
      <c r="C1" s="2" t="s">
        <v>1</v>
      </c>
      <c r="D1" s="3"/>
      <c r="E1" s="4" t="str">
        <f>A1</f>
        <v>PRONTO COPEC</v>
      </c>
      <c r="F1" s="4"/>
      <c r="G1" s="4"/>
      <c r="H1" s="4"/>
    </row>
    <row r="2" spans="1:14" x14ac:dyDescent="0.3">
      <c r="A2" s="1"/>
      <c r="B2" s="2" t="s">
        <v>2</v>
      </c>
      <c r="C2" s="2" t="s">
        <v>2</v>
      </c>
      <c r="D2" s="3"/>
      <c r="E2" s="2" t="s">
        <v>3</v>
      </c>
      <c r="F2" s="5">
        <f>_xlfn.COVARIANCE.P(B4:B8,C4:C8)</f>
        <v>1.1399999999999997E-3</v>
      </c>
      <c r="G2" s="6" t="s">
        <v>4</v>
      </c>
      <c r="H2" s="1">
        <f>F2/F3</f>
        <v>0.5700000000000004</v>
      </c>
    </row>
    <row r="3" spans="1:14" x14ac:dyDescent="0.3">
      <c r="A3" s="2" t="s">
        <v>5</v>
      </c>
      <c r="B3" s="2" t="str">
        <f>A1</f>
        <v>PRONTO COPEC</v>
      </c>
      <c r="C3" s="2" t="s">
        <v>6</v>
      </c>
      <c r="D3" s="3"/>
      <c r="E3" s="2" t="s">
        <v>7</v>
      </c>
      <c r="F3" s="5">
        <f>_xlfn.VAR.S(C4:C8)</f>
        <v>1.9999999999999983E-3</v>
      </c>
      <c r="G3" s="6"/>
      <c r="H3" s="1"/>
    </row>
    <row r="4" spans="1:14" x14ac:dyDescent="0.3">
      <c r="A4" s="5">
        <v>2013</v>
      </c>
      <c r="B4" s="5">
        <v>0.02</v>
      </c>
      <c r="C4" s="5">
        <v>0.09</v>
      </c>
      <c r="D4" s="3"/>
      <c r="E4" s="3"/>
      <c r="F4" s="3"/>
    </row>
    <row r="5" spans="1:14" x14ac:dyDescent="0.3">
      <c r="A5" s="5">
        <v>2014</v>
      </c>
      <c r="B5" s="5">
        <v>0.04</v>
      </c>
      <c r="C5" s="5">
        <v>7.0000000000000007E-2</v>
      </c>
      <c r="D5" s="3"/>
      <c r="E5" s="3"/>
      <c r="F5" s="3"/>
    </row>
    <row r="6" spans="1:14" x14ac:dyDescent="0.3">
      <c r="A6" s="5">
        <v>2015</v>
      </c>
      <c r="B6" s="5">
        <v>7.0000000000000007E-2</v>
      </c>
      <c r="C6" s="5">
        <v>0.11</v>
      </c>
      <c r="D6" s="3"/>
      <c r="E6" s="3"/>
      <c r="F6" s="3"/>
    </row>
    <row r="7" spans="1:14" x14ac:dyDescent="0.3">
      <c r="A7" s="5">
        <v>2016</v>
      </c>
      <c r="B7" s="5">
        <v>0.09</v>
      </c>
      <c r="C7" s="5">
        <v>0.18</v>
      </c>
      <c r="D7" s="3"/>
      <c r="E7" s="3"/>
      <c r="F7" s="3"/>
      <c r="K7" s="10"/>
    </row>
    <row r="8" spans="1:14" x14ac:dyDescent="0.3">
      <c r="A8" s="5">
        <v>2017</v>
      </c>
      <c r="B8" s="5">
        <v>0.12</v>
      </c>
      <c r="C8" s="5">
        <v>0.15</v>
      </c>
      <c r="D8" s="3"/>
      <c r="E8" s="3"/>
      <c r="F8" s="3"/>
    </row>
    <row r="9" spans="1:14" x14ac:dyDescent="0.3">
      <c r="A9" s="3"/>
      <c r="B9" s="3"/>
      <c r="C9" s="3"/>
      <c r="D9" s="3"/>
      <c r="E9" s="3"/>
      <c r="F9" s="3"/>
    </row>
    <row r="10" spans="1:14" x14ac:dyDescent="0.3">
      <c r="A10" s="4" t="s">
        <v>30</v>
      </c>
      <c r="B10" s="4"/>
      <c r="C10" s="4"/>
      <c r="D10" s="4"/>
      <c r="E10" s="3"/>
      <c r="F10" s="4" t="s">
        <v>40</v>
      </c>
      <c r="G10" s="4"/>
      <c r="H10" s="4"/>
      <c r="I10" s="4"/>
      <c r="K10" s="11"/>
      <c r="L10" s="16" t="s">
        <v>38</v>
      </c>
      <c r="M10" s="16" t="s">
        <v>39</v>
      </c>
      <c r="N10" s="16" t="s">
        <v>13</v>
      </c>
    </row>
    <row r="11" spans="1:14" x14ac:dyDescent="0.3">
      <c r="A11" s="4" t="s">
        <v>8</v>
      </c>
      <c r="B11" s="4"/>
      <c r="C11" s="4" t="s">
        <v>9</v>
      </c>
      <c r="D11" s="4"/>
      <c r="E11" s="3"/>
      <c r="F11" s="2" t="s">
        <v>10</v>
      </c>
      <c r="G11" s="2" t="s">
        <v>11</v>
      </c>
      <c r="H11" s="2" t="s">
        <v>12</v>
      </c>
      <c r="I11" s="2" t="s">
        <v>13</v>
      </c>
      <c r="K11" s="12" t="s">
        <v>37</v>
      </c>
      <c r="L11" s="17">
        <v>256</v>
      </c>
      <c r="M11" s="17">
        <v>2150</v>
      </c>
      <c r="N11" s="17">
        <v>33576</v>
      </c>
    </row>
    <row r="12" spans="1:14" x14ac:dyDescent="0.3">
      <c r="A12" s="2" t="s">
        <v>14</v>
      </c>
      <c r="B12" s="7">
        <v>24530</v>
      </c>
      <c r="C12" s="2" t="s">
        <v>15</v>
      </c>
      <c r="D12" s="7">
        <v>14520</v>
      </c>
      <c r="E12" s="3"/>
      <c r="F12" s="2" t="s">
        <v>32</v>
      </c>
      <c r="G12" s="5">
        <v>1.5</v>
      </c>
      <c r="H12" s="7">
        <v>5600</v>
      </c>
      <c r="I12" s="7">
        <v>4500</v>
      </c>
      <c r="K12" s="16" t="s">
        <v>36</v>
      </c>
      <c r="L12" s="17">
        <v>360</v>
      </c>
      <c r="M12" s="17">
        <v>3200</v>
      </c>
      <c r="N12" s="17">
        <v>13950</v>
      </c>
    </row>
    <row r="13" spans="1:14" x14ac:dyDescent="0.3">
      <c r="A13" s="2" t="s">
        <v>16</v>
      </c>
      <c r="B13" s="7">
        <v>320</v>
      </c>
      <c r="C13" s="2" t="s">
        <v>17</v>
      </c>
      <c r="D13" s="7">
        <v>1530</v>
      </c>
      <c r="E13" s="3"/>
      <c r="F13" s="2" t="s">
        <v>33</v>
      </c>
      <c r="G13" s="5">
        <v>1.9</v>
      </c>
      <c r="H13" s="7">
        <v>7100</v>
      </c>
      <c r="I13" s="7">
        <v>3800</v>
      </c>
      <c r="K13" s="16" t="s">
        <v>35</v>
      </c>
      <c r="L13" s="17">
        <v>619</v>
      </c>
      <c r="M13" s="17">
        <v>2000</v>
      </c>
      <c r="N13" s="17">
        <v>7800</v>
      </c>
    </row>
    <row r="14" spans="1:14" x14ac:dyDescent="0.3">
      <c r="A14" s="2" t="s">
        <v>18</v>
      </c>
      <c r="B14" s="7">
        <v>2240</v>
      </c>
      <c r="C14" s="2" t="s">
        <v>13</v>
      </c>
      <c r="D14" s="7">
        <v>11040</v>
      </c>
      <c r="E14" s="3"/>
      <c r="F14" s="2" t="s">
        <v>34</v>
      </c>
      <c r="G14" s="5">
        <v>1.7</v>
      </c>
      <c r="H14" s="7">
        <v>6400</v>
      </c>
      <c r="I14" s="7">
        <v>4300</v>
      </c>
    </row>
    <row r="15" spans="1:14" x14ac:dyDescent="0.3">
      <c r="A15" s="2" t="s">
        <v>19</v>
      </c>
      <c r="B15" s="8">
        <f>SUM(B12:B14)</f>
        <v>27090</v>
      </c>
      <c r="C15" s="2" t="s">
        <v>19</v>
      </c>
      <c r="D15" s="8">
        <f>SUM(D12:D14)</f>
        <v>27090</v>
      </c>
      <c r="E15" s="3"/>
      <c r="F15" s="2" t="s">
        <v>20</v>
      </c>
      <c r="G15" s="5">
        <f>AVERAGE(G12:G14)</f>
        <v>1.7</v>
      </c>
      <c r="H15" s="5"/>
      <c r="I15" s="5"/>
    </row>
    <row r="16" spans="1:14" x14ac:dyDescent="0.3">
      <c r="A16" s="3"/>
      <c r="B16" s="3"/>
      <c r="C16" s="3"/>
      <c r="D16" s="3"/>
      <c r="E16" s="3"/>
      <c r="F16" s="3"/>
      <c r="G16" s="2" t="s">
        <v>19</v>
      </c>
      <c r="H16" s="7">
        <f>SUM(H12:H14)</f>
        <v>19100</v>
      </c>
      <c r="I16" s="7">
        <f>SUM(I12:I14)</f>
        <v>12600</v>
      </c>
    </row>
    <row r="17" spans="1:9" x14ac:dyDescent="0.3">
      <c r="A17" s="2" t="s">
        <v>21</v>
      </c>
      <c r="B17" s="9">
        <v>0.25</v>
      </c>
      <c r="C17" s="15" t="s">
        <v>41</v>
      </c>
      <c r="D17" s="15"/>
      <c r="E17" s="9">
        <v>0.27</v>
      </c>
      <c r="F17" s="3"/>
    </row>
    <row r="18" spans="1:9" x14ac:dyDescent="0.3">
      <c r="A18" s="2" t="s">
        <v>22</v>
      </c>
      <c r="B18" s="9">
        <v>0.03</v>
      </c>
      <c r="C18" s="3"/>
      <c r="D18" s="3"/>
      <c r="E18" s="3"/>
      <c r="F18" s="3"/>
    </row>
    <row r="19" spans="1:9" x14ac:dyDescent="0.3">
      <c r="A19" s="2" t="s">
        <v>1</v>
      </c>
      <c r="B19" s="9">
        <v>0.12</v>
      </c>
      <c r="C19" s="3"/>
      <c r="D19" s="3"/>
      <c r="E19" s="3"/>
      <c r="F19" s="3"/>
    </row>
    <row r="20" spans="1:9" x14ac:dyDescent="0.3">
      <c r="A20" s="2" t="s">
        <v>23</v>
      </c>
      <c r="B20" s="9">
        <f>B19-B18</f>
        <v>0.09</v>
      </c>
      <c r="C20" s="3"/>
      <c r="D20" s="3"/>
      <c r="E20" s="3"/>
      <c r="F20" s="3"/>
    </row>
    <row r="21" spans="1:9" x14ac:dyDescent="0.3">
      <c r="A21" s="2" t="s">
        <v>24</v>
      </c>
      <c r="B21" s="9">
        <v>0.05</v>
      </c>
      <c r="C21" s="3"/>
      <c r="D21" s="3"/>
      <c r="E21" s="3"/>
      <c r="F21" s="3"/>
    </row>
    <row r="22" spans="1:9" x14ac:dyDescent="0.3">
      <c r="A22" s="3"/>
      <c r="B22" s="3"/>
      <c r="C22" s="3"/>
      <c r="D22" s="3"/>
      <c r="E22" s="3"/>
      <c r="F22" s="3"/>
    </row>
    <row r="23" spans="1:9" x14ac:dyDescent="0.3">
      <c r="A23" s="5"/>
      <c r="B23" s="2" t="s">
        <v>12</v>
      </c>
      <c r="C23" s="2" t="s">
        <v>13</v>
      </c>
      <c r="D23" s="2" t="s">
        <v>19</v>
      </c>
      <c r="E23" s="2" t="s">
        <v>25</v>
      </c>
      <c r="F23" s="2" t="s">
        <v>26</v>
      </c>
      <c r="G23" s="2" t="s">
        <v>4</v>
      </c>
      <c r="H23" s="13" t="s">
        <v>27</v>
      </c>
      <c r="I23" s="13" t="s">
        <v>28</v>
      </c>
    </row>
    <row r="24" spans="1:9" x14ac:dyDescent="0.3">
      <c r="A24" s="2" t="s">
        <v>37</v>
      </c>
      <c r="B24" s="7">
        <f>SUM(L11:M11)</f>
        <v>2406</v>
      </c>
      <c r="C24" s="7">
        <f>N11</f>
        <v>33576</v>
      </c>
      <c r="D24" s="7">
        <f>B24+C24</f>
        <v>35982</v>
      </c>
      <c r="E24" s="5">
        <f>D24/$D$28</f>
        <v>0.39540224832694149</v>
      </c>
      <c r="F24" s="5">
        <f>H2/(1+(1-$B$17)*(B24/C24))</f>
        <v>0.54092847755119389</v>
      </c>
      <c r="G24" s="5">
        <f>H2</f>
        <v>0.5700000000000004</v>
      </c>
      <c r="H24" s="37">
        <f>B18+G24*B20</f>
        <v>8.1300000000000039E-2</v>
      </c>
      <c r="I24" s="14">
        <f>(B24/D24)*(1-B17)*B21+(C24/D24)*H24</f>
        <v>7.8371235617808954E-2</v>
      </c>
    </row>
    <row r="25" spans="1:9" x14ac:dyDescent="0.3">
      <c r="A25" s="2" t="s">
        <v>36</v>
      </c>
      <c r="B25" s="7">
        <f>SUM(L12:M12)</f>
        <v>3560</v>
      </c>
      <c r="C25" s="7">
        <f>N12</f>
        <v>13950</v>
      </c>
      <c r="D25" s="7">
        <f>B25+C25</f>
        <v>17510</v>
      </c>
      <c r="E25" s="5">
        <f>D25/$D$28</f>
        <v>0.19241546796189052</v>
      </c>
      <c r="F25" s="5">
        <f>G25/(1+(1-$B$17)*(B25/C25))</f>
        <v>0.81416967509025273</v>
      </c>
      <c r="G25" s="5">
        <v>0.97</v>
      </c>
      <c r="H25" s="37">
        <f>B18+G25*B20</f>
        <v>0.11729999999999999</v>
      </c>
      <c r="I25" s="14">
        <f>(B25/D25)*(1-B17)*B21+(C25/D25)*H25</f>
        <v>0.10107567104511707</v>
      </c>
    </row>
    <row r="26" spans="1:9" x14ac:dyDescent="0.3">
      <c r="A26" s="2" t="s">
        <v>35</v>
      </c>
      <c r="B26" s="7">
        <f>SUM(L13:M13)</f>
        <v>2619</v>
      </c>
      <c r="C26" s="7">
        <f>N13</f>
        <v>7800</v>
      </c>
      <c r="D26" s="7">
        <f>B26+C26</f>
        <v>10419</v>
      </c>
      <c r="E26" s="5">
        <f>D26/$D$28</f>
        <v>0.11449324732695246</v>
      </c>
      <c r="F26" s="5">
        <f>G26/(1+(1-$B$17)*(B26/C26))</f>
        <v>1.0065289192718336</v>
      </c>
      <c r="G26" s="5">
        <v>1.26</v>
      </c>
      <c r="H26" s="37">
        <f>B18+G26*B20</f>
        <v>0.1434</v>
      </c>
      <c r="I26" s="14">
        <f>(B26/D26)*(1-B17)*B21+(C26/D26)*H26</f>
        <v>0.11678016124388138</v>
      </c>
    </row>
    <row r="27" spans="1:9" x14ac:dyDescent="0.3">
      <c r="A27" s="2" t="s">
        <v>31</v>
      </c>
      <c r="B27" s="7">
        <f>SUM(D12:D13)</f>
        <v>16050</v>
      </c>
      <c r="C27" s="7">
        <f>D14</f>
        <v>11040</v>
      </c>
      <c r="D27" s="7">
        <f>B27+C27</f>
        <v>27090</v>
      </c>
      <c r="E27" s="5">
        <f>D27/$D$28</f>
        <v>0.29768903638421557</v>
      </c>
      <c r="F27" s="5">
        <f>G15/(1+(1-B17)*(H16/I16))</f>
        <v>0.79554317548746523</v>
      </c>
      <c r="G27" s="5">
        <f>F27*(1+(1-B17)*(B27/C27))</f>
        <v>1.6629662710427517</v>
      </c>
      <c r="H27" s="37">
        <f>B18+G27*B20</f>
        <v>0.17966696439384766</v>
      </c>
      <c r="I27" s="14">
        <f>(B27/D27)*(1-B17)*B21+(C27/D27)*H27</f>
        <v>9.5437367549209229E-2</v>
      </c>
    </row>
    <row r="28" spans="1:9" x14ac:dyDescent="0.3">
      <c r="A28" s="2" t="s">
        <v>29</v>
      </c>
      <c r="B28" s="7">
        <f>SUM(B24:B27)</f>
        <v>24635</v>
      </c>
      <c r="C28" s="7">
        <f>SUM(C24:C27)</f>
        <v>66366</v>
      </c>
      <c r="D28" s="7">
        <f>B28+C28</f>
        <v>91001</v>
      </c>
      <c r="E28" s="5">
        <f t="shared" ref="E25:E28" si="0">D28/$D$28</f>
        <v>1</v>
      </c>
      <c r="F28" s="5">
        <f>F24*E24+E25*F25+F26*E26+F27*E27</f>
        <v>0.72260842104950562</v>
      </c>
      <c r="G28" s="5">
        <f>F28*(1+(1-E17)*(B28/C28))</f>
        <v>0.91841749000597173</v>
      </c>
      <c r="H28" s="37">
        <f>B18+G28*B20</f>
        <v>0.11265757410053745</v>
      </c>
      <c r="I28" s="14">
        <f>(B28/D28)*(1-E17)*B21+(C28/D28)*H28</f>
        <v>9.2040857383504232E-2</v>
      </c>
    </row>
  </sheetData>
  <mergeCells count="9">
    <mergeCell ref="A11:B11"/>
    <mergeCell ref="C11:D11"/>
    <mergeCell ref="C17:D17"/>
    <mergeCell ref="A1:A2"/>
    <mergeCell ref="E1:H1"/>
    <mergeCell ref="G2:G3"/>
    <mergeCell ref="H2:H3"/>
    <mergeCell ref="A10:D10"/>
    <mergeCell ref="F10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4CA4-038F-4A3A-B868-F9EA39EDBCCA}">
  <dimension ref="A1:S26"/>
  <sheetViews>
    <sheetView topLeftCell="F1" workbookViewId="0">
      <selection activeCell="P3" sqref="P3"/>
    </sheetView>
  </sheetViews>
  <sheetFormatPr baseColWidth="10" defaultRowHeight="14.4" x14ac:dyDescent="0.3"/>
  <cols>
    <col min="1" max="1" width="14" bestFit="1" customWidth="1"/>
    <col min="2" max="2" width="12.77734375" bestFit="1" customWidth="1"/>
    <col min="3" max="3" width="6.5546875" bestFit="1" customWidth="1"/>
    <col min="4" max="4" width="13.44140625" bestFit="1" customWidth="1"/>
    <col min="5" max="5" width="23.44140625" bestFit="1" customWidth="1"/>
    <col min="6" max="6" width="14.109375" bestFit="1" customWidth="1"/>
    <col min="7" max="11" width="15" bestFit="1" customWidth="1"/>
    <col min="12" max="12" width="4.5546875" bestFit="1" customWidth="1"/>
    <col min="13" max="13" width="8.88671875" bestFit="1" customWidth="1"/>
    <col min="14" max="14" width="13.6640625" bestFit="1" customWidth="1"/>
    <col min="15" max="15" width="20" bestFit="1" customWidth="1"/>
    <col min="16" max="16" width="11.77734375" bestFit="1" customWidth="1"/>
    <col min="17" max="17" width="12.6640625" bestFit="1" customWidth="1"/>
    <col min="18" max="18" width="12.77734375" bestFit="1" customWidth="1"/>
    <col min="19" max="19" width="20.6640625" bestFit="1" customWidth="1"/>
  </cols>
  <sheetData>
    <row r="1" spans="1:19" x14ac:dyDescent="0.3">
      <c r="E1" s="11" t="s">
        <v>42</v>
      </c>
      <c r="F1" s="11">
        <v>0</v>
      </c>
      <c r="G1" s="11">
        <v>1</v>
      </c>
      <c r="H1" s="11">
        <v>2</v>
      </c>
      <c r="I1" s="11">
        <v>3</v>
      </c>
      <c r="J1" s="11">
        <v>4</v>
      </c>
      <c r="K1" s="11">
        <v>5</v>
      </c>
    </row>
    <row r="2" spans="1:19" x14ac:dyDescent="0.3">
      <c r="A2" s="33" t="s">
        <v>44</v>
      </c>
      <c r="B2" s="34"/>
      <c r="C2" s="35"/>
      <c r="D2" s="18">
        <v>0.03</v>
      </c>
      <c r="E2" s="11" t="s">
        <v>43</v>
      </c>
      <c r="F2" s="11"/>
      <c r="G2" s="19">
        <f>2900*2</f>
        <v>5800</v>
      </c>
      <c r="H2" s="19">
        <f>G2*(1+$D$2)</f>
        <v>5974</v>
      </c>
      <c r="I2" s="19">
        <f>H2*(1+$D$2)</f>
        <v>6153.22</v>
      </c>
      <c r="J2" s="19">
        <f>I2*(1+$D$2)</f>
        <v>6337.8166000000001</v>
      </c>
      <c r="K2" s="19">
        <f>J2*(1+$D$2)</f>
        <v>6527.9510980000005</v>
      </c>
    </row>
    <row r="3" spans="1:19" x14ac:dyDescent="0.3">
      <c r="A3" s="11" t="s">
        <v>46</v>
      </c>
      <c r="B3" s="21">
        <v>0.2</v>
      </c>
      <c r="C3" s="11"/>
      <c r="D3" s="18">
        <v>0.09</v>
      </c>
      <c r="E3" s="11" t="s">
        <v>45</v>
      </c>
      <c r="F3" s="20"/>
      <c r="G3" s="20">
        <v>230000</v>
      </c>
      <c r="H3" s="20">
        <f>G3*(1+$D$3)</f>
        <v>250700.00000000003</v>
      </c>
      <c r="I3" s="20">
        <f>H3*(1+$D$3)</f>
        <v>273263.00000000006</v>
      </c>
      <c r="J3" s="20">
        <f>I3*(1+$D$3)</f>
        <v>297856.6700000001</v>
      </c>
      <c r="K3" s="20">
        <f>J3*(1+$D$3)</f>
        <v>324663.77030000015</v>
      </c>
    </row>
    <row r="4" spans="1:19" x14ac:dyDescent="0.3">
      <c r="A4" s="11" t="s">
        <v>48</v>
      </c>
      <c r="B4" s="41">
        <v>1.2999999999999999E-2</v>
      </c>
      <c r="C4" s="11"/>
      <c r="E4" s="11" t="s">
        <v>47</v>
      </c>
      <c r="F4" s="20"/>
      <c r="G4" s="20">
        <f>G2*G3</f>
        <v>1334000000</v>
      </c>
      <c r="H4" s="20">
        <f t="shared" ref="H4:K4" si="0">H2*H3</f>
        <v>1497681800.0000002</v>
      </c>
      <c r="I4" s="20">
        <f t="shared" si="0"/>
        <v>1681447356.8600004</v>
      </c>
      <c r="J4" s="20">
        <f t="shared" si="0"/>
        <v>1887760947.5467227</v>
      </c>
      <c r="K4" s="20">
        <f t="shared" si="0"/>
        <v>2119389215.8107059</v>
      </c>
    </row>
    <row r="5" spans="1:19" x14ac:dyDescent="0.3">
      <c r="A5" s="11" t="s">
        <v>49</v>
      </c>
      <c r="B5" s="11">
        <v>30</v>
      </c>
      <c r="C5" s="21">
        <v>0.2</v>
      </c>
      <c r="F5" s="22"/>
      <c r="G5" s="22"/>
      <c r="H5" s="22"/>
      <c r="I5" s="22"/>
      <c r="J5" s="22"/>
      <c r="K5" s="22"/>
    </row>
    <row r="6" spans="1:19" x14ac:dyDescent="0.3">
      <c r="A6" s="11" t="s">
        <v>49</v>
      </c>
      <c r="B6" s="11">
        <v>60</v>
      </c>
      <c r="C6" s="21">
        <v>0.3</v>
      </c>
      <c r="D6" s="18">
        <v>0.03</v>
      </c>
      <c r="E6" s="11" t="s">
        <v>50</v>
      </c>
      <c r="F6" s="20"/>
      <c r="G6" s="20">
        <f>G4*(1-$D$6)</f>
        <v>1293980000</v>
      </c>
      <c r="H6" s="20">
        <f>H4*(1-$D$6)</f>
        <v>1452751346.0000002</v>
      </c>
      <c r="I6" s="20">
        <f>I4*(1-$D$6)</f>
        <v>1631003936.1542003</v>
      </c>
      <c r="J6" s="20">
        <f>J4*(1-$D$6)</f>
        <v>1831128119.120321</v>
      </c>
      <c r="K6" s="20">
        <f>K4*(1-$D$6)</f>
        <v>2055807539.3363848</v>
      </c>
    </row>
    <row r="7" spans="1:19" x14ac:dyDescent="0.3">
      <c r="A7" s="36" t="s">
        <v>49</v>
      </c>
      <c r="B7" s="11">
        <v>90</v>
      </c>
      <c r="C7" s="21">
        <f>1-SUM(C6,C5,B3)</f>
        <v>0.30000000000000004</v>
      </c>
      <c r="E7" s="11" t="s">
        <v>44</v>
      </c>
      <c r="F7" s="20"/>
      <c r="G7" s="20">
        <f>G6*$B$3+(G6*$C$5)/POWER(1+$B$4,$B$5/30)+(G6*$C$6)/POWER(1+$B$4,$B$6/30)+(G6*$C$7)/POWER(1+$B$4,$B$7/30)</f>
        <v>1266004938.1658449</v>
      </c>
      <c r="H7" s="20">
        <f t="shared" ref="H7:K7" si="1">H6*$B$3+(H6*$C$5)/POWER(1+$B$4,$B$5/30)+(H6*$C$6)/POWER(1+$B$4,$B$6/30)+(H6*$C$7)/POWER(1+$B$4,$B$7/30)</f>
        <v>1421343744.0787945</v>
      </c>
      <c r="I7" s="20">
        <f t="shared" si="1"/>
        <v>1595742621.4772627</v>
      </c>
      <c r="J7" s="20">
        <f t="shared" si="1"/>
        <v>1791540241.1325231</v>
      </c>
      <c r="K7" s="20">
        <f t="shared" si="1"/>
        <v>2011362228.7194836</v>
      </c>
    </row>
    <row r="8" spans="1:19" x14ac:dyDescent="0.3">
      <c r="F8" s="22"/>
      <c r="G8" s="22"/>
      <c r="H8" s="22"/>
      <c r="I8" s="22"/>
      <c r="J8" s="22"/>
      <c r="K8" s="22"/>
    </row>
    <row r="9" spans="1:19" x14ac:dyDescent="0.3">
      <c r="A9" s="39"/>
      <c r="B9" s="40"/>
      <c r="D9" s="18">
        <v>2.5000000000000001E-2</v>
      </c>
      <c r="E9" s="11" t="s">
        <v>51</v>
      </c>
      <c r="F9" s="20">
        <v>-190000</v>
      </c>
      <c r="G9" s="20">
        <f>$F$9*G2*POWER(1+$D$9,G1-1)</f>
        <v>-1102000000</v>
      </c>
      <c r="H9" s="20">
        <f t="shared" ref="H9:K9" si="2">$F$9*H2*POWER(1+$D$9,H1-1)</f>
        <v>-1163436500</v>
      </c>
      <c r="I9" s="20">
        <f t="shared" si="2"/>
        <v>-1228298084.875</v>
      </c>
      <c r="J9" s="20">
        <f t="shared" si="2"/>
        <v>-1296775703.106781</v>
      </c>
      <c r="K9" s="20">
        <f t="shared" si="2"/>
        <v>-1369070948.5549841</v>
      </c>
      <c r="M9" s="23" t="s">
        <v>52</v>
      </c>
      <c r="N9" s="24"/>
    </row>
    <row r="10" spans="1:19" x14ac:dyDescent="0.3">
      <c r="A10" s="39"/>
      <c r="B10" s="40"/>
      <c r="D10" s="28">
        <v>0.03</v>
      </c>
      <c r="E10" s="11" t="s">
        <v>53</v>
      </c>
      <c r="F10" s="20"/>
      <c r="G10" s="17">
        <v>-170000000</v>
      </c>
      <c r="H10" s="17">
        <f>G10*(1+$D$10)</f>
        <v>-175100000</v>
      </c>
      <c r="I10" s="17">
        <f t="shared" ref="I10:K10" si="3">H10*(1+$D$10)</f>
        <v>-180353000</v>
      </c>
      <c r="J10" s="17">
        <f t="shared" si="3"/>
        <v>-185763590</v>
      </c>
      <c r="K10" s="17">
        <f t="shared" si="3"/>
        <v>-191336497.70000002</v>
      </c>
      <c r="M10" s="11" t="s">
        <v>54</v>
      </c>
      <c r="N10" s="20">
        <f>-0.38*SUM(F17:F19)</f>
        <v>298943131.0136022</v>
      </c>
    </row>
    <row r="11" spans="1:19" x14ac:dyDescent="0.3">
      <c r="A11" s="39"/>
      <c r="B11" s="40"/>
      <c r="E11" s="25" t="s">
        <v>55</v>
      </c>
      <c r="F11" s="20"/>
      <c r="G11" s="20">
        <f>$D$18/15</f>
        <v>-4600000</v>
      </c>
      <c r="H11" s="20">
        <f t="shared" ref="H11:I11" si="4">$D$18/15</f>
        <v>-4600000</v>
      </c>
      <c r="I11" s="20">
        <f t="shared" si="4"/>
        <v>-4600000</v>
      </c>
      <c r="J11" s="20">
        <f>$D$18/15-B23/10</f>
        <v>-13100000</v>
      </c>
      <c r="K11" s="20">
        <f>$D$18/15-B23/10</f>
        <v>-13100000</v>
      </c>
      <c r="M11" s="11" t="s">
        <v>56</v>
      </c>
      <c r="N11" s="26">
        <f>POWER(1+(7%/2),2) -1</f>
        <v>7.1224999999999872E-2</v>
      </c>
    </row>
    <row r="12" spans="1:19" x14ac:dyDescent="0.3">
      <c r="A12" s="39"/>
      <c r="B12" s="39"/>
      <c r="E12" s="25" t="s">
        <v>57</v>
      </c>
      <c r="F12" s="20"/>
      <c r="G12" s="20">
        <f>$B$25</f>
        <v>-33127695.143024027</v>
      </c>
      <c r="H12" s="20">
        <f>$B$25</f>
        <v>-33127695.143024027</v>
      </c>
      <c r="I12" s="20">
        <f>$B$25</f>
        <v>-33127695.143024027</v>
      </c>
      <c r="J12" s="20"/>
      <c r="K12" s="20"/>
      <c r="M12" s="11" t="s">
        <v>58</v>
      </c>
      <c r="N12" s="11">
        <v>4</v>
      </c>
    </row>
    <row r="13" spans="1:19" x14ac:dyDescent="0.3">
      <c r="A13" s="11" t="s">
        <v>59</v>
      </c>
      <c r="B13" s="26">
        <f>'Ejercicio 1'!H28</f>
        <v>0.11265757410053745</v>
      </c>
      <c r="E13" s="25" t="s">
        <v>60</v>
      </c>
      <c r="F13" s="20"/>
      <c r="G13" s="20">
        <f>SUM(G7:G12)</f>
        <v>-43722756.97717911</v>
      </c>
      <c r="H13" s="20">
        <f t="shared" ref="H13:K13" si="5">SUM(H7:H12)</f>
        <v>45079548.935770452</v>
      </c>
      <c r="I13" s="20">
        <f t="shared" si="5"/>
        <v>149363841.45923871</v>
      </c>
      <c r="J13" s="20">
        <f t="shared" si="5"/>
        <v>295900948.02574205</v>
      </c>
      <c r="K13" s="20">
        <f t="shared" si="5"/>
        <v>437854782.46449947</v>
      </c>
      <c r="M13" s="11" t="s">
        <v>61</v>
      </c>
      <c r="N13" s="27">
        <f>-PMT(N11,N12,N10)</f>
        <v>88500611.964480206</v>
      </c>
    </row>
    <row r="14" spans="1:19" x14ac:dyDescent="0.3">
      <c r="A14" s="11" t="s">
        <v>62</v>
      </c>
      <c r="B14" s="26">
        <f>POWER(1+B13,(1/12))-1</f>
        <v>8.9356335885844018E-3</v>
      </c>
      <c r="D14" s="28">
        <v>0.25</v>
      </c>
      <c r="E14" s="25" t="s">
        <v>63</v>
      </c>
      <c r="F14" s="20"/>
      <c r="G14" s="20">
        <f>G13*$D$14</f>
        <v>-10930689.244294778</v>
      </c>
      <c r="H14" s="20">
        <f t="shared" ref="H14:K14" si="6">H13*$D$14</f>
        <v>11269887.233942613</v>
      </c>
      <c r="I14" s="20">
        <f t="shared" si="6"/>
        <v>37340960.364809677</v>
      </c>
      <c r="J14" s="20">
        <f t="shared" si="6"/>
        <v>73975237.006435513</v>
      </c>
      <c r="K14" s="20">
        <f t="shared" si="6"/>
        <v>109463695.61612487</v>
      </c>
    </row>
    <row r="15" spans="1:19" x14ac:dyDescent="0.3">
      <c r="E15" s="25" t="s">
        <v>64</v>
      </c>
      <c r="F15" s="20"/>
      <c r="G15" s="20">
        <f>G13-G14</f>
        <v>-32792067.732884333</v>
      </c>
      <c r="H15" s="20">
        <f t="shared" ref="H15:K15" si="7">H13-H14</f>
        <v>33809661.701827839</v>
      </c>
      <c r="I15" s="20">
        <f t="shared" si="7"/>
        <v>112022881.09442903</v>
      </c>
      <c r="J15" s="20">
        <f t="shared" si="7"/>
        <v>221925711.01930654</v>
      </c>
      <c r="K15" s="20">
        <f t="shared" si="7"/>
        <v>328391086.84837461</v>
      </c>
      <c r="M15" s="11" t="s">
        <v>65</v>
      </c>
      <c r="N15" s="11" t="s">
        <v>56</v>
      </c>
      <c r="O15" s="11" t="s">
        <v>66</v>
      </c>
      <c r="P15" s="11" t="s">
        <v>61</v>
      </c>
      <c r="Q15" s="11" t="s">
        <v>67</v>
      </c>
      <c r="R15" s="11" t="s">
        <v>68</v>
      </c>
      <c r="S15" s="11"/>
    </row>
    <row r="16" spans="1:19" x14ac:dyDescent="0.3">
      <c r="E16" s="25" t="s">
        <v>55</v>
      </c>
      <c r="F16" s="20"/>
      <c r="G16" s="20">
        <f>-G11</f>
        <v>4600000</v>
      </c>
      <c r="H16" s="20">
        <f t="shared" ref="H16:K16" si="8">-H11</f>
        <v>4600000</v>
      </c>
      <c r="I16" s="20">
        <f t="shared" si="8"/>
        <v>4600000</v>
      </c>
      <c r="J16" s="20">
        <f t="shared" si="8"/>
        <v>13100000</v>
      </c>
      <c r="K16" s="20">
        <f t="shared" si="8"/>
        <v>13100000</v>
      </c>
      <c r="M16" s="11">
        <v>0</v>
      </c>
      <c r="N16" s="20"/>
      <c r="O16" s="20"/>
      <c r="P16" s="20"/>
      <c r="Q16" s="20"/>
      <c r="R16" s="20">
        <f>N10</f>
        <v>298943131.0136022</v>
      </c>
      <c r="S16" s="20">
        <f>R16</f>
        <v>298943131.0136022</v>
      </c>
    </row>
    <row r="17" spans="1:19" x14ac:dyDescent="0.3">
      <c r="A17" s="38" t="s">
        <v>75</v>
      </c>
      <c r="B17" s="38"/>
      <c r="C17" s="38"/>
      <c r="D17" s="30">
        <v>-130000000</v>
      </c>
      <c r="E17" s="25" t="s">
        <v>69</v>
      </c>
      <c r="F17" s="17">
        <f>D17*POWER(1+B13,B18)</f>
        <v>-160940894.03642806</v>
      </c>
      <c r="G17" s="20"/>
      <c r="H17" s="20"/>
      <c r="I17" s="20"/>
      <c r="J17" s="20"/>
      <c r="K17" s="20">
        <f>-D17*(L17*(1-$D$14)+1)</f>
        <v>164125000</v>
      </c>
      <c r="L17" s="28">
        <v>0.35</v>
      </c>
      <c r="M17" s="11">
        <v>1</v>
      </c>
      <c r="N17" s="20">
        <f>R16*$N$11</f>
        <v>21292224.50644378</v>
      </c>
      <c r="O17" s="20">
        <f>N17*(1-$D$14)</f>
        <v>15969168.379832834</v>
      </c>
      <c r="P17" s="20">
        <f>$N$13</f>
        <v>88500611.964480206</v>
      </c>
      <c r="Q17" s="20">
        <f>P17-N17</f>
        <v>67208387.458036423</v>
      </c>
      <c r="R17" s="20">
        <f>R16-Q17</f>
        <v>231734743.55556577</v>
      </c>
      <c r="S17" s="20">
        <f>-Q17-O17</f>
        <v>-83177555.837869257</v>
      </c>
    </row>
    <row r="18" spans="1:19" x14ac:dyDescent="0.3">
      <c r="A18" s="11" t="s">
        <v>69</v>
      </c>
      <c r="B18" s="11">
        <v>2</v>
      </c>
      <c r="C18" s="11" t="s">
        <v>79</v>
      </c>
      <c r="D18" s="30">
        <v>-69000000</v>
      </c>
      <c r="E18" s="25" t="s">
        <v>70</v>
      </c>
      <c r="F18" s="17">
        <f>D18*POWER(1+B14,B19)</f>
        <v>-74751555.999367207</v>
      </c>
      <c r="G18" s="20"/>
      <c r="H18" s="20"/>
      <c r="I18" s="20"/>
      <c r="J18" s="20"/>
      <c r="K18" s="20">
        <f>-D18*L18</f>
        <v>48300000</v>
      </c>
      <c r="L18" s="28">
        <v>0.7</v>
      </c>
      <c r="M18" s="11">
        <v>2</v>
      </c>
      <c r="N18" s="20">
        <f>R17*$N$11</f>
        <v>16505307.109745143</v>
      </c>
      <c r="O18" s="20">
        <f t="shared" ref="O18:O20" si="9">N18*(1-$D$14)</f>
        <v>12378980.332308857</v>
      </c>
      <c r="P18" s="20">
        <f>$N$13</f>
        <v>88500611.964480206</v>
      </c>
      <c r="Q18" s="20">
        <f t="shared" ref="Q18:Q20" si="10">P18-N18</f>
        <v>71995304.854735062</v>
      </c>
      <c r="R18" s="20">
        <f t="shared" ref="R18:R20" si="11">R17-Q18</f>
        <v>159739438.7008307</v>
      </c>
      <c r="S18" s="20">
        <f t="shared" ref="S18:S20" si="12">-Q18-O18</f>
        <v>-84374285.18704392</v>
      </c>
    </row>
    <row r="19" spans="1:19" x14ac:dyDescent="0.3">
      <c r="A19" s="11" t="s">
        <v>70</v>
      </c>
      <c r="B19" s="11">
        <v>9</v>
      </c>
      <c r="C19" s="11" t="s">
        <v>81</v>
      </c>
      <c r="E19" s="25" t="s">
        <v>71</v>
      </c>
      <c r="F19" s="20">
        <f>6*G9/12</f>
        <v>-551000000</v>
      </c>
      <c r="G19" s="20">
        <f>6*H9/12-SUM(F19)</f>
        <v>-30718250</v>
      </c>
      <c r="H19" s="20">
        <f>6*I9/12-SUM(F19:G19)</f>
        <v>-32430792.4375</v>
      </c>
      <c r="I19" s="20">
        <f>6*J9/12-SUM(F19:H19)</f>
        <v>-34238809.115890503</v>
      </c>
      <c r="J19" s="20">
        <f>6*K9/12-SUM(F19:I19)</f>
        <v>-36147622.724101543</v>
      </c>
      <c r="K19" s="20">
        <f>-SUM(F19:J19)*L19</f>
        <v>547628379.42199361</v>
      </c>
      <c r="L19" s="28">
        <v>0.8</v>
      </c>
      <c r="M19" s="11">
        <v>3</v>
      </c>
      <c r="N19" s="20">
        <f>R18*$N$11</f>
        <v>11377441.521466646</v>
      </c>
      <c r="O19" s="20">
        <f t="shared" si="9"/>
        <v>8533081.1410999857</v>
      </c>
      <c r="P19" s="20">
        <f>$N$13</f>
        <v>88500611.964480206</v>
      </c>
      <c r="Q19" s="20">
        <f t="shared" si="10"/>
        <v>77123170.443013564</v>
      </c>
      <c r="R19" s="20">
        <f t="shared" si="11"/>
        <v>82616268.257817134</v>
      </c>
      <c r="S19" s="20">
        <f t="shared" si="12"/>
        <v>-85656251.584113553</v>
      </c>
    </row>
    <row r="20" spans="1:19" x14ac:dyDescent="0.3">
      <c r="E20" s="25" t="s">
        <v>90</v>
      </c>
      <c r="F20" s="20"/>
      <c r="G20" s="20"/>
      <c r="H20" s="20"/>
      <c r="I20" s="20"/>
      <c r="J20" s="20"/>
      <c r="K20" s="20">
        <f>B23*L20</f>
        <v>59499999.999999993</v>
      </c>
      <c r="L20" s="28">
        <v>0.7</v>
      </c>
      <c r="M20" s="11">
        <v>4</v>
      </c>
      <c r="N20" s="20">
        <f>R19*$N$11</f>
        <v>5884343.7066630144</v>
      </c>
      <c r="O20" s="20">
        <f t="shared" si="9"/>
        <v>4413257.7799972612</v>
      </c>
      <c r="P20" s="20">
        <f>$N$13</f>
        <v>88500611.964480206</v>
      </c>
      <c r="Q20" s="20">
        <f t="shared" si="10"/>
        <v>82616268.257817194</v>
      </c>
      <c r="R20" s="20">
        <f t="shared" si="11"/>
        <v>0</v>
      </c>
      <c r="S20" s="20">
        <f>-Q20-O20</f>
        <v>-87029526.037814453</v>
      </c>
    </row>
    <row r="21" spans="1:19" x14ac:dyDescent="0.3">
      <c r="A21" s="29" t="s">
        <v>57</v>
      </c>
      <c r="B21" s="29"/>
      <c r="E21" s="25" t="s">
        <v>72</v>
      </c>
      <c r="F21" s="20">
        <f>SUM(F15:F20)</f>
        <v>-786692450.03579521</v>
      </c>
      <c r="G21" s="20">
        <f t="shared" ref="G21:J21" si="13">SUM(G15:G20)</f>
        <v>-58910317.732884333</v>
      </c>
      <c r="H21" s="20">
        <f t="shared" si="13"/>
        <v>5978869.264327839</v>
      </c>
      <c r="I21" s="20">
        <f t="shared" si="13"/>
        <v>82384071.978538528</v>
      </c>
      <c r="J21" s="20">
        <f t="shared" si="13"/>
        <v>198878088.295205</v>
      </c>
      <c r="K21" s="20">
        <f>SUM(K15:K20)</f>
        <v>1161044466.2703681</v>
      </c>
    </row>
    <row r="22" spans="1:19" x14ac:dyDescent="0.3">
      <c r="A22" s="11" t="s">
        <v>79</v>
      </c>
      <c r="B22" s="11">
        <v>3</v>
      </c>
      <c r="E22" s="25" t="s">
        <v>73</v>
      </c>
      <c r="F22" s="20">
        <f>NPV(B13,G21:K21)+F21</f>
        <v>35593256.731436372</v>
      </c>
      <c r="P22" s="11" t="s">
        <v>74</v>
      </c>
      <c r="Q22" s="26">
        <f>N11</f>
        <v>7.1224999999999872E-2</v>
      </c>
    </row>
    <row r="23" spans="1:19" x14ac:dyDescent="0.3">
      <c r="A23" s="11" t="s">
        <v>78</v>
      </c>
      <c r="B23" s="17">
        <v>85000000</v>
      </c>
      <c r="P23" s="11" t="s">
        <v>73</v>
      </c>
      <c r="Q23" s="20">
        <f>NPV(Q22,S17:S20)+S16</f>
        <v>11996033.906952381</v>
      </c>
    </row>
    <row r="24" spans="1:19" x14ac:dyDescent="0.3">
      <c r="A24" s="11" t="s">
        <v>82</v>
      </c>
      <c r="B24" s="31">
        <f>POWER(1+0.08/4,4)-1</f>
        <v>8.2432159999999977E-2</v>
      </c>
      <c r="F24" s="11" t="s">
        <v>76</v>
      </c>
      <c r="G24" s="20">
        <f>F22</f>
        <v>35593256.731436372</v>
      </c>
    </row>
    <row r="25" spans="1:19" x14ac:dyDescent="0.3">
      <c r="A25" s="11" t="s">
        <v>61</v>
      </c>
      <c r="B25" s="20">
        <f>PMT(B24,B22,B23)</f>
        <v>-33127695.143024027</v>
      </c>
      <c r="F25" s="11" t="s">
        <v>77</v>
      </c>
      <c r="G25" s="20">
        <f>Q23</f>
        <v>11996033.906952381</v>
      </c>
    </row>
    <row r="26" spans="1:19" x14ac:dyDescent="0.3">
      <c r="F26" s="11" t="s">
        <v>80</v>
      </c>
      <c r="G26" s="20">
        <f>SUM(G24:G25)</f>
        <v>47589290.638388753</v>
      </c>
    </row>
  </sheetData>
  <mergeCells count="3">
    <mergeCell ref="A21:B21"/>
    <mergeCell ref="A2:C2"/>
    <mergeCell ref="M9:N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F3909-ACE5-4C32-B9B1-09A43E44CE65}">
  <dimension ref="B3:L27"/>
  <sheetViews>
    <sheetView tabSelected="1" workbookViewId="0">
      <selection activeCell="Q3" sqref="Q3"/>
    </sheetView>
  </sheetViews>
  <sheetFormatPr baseColWidth="10" defaultRowHeight="14.4" x14ac:dyDescent="0.3"/>
  <cols>
    <col min="2" max="2" width="10.5546875" bestFit="1" customWidth="1"/>
    <col min="3" max="3" width="4" bestFit="1" customWidth="1"/>
    <col min="4" max="4" width="11.21875" bestFit="1" customWidth="1"/>
    <col min="6" max="6" width="4" bestFit="1" customWidth="1"/>
    <col min="7" max="7" width="10.77734375" bestFit="1" customWidth="1"/>
    <col min="8" max="8" width="13.88671875" bestFit="1" customWidth="1"/>
    <col min="9" max="9" width="15" bestFit="1" customWidth="1"/>
  </cols>
  <sheetData>
    <row r="3" spans="2:12" x14ac:dyDescent="0.3">
      <c r="B3" s="11"/>
      <c r="C3" s="11"/>
      <c r="D3" s="11"/>
      <c r="E3" s="11"/>
      <c r="F3" s="11"/>
      <c r="G3" s="11" t="s">
        <v>84</v>
      </c>
      <c r="H3" s="11" t="s">
        <v>89</v>
      </c>
      <c r="I3" s="11" t="s">
        <v>85</v>
      </c>
    </row>
    <row r="4" spans="2:12" ht="18" x14ac:dyDescent="0.3">
      <c r="B4" s="42" t="s">
        <v>83</v>
      </c>
      <c r="C4" s="45" t="s">
        <v>87</v>
      </c>
      <c r="D4" s="46"/>
      <c r="E4" s="47"/>
      <c r="F4" s="11">
        <v>0.3</v>
      </c>
      <c r="G4" s="17">
        <v>1000000</v>
      </c>
      <c r="H4" s="11">
        <v>0.97</v>
      </c>
      <c r="I4" s="17">
        <f>G4*F4*H4</f>
        <v>291000</v>
      </c>
      <c r="L4" s="48" t="s">
        <v>93</v>
      </c>
    </row>
    <row r="5" spans="2:12" x14ac:dyDescent="0.3">
      <c r="B5" s="43"/>
      <c r="C5" s="11"/>
      <c r="D5" s="11"/>
      <c r="E5" s="11"/>
      <c r="F5" s="11"/>
      <c r="G5" s="11"/>
      <c r="H5" s="11"/>
      <c r="I5" s="11"/>
      <c r="L5" s="49"/>
    </row>
    <row r="6" spans="2:12" x14ac:dyDescent="0.3">
      <c r="B6" s="43"/>
      <c r="C6" s="11"/>
      <c r="D6" s="11"/>
      <c r="E6" s="11"/>
      <c r="F6" s="11"/>
      <c r="G6" s="11"/>
      <c r="H6" s="11"/>
      <c r="I6" s="11"/>
      <c r="L6" s="50" t="s">
        <v>94</v>
      </c>
    </row>
    <row r="7" spans="2:12" x14ac:dyDescent="0.3">
      <c r="B7" s="44"/>
      <c r="C7" s="45" t="s">
        <v>86</v>
      </c>
      <c r="D7" s="46"/>
      <c r="E7" s="47"/>
      <c r="F7" s="11">
        <v>0.1</v>
      </c>
      <c r="G7" s="17">
        <v>1000000</v>
      </c>
      <c r="H7" s="11">
        <v>0.91</v>
      </c>
      <c r="I7" s="17">
        <f>G7*F7*H7</f>
        <v>91000</v>
      </c>
      <c r="L7" s="51" t="s">
        <v>98</v>
      </c>
    </row>
    <row r="8" spans="2:12" x14ac:dyDescent="0.3">
      <c r="B8" s="11"/>
      <c r="C8" s="11"/>
      <c r="D8" s="11"/>
      <c r="E8" s="11"/>
      <c r="F8" s="11"/>
      <c r="G8" s="11"/>
      <c r="H8" s="11"/>
      <c r="I8" s="11"/>
      <c r="L8" s="51" t="s">
        <v>99</v>
      </c>
    </row>
    <row r="9" spans="2:12" x14ac:dyDescent="0.3">
      <c r="B9" s="11"/>
      <c r="C9" s="11"/>
      <c r="D9" s="11"/>
      <c r="E9" s="11"/>
      <c r="F9" s="11"/>
      <c r="G9" s="11"/>
      <c r="H9" s="11"/>
      <c r="I9" s="11"/>
      <c r="L9" s="51" t="s">
        <v>100</v>
      </c>
    </row>
    <row r="10" spans="2:12" x14ac:dyDescent="0.3">
      <c r="B10" s="11"/>
      <c r="C10" s="11"/>
      <c r="D10" s="11" t="s">
        <v>92</v>
      </c>
      <c r="F10" s="11"/>
      <c r="G10" s="11" t="s">
        <v>91</v>
      </c>
      <c r="H10" s="11"/>
      <c r="I10" s="11"/>
      <c r="L10" s="51" t="s">
        <v>95</v>
      </c>
    </row>
    <row r="11" spans="2:12" x14ac:dyDescent="0.3">
      <c r="B11" s="11" t="s">
        <v>88</v>
      </c>
      <c r="C11" s="11"/>
      <c r="D11" s="11">
        <v>10</v>
      </c>
      <c r="E11" s="11"/>
      <c r="F11" s="11">
        <v>0.2</v>
      </c>
      <c r="G11" s="32">
        <f>D11*F11</f>
        <v>2</v>
      </c>
      <c r="H11" s="17">
        <v>56083</v>
      </c>
      <c r="I11" s="17">
        <f>G11*H11</f>
        <v>112166</v>
      </c>
      <c r="L11" s="50" t="s">
        <v>96</v>
      </c>
    </row>
    <row r="12" spans="2:12" x14ac:dyDescent="0.3">
      <c r="I12" s="22">
        <f>SUM(I4:I11)</f>
        <v>494166</v>
      </c>
      <c r="L12" s="51" t="s">
        <v>108</v>
      </c>
    </row>
    <row r="13" spans="2:12" x14ac:dyDescent="0.3">
      <c r="L13" s="51" t="s">
        <v>97</v>
      </c>
    </row>
    <row r="15" spans="2:12" ht="18" x14ac:dyDescent="0.3">
      <c r="L15" s="48" t="s">
        <v>101</v>
      </c>
    </row>
    <row r="16" spans="2:12" x14ac:dyDescent="0.3">
      <c r="L16" s="49"/>
    </row>
    <row r="17" spans="12:12" x14ac:dyDescent="0.3">
      <c r="L17" s="50" t="s">
        <v>102</v>
      </c>
    </row>
    <row r="18" spans="12:12" x14ac:dyDescent="0.3">
      <c r="L18" s="50" t="s">
        <v>103</v>
      </c>
    </row>
    <row r="19" spans="12:12" x14ac:dyDescent="0.3">
      <c r="L19" s="50" t="s">
        <v>104</v>
      </c>
    </row>
    <row r="20" spans="12:12" x14ac:dyDescent="0.3">
      <c r="L20" s="50" t="s">
        <v>105</v>
      </c>
    </row>
    <row r="22" spans="12:12" ht="18" x14ac:dyDescent="0.3">
      <c r="L22" s="48" t="s">
        <v>106</v>
      </c>
    </row>
    <row r="23" spans="12:12" x14ac:dyDescent="0.3">
      <c r="L23" s="49"/>
    </row>
    <row r="24" spans="12:12" x14ac:dyDescent="0.3">
      <c r="L24" s="49" t="s">
        <v>107</v>
      </c>
    </row>
    <row r="26" spans="12:12" x14ac:dyDescent="0.3">
      <c r="L26" s="49"/>
    </row>
    <row r="27" spans="12:12" x14ac:dyDescent="0.3">
      <c r="L27" s="49"/>
    </row>
  </sheetData>
  <mergeCells count="3">
    <mergeCell ref="B4:B7"/>
    <mergeCell ref="C4:E4"/>
    <mergeCell ref="C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207070653</dc:creator>
  <cp:lastModifiedBy>207070653</cp:lastModifiedBy>
  <dcterms:created xsi:type="dcterms:W3CDTF">2024-12-03T18:10:03Z</dcterms:created>
  <dcterms:modified xsi:type="dcterms:W3CDTF">2024-12-03T21:07:20Z</dcterms:modified>
</cp:coreProperties>
</file>