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Evaluación de proyectos\Excels\"/>
    </mc:Choice>
  </mc:AlternateContent>
  <xr:revisionPtr revIDLastSave="0" documentId="13_ncr:1_{5D0DDE1B-D783-4FC1-ABCF-2A4EC5A114F5}" xr6:coauthVersionLast="47" xr6:coauthVersionMax="47" xr10:uidLastSave="{00000000-0000-0000-0000-000000000000}"/>
  <bookViews>
    <workbookView xWindow="-120" yWindow="-120" windowWidth="29040" windowHeight="15840" xr2:uid="{BBB691F9-BAFF-4328-B737-ECDE9CF4B958}"/>
  </bookViews>
  <sheets>
    <sheet name="Plantilla" sheetId="4" r:id="rId1"/>
    <sheet name="Ejercicio 1 control 3" sheetId="7" r:id="rId2"/>
    <sheet name="Ejercicio 2 control 3" sheetId="8" r:id="rId3"/>
    <sheet name="Ejercicio Ayudantia 7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7" l="1"/>
  <c r="F29" i="7"/>
  <c r="G28" i="7"/>
  <c r="I30" i="4"/>
  <c r="I29" i="4"/>
  <c r="I28" i="4"/>
  <c r="I27" i="4"/>
  <c r="H30" i="4"/>
  <c r="H28" i="4"/>
  <c r="H27" i="4"/>
  <c r="G30" i="4"/>
  <c r="G29" i="4"/>
  <c r="G28" i="4"/>
  <c r="G27" i="4"/>
  <c r="F4" i="9"/>
  <c r="G28" i="9"/>
  <c r="E28" i="9"/>
  <c r="E27" i="9"/>
  <c r="E26" i="9"/>
  <c r="E25" i="9"/>
  <c r="F27" i="9" l="1"/>
  <c r="F26" i="9"/>
  <c r="D26" i="9"/>
  <c r="B28" i="9"/>
  <c r="E2" i="9"/>
  <c r="E2" i="4"/>
  <c r="C28" i="9"/>
  <c r="C29" i="9" s="1"/>
  <c r="D27" i="9"/>
  <c r="D25" i="9"/>
  <c r="B21" i="9"/>
  <c r="I17" i="9"/>
  <c r="H17" i="9"/>
  <c r="G16" i="9"/>
  <c r="F28" i="9" s="1"/>
  <c r="D16" i="9"/>
  <c r="B16" i="9"/>
  <c r="B4" i="9"/>
  <c r="F3" i="9"/>
  <c r="H3" i="9" s="1"/>
  <c r="F25" i="9" s="1"/>
  <c r="H29" i="4"/>
  <c r="F30" i="4"/>
  <c r="F29" i="4"/>
  <c r="F27" i="4"/>
  <c r="G27" i="8"/>
  <c r="H27" i="8"/>
  <c r="F26" i="8"/>
  <c r="C27" i="8"/>
  <c r="C28" i="8" s="1"/>
  <c r="B27" i="8"/>
  <c r="D26" i="8"/>
  <c r="D25" i="8"/>
  <c r="B21" i="8"/>
  <c r="I17" i="8"/>
  <c r="H17" i="8"/>
  <c r="G16" i="8"/>
  <c r="F27" i="8" s="1"/>
  <c r="D16" i="8"/>
  <c r="B16" i="8"/>
  <c r="F4" i="8"/>
  <c r="B4" i="8"/>
  <c r="F3" i="8"/>
  <c r="C29" i="7"/>
  <c r="C30" i="7" s="1"/>
  <c r="B29" i="7"/>
  <c r="B30" i="7" s="1"/>
  <c r="D28" i="7"/>
  <c r="D27" i="7"/>
  <c r="B23" i="7"/>
  <c r="I19" i="7"/>
  <c r="H19" i="7"/>
  <c r="G18" i="7"/>
  <c r="D18" i="7"/>
  <c r="B18" i="7"/>
  <c r="F4" i="7"/>
  <c r="B4" i="7"/>
  <c r="F3" i="7"/>
  <c r="B4" i="4"/>
  <c r="C29" i="4"/>
  <c r="C30" i="4" s="1"/>
  <c r="B29" i="4"/>
  <c r="B30" i="4" s="1"/>
  <c r="F3" i="4"/>
  <c r="H3" i="4" s="1"/>
  <c r="D28" i="4"/>
  <c r="D27" i="4"/>
  <c r="B23" i="4"/>
  <c r="I19" i="4"/>
  <c r="H19" i="4"/>
  <c r="G18" i="4"/>
  <c r="D18" i="4"/>
  <c r="B18" i="4"/>
  <c r="F4" i="4"/>
  <c r="H3" i="7" l="1"/>
  <c r="F27" i="7" s="1"/>
  <c r="H28" i="9"/>
  <c r="I28" i="9" s="1"/>
  <c r="H27" i="9"/>
  <c r="I27" i="9" s="1"/>
  <c r="H26" i="9"/>
  <c r="I26" i="9" s="1"/>
  <c r="H25" i="9"/>
  <c r="I25" i="9" s="1"/>
  <c r="D28" i="9"/>
  <c r="B29" i="9"/>
  <c r="G25" i="9"/>
  <c r="D27" i="8"/>
  <c r="H26" i="8"/>
  <c r="I26" i="8" s="1"/>
  <c r="H3" i="8"/>
  <c r="G25" i="8" s="1"/>
  <c r="H25" i="8" s="1"/>
  <c r="I25" i="8" s="1"/>
  <c r="B28" i="8"/>
  <c r="D28" i="8" s="1"/>
  <c r="E28" i="8" s="1"/>
  <c r="I27" i="8"/>
  <c r="H29" i="7"/>
  <c r="H28" i="7"/>
  <c r="I28" i="7" s="1"/>
  <c r="D29" i="7"/>
  <c r="D30" i="7"/>
  <c r="E30" i="7" s="1"/>
  <c r="G27" i="7"/>
  <c r="H27" i="7" s="1"/>
  <c r="I27" i="7" s="1"/>
  <c r="D29" i="4"/>
  <c r="E29" i="4" s="1"/>
  <c r="D30" i="4"/>
  <c r="E30" i="4" s="1"/>
  <c r="I29" i="7" l="1"/>
  <c r="D29" i="9"/>
  <c r="E29" i="9" s="1"/>
  <c r="F25" i="8"/>
  <c r="E27" i="8"/>
  <c r="E26" i="8"/>
  <c r="E25" i="8"/>
  <c r="E27" i="7"/>
  <c r="E29" i="7"/>
  <c r="E28" i="7"/>
  <c r="E28" i="4"/>
  <c r="E27" i="4"/>
  <c r="F29" i="9" l="1"/>
  <c r="G29" i="9" s="1"/>
  <c r="H29" i="9" s="1"/>
  <c r="I29" i="9" s="1"/>
  <c r="F28" i="8"/>
  <c r="G28" i="8" s="1"/>
  <c r="H28" i="8" s="1"/>
  <c r="I28" i="8" s="1"/>
  <c r="F30" i="7"/>
  <c r="G30" i="7" s="1"/>
  <c r="H30" i="7" s="1"/>
  <c r="I30" i="7" s="1"/>
</calcChain>
</file>

<file path=xl/sharedStrings.xml><?xml version="1.0" encoding="utf-8"?>
<sst xmlns="http://schemas.openxmlformats.org/spreadsheetml/2006/main" count="234" uniqueCount="58">
  <si>
    <t>Año</t>
  </si>
  <si>
    <t>COPEC</t>
  </si>
  <si>
    <t>MERCADO</t>
  </si>
  <si>
    <t>% VARIAC</t>
  </si>
  <si>
    <t>COVARIANZA</t>
  </si>
  <si>
    <t>VARIANZA</t>
  </si>
  <si>
    <t>Ri</t>
  </si>
  <si>
    <t>Rf</t>
  </si>
  <si>
    <t>Rm</t>
  </si>
  <si>
    <t>BETA LEVERAGE</t>
  </si>
  <si>
    <t>ACTIVO</t>
  </si>
  <si>
    <t>PASIVO</t>
  </si>
  <si>
    <t xml:space="preserve">CAJA </t>
  </si>
  <si>
    <t>BANCOS C.P</t>
  </si>
  <si>
    <t>CTAS POR COBRAR</t>
  </si>
  <si>
    <t>BANCOS L.P</t>
  </si>
  <si>
    <t>ACTIVO FIJO</t>
  </si>
  <si>
    <t>PATRIMONIO</t>
  </si>
  <si>
    <t>TOTAL</t>
  </si>
  <si>
    <t> BETA LEVERAGE</t>
  </si>
  <si>
    <t>DEUDA</t>
  </si>
  <si>
    <t>BETA UNLEVERAGE</t>
  </si>
  <si>
    <t>CELCO</t>
  </si>
  <si>
    <t>EPERVA</t>
  </si>
  <si>
    <t>HOLDING</t>
  </si>
  <si>
    <t>BETA LEVERAGE INDUSTRIA</t>
  </si>
  <si>
    <t>IMPUESTO</t>
  </si>
  <si>
    <t>ESTADO FINANCIERO PESQUERA EPERVA</t>
  </si>
  <si>
    <t>Rm-Rf</t>
  </si>
  <si>
    <t>WACC</t>
  </si>
  <si>
    <t>CAPM</t>
  </si>
  <si>
    <t>PONDERACIÓN</t>
  </si>
  <si>
    <t>EMPRESAS QUE COMPONEN LA INDUSTRIA DE EPERVA</t>
  </si>
  <si>
    <t>TASA DE DEUDA EFECTIVA</t>
  </si>
  <si>
    <t>?</t>
  </si>
  <si>
    <t>ESTADO FINANCIERO ?</t>
  </si>
  <si>
    <t>EMPRESAS QUE COMPONEN LA INDUSTRIA DE ?</t>
  </si>
  <si>
    <t>GENETECH</t>
  </si>
  <si>
    <t>ESTADO FINANCIERO BANK AMERICA</t>
  </si>
  <si>
    <t>FASTOIL</t>
  </si>
  <si>
    <t>BANK AMERICA</t>
  </si>
  <si>
    <t>EMPRESAS QUE COMPONEN LA INDUSTRIA DE BANK AMERICA</t>
  </si>
  <si>
    <t xml:space="preserve"> EMPRESAS</t>
  </si>
  <si>
    <t>LLOYD</t>
  </si>
  <si>
    <t>NY</t>
  </si>
  <si>
    <t>BOSTON</t>
  </si>
  <si>
    <t>ESTADO FINANCIERO BANCO ESTADO</t>
  </si>
  <si>
    <t>EMPRESAS QUE COMPONEN LA INDUSTRIA DE BANCO ESTADO</t>
  </si>
  <si>
    <t>Banco Estado</t>
  </si>
  <si>
    <t>Forestal Arauco</t>
  </si>
  <si>
    <t>IMPUESTO HOLDING</t>
  </si>
  <si>
    <t>PUERTO MONTT</t>
  </si>
  <si>
    <t>NILALHUE</t>
  </si>
  <si>
    <t>ServiCombustibles</t>
  </si>
  <si>
    <t>Inter</t>
  </si>
  <si>
    <t>Europe</t>
  </si>
  <si>
    <t>Global</t>
  </si>
  <si>
    <t>Naviera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</si>
</sst>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0</xdr:row>
      <xdr:rowOff>123825</xdr:rowOff>
    </xdr:from>
    <xdr:to>
      <xdr:col>15</xdr:col>
      <xdr:colOff>159343</xdr:colOff>
      <xdr:row>32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98D9AD-0EF9-4DC9-A567-83293260B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8325" y="123825"/>
          <a:ext cx="4359868" cy="60674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1</xdr:row>
      <xdr:rowOff>57150</xdr:rowOff>
    </xdr:from>
    <xdr:to>
      <xdr:col>20</xdr:col>
      <xdr:colOff>707509</xdr:colOff>
      <xdr:row>9</xdr:row>
      <xdr:rowOff>161926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D0EE96-4102-4F2D-A641-AA85852D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01725" y="247650"/>
          <a:ext cx="4374634" cy="1628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76200</xdr:rowOff>
    </xdr:from>
    <xdr:to>
      <xdr:col>15</xdr:col>
      <xdr:colOff>561975</xdr:colOff>
      <xdr:row>29</xdr:row>
      <xdr:rowOff>179067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8D909F-A032-40E6-A781-C9A647320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975" y="76200"/>
          <a:ext cx="4371975" cy="56273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552450</xdr:colOff>
      <xdr:row>0</xdr:row>
      <xdr:rowOff>47624</xdr:rowOff>
    </xdr:from>
    <xdr:to>
      <xdr:col>15</xdr:col>
      <xdr:colOff>10927</xdr:colOff>
      <xdr:row>26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890972-FAA0-4B86-9F1E-51D829153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47624"/>
          <a:ext cx="4030477" cy="4962525"/>
        </a:xfrm>
        <a:prstGeom prst="rect">
          <a:avLst/>
        </a:prstGeom>
      </xdr:spPr>
    </xdr:pic>
    <xdr:clientData/>
  </xdr:twoCellAnchor>
  <xdr:twoCellAnchor editAs="oneCell">
    <xdr:from>
      <xdr:col>14</xdr:col>
      <xdr:colOff>696589</xdr:colOff>
      <xdr:row>0</xdr:row>
      <xdr:rowOff>28575</xdr:rowOff>
    </xdr:from>
    <xdr:to>
      <xdr:col>20</xdr:col>
      <xdr:colOff>38100</xdr:colOff>
      <xdr:row>9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F36CBE-CC44-4D54-BF11-CCBBA2757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93439" y="28575"/>
          <a:ext cx="3913511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5D60-883A-4DC2-ADA5-385BA8E83256}">
  <dimension ref="A2:I30"/>
  <sheetViews>
    <sheetView tabSelected="1" workbookViewId="0">
      <selection activeCell="E10" sqref="E10"/>
    </sheetView>
  </sheetViews>
  <sheetFormatPr baseColWidth="10" defaultRowHeight="15" x14ac:dyDescent="0.25"/>
  <cols>
    <col min="1" max="1" width="24.5703125" style="4" bestFit="1" customWidth="1"/>
    <col min="2" max="2" width="9.7109375" style="4" bestFit="1" customWidth="1"/>
    <col min="3" max="3" width="12.5703125" style="4" bestFit="1" customWidth="1"/>
    <col min="4" max="4" width="8.42578125" style="4" bestFit="1" customWidth="1"/>
    <col min="5" max="5" width="14.85546875" style="4" bestFit="1" customWidth="1"/>
    <col min="6" max="6" width="25.85546875" style="4" bestFit="1" customWidth="1"/>
    <col min="7" max="7" width="15.7109375" bestFit="1" customWidth="1"/>
    <col min="8" max="8" width="12" bestFit="1" customWidth="1"/>
    <col min="9" max="9" width="12.5703125" bestFit="1" customWidth="1"/>
  </cols>
  <sheetData>
    <row r="2" spans="1:9" x14ac:dyDescent="0.25">
      <c r="A2" s="12" t="s">
        <v>34</v>
      </c>
      <c r="B2" s="2" t="s">
        <v>6</v>
      </c>
      <c r="C2" s="2" t="s">
        <v>8</v>
      </c>
      <c r="E2" s="10" t="str">
        <f>A2</f>
        <v>?</v>
      </c>
      <c r="F2" s="10"/>
      <c r="G2" s="10"/>
      <c r="H2" s="10"/>
    </row>
    <row r="3" spans="1:9" x14ac:dyDescent="0.25">
      <c r="A3" s="12"/>
      <c r="B3" s="2" t="s">
        <v>3</v>
      </c>
      <c r="C3" s="2" t="s">
        <v>3</v>
      </c>
      <c r="E3" s="2" t="s">
        <v>4</v>
      </c>
      <c r="F3" s="1" t="e">
        <f>_xlfn.COVARIANCE.P(B5:B11,C5:C11)</f>
        <v>#DIV/0!</v>
      </c>
      <c r="G3" s="11" t="s">
        <v>9</v>
      </c>
      <c r="H3" s="12" t="e">
        <f>F3/F4</f>
        <v>#DIV/0!</v>
      </c>
    </row>
    <row r="4" spans="1:9" x14ac:dyDescent="0.25">
      <c r="A4" s="2" t="s">
        <v>0</v>
      </c>
      <c r="B4" s="2" t="str">
        <f>A2</f>
        <v>?</v>
      </c>
      <c r="C4" s="2" t="s">
        <v>2</v>
      </c>
      <c r="E4" s="2" t="s">
        <v>5</v>
      </c>
      <c r="F4" s="1" t="e">
        <f>_xlfn.VAR.S(C5:C11)</f>
        <v>#DIV/0!</v>
      </c>
      <c r="G4" s="11"/>
      <c r="H4" s="12"/>
    </row>
    <row r="5" spans="1:9" x14ac:dyDescent="0.25">
      <c r="A5" s="1">
        <v>2013</v>
      </c>
      <c r="B5" s="1" t="s">
        <v>34</v>
      </c>
      <c r="C5" s="1" t="s">
        <v>34</v>
      </c>
    </row>
    <row r="6" spans="1:9" x14ac:dyDescent="0.25">
      <c r="A6" s="1">
        <v>2014</v>
      </c>
      <c r="B6" s="1" t="s">
        <v>34</v>
      </c>
      <c r="C6" s="1" t="s">
        <v>34</v>
      </c>
    </row>
    <row r="7" spans="1:9" x14ac:dyDescent="0.25">
      <c r="A7" s="1">
        <v>2015</v>
      </c>
      <c r="B7" s="1" t="s">
        <v>34</v>
      </c>
      <c r="C7" s="1" t="s">
        <v>34</v>
      </c>
    </row>
    <row r="8" spans="1:9" x14ac:dyDescent="0.25">
      <c r="A8" s="1">
        <v>2016</v>
      </c>
      <c r="B8" s="1" t="s">
        <v>34</v>
      </c>
      <c r="C8" s="1" t="s">
        <v>34</v>
      </c>
    </row>
    <row r="9" spans="1:9" x14ac:dyDescent="0.25">
      <c r="A9" s="1">
        <v>2017</v>
      </c>
      <c r="B9" s="1" t="s">
        <v>34</v>
      </c>
      <c r="C9" s="1" t="s">
        <v>34</v>
      </c>
    </row>
    <row r="10" spans="1:9" x14ac:dyDescent="0.25">
      <c r="A10" s="1">
        <v>2018</v>
      </c>
      <c r="B10" s="1" t="s">
        <v>34</v>
      </c>
      <c r="C10" s="1" t="s">
        <v>34</v>
      </c>
    </row>
    <row r="11" spans="1:9" x14ac:dyDescent="0.25">
      <c r="A11" s="1">
        <v>2019</v>
      </c>
      <c r="B11" s="1" t="s">
        <v>34</v>
      </c>
      <c r="C11" s="1" t="s">
        <v>34</v>
      </c>
    </row>
    <row r="13" spans="1:9" x14ac:dyDescent="0.25">
      <c r="A13" s="10" t="s">
        <v>35</v>
      </c>
      <c r="B13" s="10"/>
      <c r="C13" s="10"/>
      <c r="D13" s="10"/>
      <c r="F13" s="10" t="s">
        <v>36</v>
      </c>
      <c r="G13" s="10"/>
      <c r="H13" s="10"/>
      <c r="I13" s="10"/>
    </row>
    <row r="14" spans="1:9" x14ac:dyDescent="0.25">
      <c r="A14" s="10" t="s">
        <v>10</v>
      </c>
      <c r="B14" s="10"/>
      <c r="C14" s="10" t="s">
        <v>11</v>
      </c>
      <c r="D14" s="10"/>
      <c r="F14" s="2" t="s">
        <v>42</v>
      </c>
      <c r="G14" s="2" t="s">
        <v>19</v>
      </c>
      <c r="H14" s="2" t="s">
        <v>20</v>
      </c>
      <c r="I14" s="2" t="s">
        <v>17</v>
      </c>
    </row>
    <row r="15" spans="1:9" x14ac:dyDescent="0.25">
      <c r="A15" s="2" t="s">
        <v>12</v>
      </c>
      <c r="B15" s="6" t="s">
        <v>34</v>
      </c>
      <c r="C15" s="2" t="s">
        <v>13</v>
      </c>
      <c r="D15" s="6" t="s">
        <v>34</v>
      </c>
      <c r="F15" s="2" t="s">
        <v>34</v>
      </c>
      <c r="G15" s="1" t="s">
        <v>34</v>
      </c>
      <c r="H15" s="6" t="s">
        <v>34</v>
      </c>
      <c r="I15" s="6" t="s">
        <v>34</v>
      </c>
    </row>
    <row r="16" spans="1:9" x14ac:dyDescent="0.25">
      <c r="A16" s="2" t="s">
        <v>14</v>
      </c>
      <c r="B16" s="6" t="s">
        <v>34</v>
      </c>
      <c r="C16" s="2" t="s">
        <v>15</v>
      </c>
      <c r="D16" s="6" t="s">
        <v>34</v>
      </c>
      <c r="F16" s="2" t="s">
        <v>34</v>
      </c>
      <c r="G16" s="1" t="s">
        <v>34</v>
      </c>
      <c r="H16" s="6" t="s">
        <v>34</v>
      </c>
      <c r="I16" s="6" t="s">
        <v>34</v>
      </c>
    </row>
    <row r="17" spans="1:9" x14ac:dyDescent="0.25">
      <c r="A17" s="2" t="s">
        <v>16</v>
      </c>
      <c r="B17" s="6" t="s">
        <v>34</v>
      </c>
      <c r="C17" s="2" t="s">
        <v>17</v>
      </c>
      <c r="D17" s="6" t="s">
        <v>34</v>
      </c>
      <c r="F17" s="2" t="s">
        <v>34</v>
      </c>
      <c r="G17" s="1" t="s">
        <v>34</v>
      </c>
      <c r="H17" s="6" t="s">
        <v>34</v>
      </c>
      <c r="I17" s="6" t="s">
        <v>34</v>
      </c>
    </row>
    <row r="18" spans="1:9" x14ac:dyDescent="0.25">
      <c r="A18" s="2" t="s">
        <v>18</v>
      </c>
      <c r="B18" s="3">
        <f>SUM(B15:B17)</f>
        <v>0</v>
      </c>
      <c r="C18" s="2" t="s">
        <v>18</v>
      </c>
      <c r="D18" s="3">
        <f>SUM(D15:D17)</f>
        <v>0</v>
      </c>
      <c r="F18" s="2" t="s">
        <v>25</v>
      </c>
      <c r="G18" s="1" t="e">
        <f>AVERAGE(G15:G17)</f>
        <v>#DIV/0!</v>
      </c>
      <c r="H18" s="1"/>
      <c r="I18" s="1"/>
    </row>
    <row r="19" spans="1:9" x14ac:dyDescent="0.25">
      <c r="G19" s="2" t="s">
        <v>18</v>
      </c>
      <c r="H19" s="6">
        <f>SUM(H15:H17)</f>
        <v>0</v>
      </c>
      <c r="I19" s="6">
        <f>SUM(I15:I17)</f>
        <v>0</v>
      </c>
    </row>
    <row r="20" spans="1:9" x14ac:dyDescent="0.25">
      <c r="A20" s="2" t="s">
        <v>26</v>
      </c>
      <c r="B20" s="5" t="s">
        <v>34</v>
      </c>
    </row>
    <row r="21" spans="1:9" x14ac:dyDescent="0.25">
      <c r="A21" s="2" t="s">
        <v>7</v>
      </c>
      <c r="B21" s="5" t="s">
        <v>34</v>
      </c>
    </row>
    <row r="22" spans="1:9" x14ac:dyDescent="0.25">
      <c r="A22" s="2" t="s">
        <v>8</v>
      </c>
      <c r="B22" s="5" t="s">
        <v>34</v>
      </c>
    </row>
    <row r="23" spans="1:9" x14ac:dyDescent="0.25">
      <c r="A23" s="2" t="s">
        <v>28</v>
      </c>
      <c r="B23" s="5" t="e">
        <f>B22-B21</f>
        <v>#VALUE!</v>
      </c>
    </row>
    <row r="24" spans="1:9" x14ac:dyDescent="0.25">
      <c r="A24" s="2" t="s">
        <v>33</v>
      </c>
      <c r="B24" s="5" t="s">
        <v>34</v>
      </c>
    </row>
    <row r="26" spans="1:9" x14ac:dyDescent="0.25">
      <c r="A26" s="1"/>
      <c r="B26" s="2" t="s">
        <v>20</v>
      </c>
      <c r="C26" s="2" t="s">
        <v>17</v>
      </c>
      <c r="D26" s="2" t="s">
        <v>18</v>
      </c>
      <c r="E26" s="2" t="s">
        <v>31</v>
      </c>
      <c r="F26" s="2" t="s">
        <v>21</v>
      </c>
      <c r="G26" s="2" t="s">
        <v>9</v>
      </c>
      <c r="H26" s="2" t="s">
        <v>30</v>
      </c>
      <c r="I26" s="2" t="s">
        <v>29</v>
      </c>
    </row>
    <row r="27" spans="1:9" x14ac:dyDescent="0.25">
      <c r="A27" s="2" t="s">
        <v>34</v>
      </c>
      <c r="B27" s="6" t="s">
        <v>34</v>
      </c>
      <c r="C27" s="6" t="s">
        <v>34</v>
      </c>
      <c r="D27" s="6" t="e">
        <f>B27+C27</f>
        <v>#VALUE!</v>
      </c>
      <c r="E27" s="1" t="e">
        <f>D27/D30</f>
        <v>#VALUE!</v>
      </c>
      <c r="F27" s="1" t="e">
        <f>H3/(1+(1-B20)*(B27/C27))</f>
        <v>#DIV/0!</v>
      </c>
      <c r="G27" s="1" t="e">
        <f>H3</f>
        <v>#DIV/0!</v>
      </c>
      <c r="H27" s="1" t="e">
        <f>B21+G27*B23</f>
        <v>#VALUE!</v>
      </c>
      <c r="I27" s="8" t="e">
        <f>(B27/D27)*(1-B20)*B24+(C27/D27)*H27</f>
        <v>#VALUE!</v>
      </c>
    </row>
    <row r="28" spans="1:9" x14ac:dyDescent="0.25">
      <c r="A28" s="2" t="s">
        <v>34</v>
      </c>
      <c r="B28" s="6" t="s">
        <v>34</v>
      </c>
      <c r="C28" s="6" t="s">
        <v>34</v>
      </c>
      <c r="D28" s="6" t="e">
        <f t="shared" ref="D28:D30" si="0">B28+C28</f>
        <v>#VALUE!</v>
      </c>
      <c r="E28" s="1" t="e">
        <f>D28/D30</f>
        <v>#VALUE!</v>
      </c>
      <c r="F28" s="1" t="s">
        <v>34</v>
      </c>
      <c r="G28" s="1" t="e">
        <f>F28*(1+(1-B20)*(B28/C28))</f>
        <v>#VALUE!</v>
      </c>
      <c r="H28" s="1" t="e">
        <f>B21+G28*B23</f>
        <v>#VALUE!</v>
      </c>
      <c r="I28" s="8" t="e">
        <f>(B28/D28)*(1-B20)*B24+(C28/D28)*H28</f>
        <v>#VALUE!</v>
      </c>
    </row>
    <row r="29" spans="1:9" x14ac:dyDescent="0.25">
      <c r="A29" s="2" t="s">
        <v>34</v>
      </c>
      <c r="B29" s="6">
        <f>SUM(D15:D16)</f>
        <v>0</v>
      </c>
      <c r="C29" s="6" t="str">
        <f>D17</f>
        <v>?</v>
      </c>
      <c r="D29" s="6" t="e">
        <f t="shared" si="0"/>
        <v>#VALUE!</v>
      </c>
      <c r="E29" s="1" t="e">
        <f>D29/D30</f>
        <v>#VALUE!</v>
      </c>
      <c r="F29" s="1" t="e">
        <f>G18/(1+(1-B20)*(H19/I19))</f>
        <v>#DIV/0!</v>
      </c>
      <c r="G29" s="1" t="e">
        <f>F29*(1+(1-B20)*(B29/C29))</f>
        <v>#DIV/0!</v>
      </c>
      <c r="H29" s="1" t="e">
        <f>B21+G29*B23</f>
        <v>#VALUE!</v>
      </c>
      <c r="I29" s="8" t="e">
        <f>(B29/D29)*(1-B20)*B24+(C29/D29)*H29</f>
        <v>#VALUE!</v>
      </c>
    </row>
    <row r="30" spans="1:9" x14ac:dyDescent="0.25">
      <c r="A30" s="2" t="s">
        <v>24</v>
      </c>
      <c r="B30" s="6">
        <f>SUM(B27:B29)</f>
        <v>0</v>
      </c>
      <c r="C30" s="6">
        <f>SUM(C27:C29)</f>
        <v>0</v>
      </c>
      <c r="D30" s="6">
        <f t="shared" si="0"/>
        <v>0</v>
      </c>
      <c r="E30" s="1" t="e">
        <f>D30/D30</f>
        <v>#DIV/0!</v>
      </c>
      <c r="F30" s="1" t="e">
        <f>F27*E27+F28*E28+F29*E29</f>
        <v>#DIV/0!</v>
      </c>
      <c r="G30" s="1" t="e">
        <f>F30*(1+(1-B20)*(B30/C30))</f>
        <v>#DIV/0!</v>
      </c>
      <c r="H30" s="1" t="e">
        <f>B21+G30*B23</f>
        <v>#VALUE!</v>
      </c>
      <c r="I30" s="8" t="e">
        <f>(B30/D30)*(1-B20)*B24+(C30/D30)*H30</f>
        <v>#DIV/0!</v>
      </c>
    </row>
  </sheetData>
  <mergeCells count="8">
    <mergeCell ref="A14:B14"/>
    <mergeCell ref="C14:D14"/>
    <mergeCell ref="A2:A3"/>
    <mergeCell ref="E2:H2"/>
    <mergeCell ref="G3:G4"/>
    <mergeCell ref="H3:H4"/>
    <mergeCell ref="A13:D13"/>
    <mergeCell ref="F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FFB4-A6EB-4701-884F-BBB5F80B4077}">
  <dimension ref="A2:I30"/>
  <sheetViews>
    <sheetView workbookViewId="0">
      <selection activeCell="E16" sqref="E16"/>
    </sheetView>
  </sheetViews>
  <sheetFormatPr baseColWidth="10" defaultRowHeight="15" x14ac:dyDescent="0.25"/>
  <cols>
    <col min="1" max="1" width="24.5703125" style="4" bestFit="1" customWidth="1"/>
    <col min="2" max="2" width="9.7109375" style="4" bestFit="1" customWidth="1"/>
    <col min="3" max="3" width="12.5703125" style="4" bestFit="1" customWidth="1"/>
    <col min="4" max="4" width="8.42578125" style="4" bestFit="1" customWidth="1"/>
    <col min="5" max="5" width="14.85546875" style="4" bestFit="1" customWidth="1"/>
    <col min="6" max="6" width="25.85546875" style="4" bestFit="1" customWidth="1"/>
    <col min="7" max="7" width="15.7109375" bestFit="1" customWidth="1"/>
    <col min="8" max="8" width="12" bestFit="1" customWidth="1"/>
    <col min="9" max="9" width="12.5703125" bestFit="1" customWidth="1"/>
  </cols>
  <sheetData>
    <row r="2" spans="1:9" x14ac:dyDescent="0.25">
      <c r="A2" s="12" t="s">
        <v>1</v>
      </c>
      <c r="B2" s="2" t="s">
        <v>6</v>
      </c>
      <c r="C2" s="2" t="s">
        <v>8</v>
      </c>
      <c r="E2" s="10" t="s">
        <v>34</v>
      </c>
      <c r="F2" s="10"/>
      <c r="G2" s="10"/>
      <c r="H2" s="10"/>
    </row>
    <row r="3" spans="1:9" x14ac:dyDescent="0.25">
      <c r="A3" s="12"/>
      <c r="B3" s="2" t="s">
        <v>3</v>
      </c>
      <c r="C3" s="2" t="s">
        <v>3</v>
      </c>
      <c r="E3" s="2" t="s">
        <v>4</v>
      </c>
      <c r="F3" s="1">
        <f>_xlfn.COVARIANCE.P(B5:B11,C5:C11)</f>
        <v>3.3673469387755089E-4</v>
      </c>
      <c r="G3" s="11" t="s">
        <v>9</v>
      </c>
      <c r="H3" s="12">
        <f>F3/F4</f>
        <v>0.29963680387409108</v>
      </c>
    </row>
    <row r="4" spans="1:9" x14ac:dyDescent="0.25">
      <c r="A4" s="2" t="s">
        <v>0</v>
      </c>
      <c r="B4" s="2" t="str">
        <f>A2</f>
        <v>COPEC</v>
      </c>
      <c r="C4" s="2" t="s">
        <v>2</v>
      </c>
      <c r="E4" s="2" t="s">
        <v>5</v>
      </c>
      <c r="F4" s="1">
        <f>_xlfn.VAR.S(C5:C11)</f>
        <v>1.1238095238095269E-3</v>
      </c>
      <c r="G4" s="11"/>
      <c r="H4" s="12"/>
    </row>
    <row r="5" spans="1:9" x14ac:dyDescent="0.25">
      <c r="A5" s="1">
        <v>2013</v>
      </c>
      <c r="B5" s="1">
        <v>0.02</v>
      </c>
      <c r="C5" s="1">
        <v>0.09</v>
      </c>
    </row>
    <row r="6" spans="1:9" x14ac:dyDescent="0.25">
      <c r="A6" s="1">
        <v>2014</v>
      </c>
      <c r="B6" s="1">
        <v>0.06</v>
      </c>
      <c r="C6" s="1">
        <v>0.08</v>
      </c>
    </row>
    <row r="7" spans="1:9" x14ac:dyDescent="0.25">
      <c r="A7" s="1">
        <v>2015</v>
      </c>
      <c r="B7" s="1">
        <v>7.0000000000000007E-2</v>
      </c>
      <c r="C7" s="1">
        <v>0.12</v>
      </c>
    </row>
    <row r="8" spans="1:9" x14ac:dyDescent="0.25">
      <c r="A8" s="1">
        <v>2016</v>
      </c>
      <c r="B8" s="1">
        <v>0.04</v>
      </c>
      <c r="C8" s="1">
        <v>0.13</v>
      </c>
    </row>
    <row r="9" spans="1:9" x14ac:dyDescent="0.25">
      <c r="A9" s="1">
        <v>2017</v>
      </c>
      <c r="B9" s="1">
        <v>0.12</v>
      </c>
      <c r="C9" s="1">
        <v>0.15</v>
      </c>
    </row>
    <row r="10" spans="1:9" x14ac:dyDescent="0.25">
      <c r="A10" s="1">
        <v>2018</v>
      </c>
      <c r="B10" s="1">
        <v>0.09</v>
      </c>
      <c r="C10" s="1">
        <v>0.1</v>
      </c>
    </row>
    <row r="11" spans="1:9" x14ac:dyDescent="0.25">
      <c r="A11" s="1">
        <v>2019</v>
      </c>
      <c r="B11" s="1">
        <v>7.0000000000000007E-2</v>
      </c>
      <c r="C11" s="1">
        <v>0.05</v>
      </c>
    </row>
    <row r="13" spans="1:9" x14ac:dyDescent="0.25">
      <c r="A13" s="10" t="s">
        <v>27</v>
      </c>
      <c r="B13" s="10"/>
      <c r="C13" s="10"/>
      <c r="D13" s="10"/>
      <c r="F13" s="10" t="s">
        <v>32</v>
      </c>
      <c r="G13" s="10"/>
      <c r="H13" s="10"/>
      <c r="I13" s="10"/>
    </row>
    <row r="14" spans="1:9" x14ac:dyDescent="0.25">
      <c r="A14" s="10" t="s">
        <v>10</v>
      </c>
      <c r="B14" s="10"/>
      <c r="C14" s="10" t="s">
        <v>11</v>
      </c>
      <c r="D14" s="10"/>
      <c r="F14" s="2" t="s">
        <v>42</v>
      </c>
      <c r="G14" s="2" t="s">
        <v>19</v>
      </c>
      <c r="H14" s="2" t="s">
        <v>20</v>
      </c>
      <c r="I14" s="2" t="s">
        <v>17</v>
      </c>
    </row>
    <row r="15" spans="1:9" x14ac:dyDescent="0.25">
      <c r="A15" s="2" t="s">
        <v>12</v>
      </c>
      <c r="B15" s="6">
        <v>16500</v>
      </c>
      <c r="C15" s="2" t="s">
        <v>13</v>
      </c>
      <c r="D15" s="6">
        <v>3800</v>
      </c>
      <c r="F15" s="2" t="s">
        <v>43</v>
      </c>
      <c r="G15" s="1">
        <v>1.2</v>
      </c>
      <c r="H15" s="6">
        <v>5300</v>
      </c>
      <c r="I15" s="6">
        <v>4000</v>
      </c>
    </row>
    <row r="16" spans="1:9" x14ac:dyDescent="0.25">
      <c r="A16" s="2" t="s">
        <v>14</v>
      </c>
      <c r="B16" s="6">
        <v>300</v>
      </c>
      <c r="C16" s="2" t="s">
        <v>15</v>
      </c>
      <c r="D16" s="6">
        <v>3900</v>
      </c>
      <c r="F16" s="2" t="s">
        <v>51</v>
      </c>
      <c r="G16" s="1">
        <v>1.9</v>
      </c>
      <c r="H16" s="6">
        <v>7000</v>
      </c>
      <c r="I16" s="6">
        <v>3500</v>
      </c>
    </row>
    <row r="17" spans="1:9" x14ac:dyDescent="0.25">
      <c r="A17" s="2" t="s">
        <v>16</v>
      </c>
      <c r="B17" s="6">
        <v>3200</v>
      </c>
      <c r="C17" s="2" t="s">
        <v>17</v>
      </c>
      <c r="D17" s="6">
        <v>12300</v>
      </c>
      <c r="F17" s="2" t="s">
        <v>52</v>
      </c>
      <c r="G17" s="1">
        <v>1.7</v>
      </c>
      <c r="H17" s="6">
        <v>6000</v>
      </c>
      <c r="I17" s="6">
        <v>4000</v>
      </c>
    </row>
    <row r="18" spans="1:9" x14ac:dyDescent="0.25">
      <c r="A18" s="2" t="s">
        <v>18</v>
      </c>
      <c r="B18" s="3">
        <f>SUM(B15:B17)</f>
        <v>20000</v>
      </c>
      <c r="C18" s="2" t="s">
        <v>18</v>
      </c>
      <c r="D18" s="3">
        <f>SUM(D15:D17)</f>
        <v>20000</v>
      </c>
      <c r="F18" s="2" t="s">
        <v>25</v>
      </c>
      <c r="G18" s="1">
        <f>AVERAGE(G15:G17)</f>
        <v>1.5999999999999999</v>
      </c>
      <c r="H18" s="1"/>
      <c r="I18" s="1"/>
    </row>
    <row r="19" spans="1:9" x14ac:dyDescent="0.25">
      <c r="G19" s="2" t="s">
        <v>18</v>
      </c>
      <c r="H19" s="6">
        <f>SUM(H15:H17)</f>
        <v>18300</v>
      </c>
      <c r="I19" s="6">
        <f>SUM(I15:I17)</f>
        <v>11500</v>
      </c>
    </row>
    <row r="20" spans="1:9" x14ac:dyDescent="0.25">
      <c r="A20" s="2" t="s">
        <v>26</v>
      </c>
      <c r="B20" s="5">
        <v>0.25</v>
      </c>
    </row>
    <row r="21" spans="1:9" x14ac:dyDescent="0.25">
      <c r="A21" s="2" t="s">
        <v>7</v>
      </c>
      <c r="B21" s="5">
        <v>0.02</v>
      </c>
    </row>
    <row r="22" spans="1:9" x14ac:dyDescent="0.25">
      <c r="A22" s="2" t="s">
        <v>8</v>
      </c>
      <c r="B22" s="5">
        <v>0.13</v>
      </c>
      <c r="G22" s="13"/>
    </row>
    <row r="23" spans="1:9" x14ac:dyDescent="0.25">
      <c r="A23" s="2" t="s">
        <v>28</v>
      </c>
      <c r="B23" s="5">
        <f>B22-B21</f>
        <v>0.11</v>
      </c>
    </row>
    <row r="24" spans="1:9" x14ac:dyDescent="0.25">
      <c r="A24" s="2" t="s">
        <v>33</v>
      </c>
      <c r="B24" s="5">
        <v>7.8E-2</v>
      </c>
    </row>
    <row r="26" spans="1:9" x14ac:dyDescent="0.25">
      <c r="A26" s="1"/>
      <c r="B26" s="2" t="s">
        <v>20</v>
      </c>
      <c r="C26" s="2" t="s">
        <v>17</v>
      </c>
      <c r="D26" s="2" t="s">
        <v>18</v>
      </c>
      <c r="E26" s="2" t="s">
        <v>31</v>
      </c>
      <c r="F26" s="2" t="s">
        <v>21</v>
      </c>
      <c r="G26" s="2" t="s">
        <v>9</v>
      </c>
      <c r="H26" s="2" t="s">
        <v>30</v>
      </c>
      <c r="I26" s="2" t="s">
        <v>29</v>
      </c>
    </row>
    <row r="27" spans="1:9" x14ac:dyDescent="0.25">
      <c r="A27" s="2" t="s">
        <v>1</v>
      </c>
      <c r="B27" s="6">
        <v>3845</v>
      </c>
      <c r="C27" s="6">
        <v>17980</v>
      </c>
      <c r="D27" s="6">
        <f>B27+C27</f>
        <v>21825</v>
      </c>
      <c r="E27" s="1">
        <f>D27/D30</f>
        <v>0.26785714285714285</v>
      </c>
      <c r="F27" s="1">
        <f>H3/(1+(1-B20)*(B27/C27))</f>
        <v>0.25822154376160361</v>
      </c>
      <c r="G27" s="1">
        <f>H3</f>
        <v>0.29963680387409108</v>
      </c>
      <c r="H27" s="8">
        <f>B21+G27*B23</f>
        <v>5.2960048426150014E-2</v>
      </c>
      <c r="I27" s="8">
        <f>(B27/D27)*(1-B20)*B24+(C27/D27)*H27</f>
        <v>5.3936044476617512E-2</v>
      </c>
    </row>
    <row r="28" spans="1:9" x14ac:dyDescent="0.25">
      <c r="A28" s="2" t="s">
        <v>22</v>
      </c>
      <c r="B28" s="6">
        <v>3975</v>
      </c>
      <c r="C28" s="6">
        <v>35680</v>
      </c>
      <c r="D28" s="6">
        <f t="shared" ref="D28:D30" si="0">B28+C28</f>
        <v>39655</v>
      </c>
      <c r="E28" s="1">
        <f>D28/D30</f>
        <v>0.48668384879725085</v>
      </c>
      <c r="F28" s="1">
        <v>1.51</v>
      </c>
      <c r="G28" s="1">
        <f>F28*(1+(1-B20)*(B28/C28))</f>
        <v>1.6361683716367714</v>
      </c>
      <c r="H28" s="8">
        <f>B21+G28*B23</f>
        <v>0.19997852088004484</v>
      </c>
      <c r="I28" s="8">
        <f>(B28/D28)*(1-B20)*B24+(C28/D28)*H28</f>
        <v>0.18579677531206656</v>
      </c>
    </row>
    <row r="29" spans="1:9" x14ac:dyDescent="0.25">
      <c r="A29" s="2" t="s">
        <v>23</v>
      </c>
      <c r="B29" s="6">
        <f>SUM(D15:D16)</f>
        <v>7700</v>
      </c>
      <c r="C29" s="6">
        <f>D17</f>
        <v>12300</v>
      </c>
      <c r="D29" s="6">
        <f t="shared" si="0"/>
        <v>20000</v>
      </c>
      <c r="E29" s="1">
        <f>D29/D30</f>
        <v>0.24545900834560627</v>
      </c>
      <c r="F29" s="1">
        <f>G18/(1+(1-B20)*(H19/I19))</f>
        <v>0.72943508424182368</v>
      </c>
      <c r="G29" s="1">
        <f>F29*(1+(1-B20)*(B29/C29))</f>
        <v>1.0719137518431676</v>
      </c>
      <c r="H29" s="8">
        <f>B21+G29*B23</f>
        <v>0.13791051270274843</v>
      </c>
      <c r="I29" s="8">
        <f>(B29/D29)*(1-B20)*B24+(C29/D29)*H29</f>
        <v>0.10733746531219028</v>
      </c>
    </row>
    <row r="30" spans="1:9" x14ac:dyDescent="0.25">
      <c r="A30" s="2" t="s">
        <v>24</v>
      </c>
      <c r="B30" s="6">
        <f>SUM(B27:B29)</f>
        <v>15520</v>
      </c>
      <c r="C30" s="6">
        <f>SUM(C27:C29)</f>
        <v>65960</v>
      </c>
      <c r="D30" s="6">
        <f t="shared" si="0"/>
        <v>81480</v>
      </c>
      <c r="E30" s="1">
        <f>D30/D30</f>
        <v>1</v>
      </c>
      <c r="F30" s="1">
        <f>F27*E27+F28*E28+F29*E29</f>
        <v>0.98310550905048444</v>
      </c>
      <c r="G30" s="1">
        <f>F30*(1+(1-B20)*(B30/C30))</f>
        <v>1.1565947165299817</v>
      </c>
      <c r="H30" s="8">
        <f>B21+G30*B23</f>
        <v>0.14722541881829798</v>
      </c>
      <c r="I30" s="8">
        <f>(B30/D30)*(1-B20)*B24+(C30/D30)*H30</f>
        <v>0.13032533904338409</v>
      </c>
    </row>
  </sheetData>
  <mergeCells count="8">
    <mergeCell ref="A14:B14"/>
    <mergeCell ref="C14:D14"/>
    <mergeCell ref="A2:A3"/>
    <mergeCell ref="E2:H2"/>
    <mergeCell ref="G3:G4"/>
    <mergeCell ref="H3:H4"/>
    <mergeCell ref="A13:D13"/>
    <mergeCell ref="F13:I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E5F7-BED0-4306-A8C2-FA5E3A389127}">
  <dimension ref="A1:I28"/>
  <sheetViews>
    <sheetView workbookViewId="0">
      <selection activeCell="D36" sqref="D36"/>
    </sheetView>
  </sheetViews>
  <sheetFormatPr baseColWidth="10" defaultRowHeight="15" x14ac:dyDescent="0.25"/>
  <cols>
    <col min="1" max="1" width="24.5703125" bestFit="1" customWidth="1"/>
    <col min="2" max="2" width="11.140625" bestFit="1" customWidth="1"/>
    <col min="3" max="3" width="12.5703125" bestFit="1" customWidth="1"/>
    <col min="4" max="4" width="8.42578125" bestFit="1" customWidth="1"/>
    <col min="5" max="5" width="14.85546875" bestFit="1" customWidth="1"/>
    <col min="6" max="6" width="25.85546875" bestFit="1" customWidth="1"/>
    <col min="7" max="7" width="15.7109375" bestFit="1" customWidth="1"/>
    <col min="8" max="8" width="8.42578125" bestFit="1" customWidth="1"/>
    <col min="9" max="9" width="12.5703125" bestFit="1" customWidth="1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A2" s="12" t="s">
        <v>37</v>
      </c>
      <c r="B2" s="2" t="s">
        <v>6</v>
      </c>
      <c r="C2" s="2" t="s">
        <v>8</v>
      </c>
      <c r="D2" s="4"/>
      <c r="E2" s="10" t="s">
        <v>34</v>
      </c>
      <c r="F2" s="10"/>
      <c r="G2" s="10"/>
      <c r="H2" s="10"/>
    </row>
    <row r="3" spans="1:9" x14ac:dyDescent="0.25">
      <c r="A3" s="12"/>
      <c r="B3" s="2" t="s">
        <v>3</v>
      </c>
      <c r="C3" s="2" t="s">
        <v>3</v>
      </c>
      <c r="D3" s="4"/>
      <c r="E3" s="2" t="s">
        <v>4</v>
      </c>
      <c r="F3" s="1">
        <f>_xlfn.COVARIANCE.P(B5:B9,C5:C9)</f>
        <v>1.1399999999999997E-3</v>
      </c>
      <c r="G3" s="11" t="s">
        <v>9</v>
      </c>
      <c r="H3" s="12">
        <f>F3/F4</f>
        <v>0.5700000000000004</v>
      </c>
    </row>
    <row r="4" spans="1:9" x14ac:dyDescent="0.25">
      <c r="A4" s="2" t="s">
        <v>0</v>
      </c>
      <c r="B4" s="2" t="str">
        <f>A2</f>
        <v>GENETECH</v>
      </c>
      <c r="C4" s="2" t="s">
        <v>2</v>
      </c>
      <c r="D4" s="4"/>
      <c r="E4" s="2" t="s">
        <v>5</v>
      </c>
      <c r="F4" s="1">
        <f>_xlfn.VAR.S(C5:C9)</f>
        <v>1.9999999999999983E-3</v>
      </c>
      <c r="G4" s="11"/>
      <c r="H4" s="12"/>
    </row>
    <row r="5" spans="1:9" x14ac:dyDescent="0.25">
      <c r="A5" s="1">
        <v>2013</v>
      </c>
      <c r="B5" s="1">
        <v>0.02</v>
      </c>
      <c r="C5" s="1">
        <v>0.09</v>
      </c>
      <c r="D5" s="4"/>
      <c r="E5" s="4"/>
      <c r="F5" s="4"/>
    </row>
    <row r="6" spans="1:9" x14ac:dyDescent="0.25">
      <c r="A6" s="1">
        <v>2014</v>
      </c>
      <c r="B6" s="1">
        <v>0.04</v>
      </c>
      <c r="C6" s="1">
        <v>7.0000000000000007E-2</v>
      </c>
      <c r="D6" s="4"/>
      <c r="E6" s="4"/>
      <c r="F6" s="4"/>
    </row>
    <row r="7" spans="1:9" x14ac:dyDescent="0.25">
      <c r="A7" s="1">
        <v>2015</v>
      </c>
      <c r="B7" s="1">
        <v>7.0000000000000007E-2</v>
      </c>
      <c r="C7" s="1">
        <v>0.11</v>
      </c>
      <c r="D7" s="4"/>
      <c r="E7" s="4"/>
      <c r="F7" s="4"/>
    </row>
    <row r="8" spans="1:9" x14ac:dyDescent="0.25">
      <c r="A8" s="1">
        <v>2016</v>
      </c>
      <c r="B8" s="1">
        <v>0.09</v>
      </c>
      <c r="C8" s="1">
        <v>0.18</v>
      </c>
      <c r="D8" s="4"/>
      <c r="E8" s="4"/>
      <c r="F8" s="4"/>
    </row>
    <row r="9" spans="1:9" x14ac:dyDescent="0.25">
      <c r="A9" s="1">
        <v>2017</v>
      </c>
      <c r="B9" s="1">
        <v>0.12</v>
      </c>
      <c r="C9" s="1">
        <v>0.15</v>
      </c>
      <c r="D9" s="4"/>
      <c r="E9" s="4"/>
      <c r="F9" s="4"/>
    </row>
    <row r="10" spans="1:9" x14ac:dyDescent="0.25">
      <c r="A10" s="4"/>
      <c r="B10" s="4"/>
      <c r="C10" s="4"/>
      <c r="D10" s="4"/>
      <c r="E10" s="4"/>
      <c r="F10" s="4"/>
    </row>
    <row r="11" spans="1:9" x14ac:dyDescent="0.25">
      <c r="A11" s="10" t="s">
        <v>38</v>
      </c>
      <c r="B11" s="10"/>
      <c r="C11" s="10"/>
      <c r="D11" s="10"/>
      <c r="E11" s="4"/>
      <c r="F11" s="10" t="s">
        <v>41</v>
      </c>
      <c r="G11" s="10"/>
      <c r="H11" s="10"/>
      <c r="I11" s="10"/>
    </row>
    <row r="12" spans="1:9" x14ac:dyDescent="0.25">
      <c r="A12" s="10" t="s">
        <v>10</v>
      </c>
      <c r="B12" s="10"/>
      <c r="C12" s="10" t="s">
        <v>11</v>
      </c>
      <c r="D12" s="10"/>
      <c r="E12" s="4"/>
      <c r="F12" s="2" t="s">
        <v>42</v>
      </c>
      <c r="G12" s="2" t="s">
        <v>19</v>
      </c>
      <c r="H12" s="2" t="s">
        <v>20</v>
      </c>
      <c r="I12" s="2" t="s">
        <v>17</v>
      </c>
    </row>
    <row r="13" spans="1:9" x14ac:dyDescent="0.25">
      <c r="A13" s="2" t="s">
        <v>12</v>
      </c>
      <c r="B13" s="6">
        <v>14500</v>
      </c>
      <c r="C13" s="2" t="s">
        <v>13</v>
      </c>
      <c r="D13" s="6">
        <v>3500</v>
      </c>
      <c r="E13" s="4"/>
      <c r="F13" s="2" t="s">
        <v>43</v>
      </c>
      <c r="G13" s="1">
        <v>1.3</v>
      </c>
      <c r="H13" s="6">
        <v>5300</v>
      </c>
      <c r="I13" s="6">
        <v>4000</v>
      </c>
    </row>
    <row r="14" spans="1:9" x14ac:dyDescent="0.25">
      <c r="A14" s="2" t="s">
        <v>14</v>
      </c>
      <c r="B14" s="6">
        <v>300</v>
      </c>
      <c r="C14" s="2" t="s">
        <v>15</v>
      </c>
      <c r="D14" s="6">
        <v>1500</v>
      </c>
      <c r="E14" s="4"/>
      <c r="F14" s="2" t="s">
        <v>44</v>
      </c>
      <c r="G14" s="1">
        <v>1.8</v>
      </c>
      <c r="H14" s="6">
        <v>7000</v>
      </c>
      <c r="I14" s="6">
        <v>3500</v>
      </c>
    </row>
    <row r="15" spans="1:9" x14ac:dyDescent="0.25">
      <c r="A15" s="2" t="s">
        <v>16</v>
      </c>
      <c r="B15" s="6">
        <v>2200</v>
      </c>
      <c r="C15" s="2" t="s">
        <v>17</v>
      </c>
      <c r="D15" s="6">
        <v>12000</v>
      </c>
      <c r="E15" s="4"/>
      <c r="F15" s="2" t="s">
        <v>45</v>
      </c>
      <c r="G15" s="1">
        <v>1.7</v>
      </c>
      <c r="H15" s="6">
        <v>6000</v>
      </c>
      <c r="I15" s="6">
        <v>4000</v>
      </c>
    </row>
    <row r="16" spans="1:9" x14ac:dyDescent="0.25">
      <c r="A16" s="2" t="s">
        <v>18</v>
      </c>
      <c r="B16" s="3">
        <f>SUM(B13:B15)</f>
        <v>17000</v>
      </c>
      <c r="C16" s="2" t="s">
        <v>18</v>
      </c>
      <c r="D16" s="3">
        <f>SUM(D13:D15)</f>
        <v>17000</v>
      </c>
      <c r="E16" s="4"/>
      <c r="F16" s="2" t="s">
        <v>25</v>
      </c>
      <c r="G16" s="1">
        <f>AVERAGE(G13:G15)</f>
        <v>1.5999999999999999</v>
      </c>
      <c r="H16" s="1"/>
      <c r="I16" s="1"/>
    </row>
    <row r="17" spans="1:9" x14ac:dyDescent="0.25">
      <c r="A17" s="4"/>
      <c r="B17" s="4"/>
      <c r="C17" s="4"/>
      <c r="D17" s="4"/>
      <c r="E17" s="4"/>
      <c r="F17" s="4"/>
      <c r="G17" s="2" t="s">
        <v>18</v>
      </c>
      <c r="H17" s="6">
        <f>SUM(H13:H15)</f>
        <v>18300</v>
      </c>
      <c r="I17" s="6">
        <f>SUM(I13:I15)</f>
        <v>11500</v>
      </c>
    </row>
    <row r="18" spans="1:9" x14ac:dyDescent="0.25">
      <c r="A18" s="2" t="s">
        <v>26</v>
      </c>
      <c r="B18" s="5">
        <v>0.27</v>
      </c>
      <c r="C18" s="4"/>
      <c r="D18" s="4"/>
      <c r="E18" s="4"/>
      <c r="F18" s="4"/>
    </row>
    <row r="19" spans="1:9" x14ac:dyDescent="0.25">
      <c r="A19" s="2" t="s">
        <v>7</v>
      </c>
      <c r="B19" s="5">
        <v>0.08</v>
      </c>
      <c r="C19" s="4"/>
      <c r="D19" s="4"/>
      <c r="E19" s="4"/>
      <c r="F19" s="4"/>
    </row>
    <row r="20" spans="1:9" x14ac:dyDescent="0.25">
      <c r="A20" s="2" t="s">
        <v>8</v>
      </c>
      <c r="B20" s="5">
        <v>0.16</v>
      </c>
      <c r="C20" s="4"/>
      <c r="D20" s="4"/>
      <c r="E20" s="4"/>
      <c r="F20" s="4"/>
    </row>
    <row r="21" spans="1:9" x14ac:dyDescent="0.25">
      <c r="A21" s="2" t="s">
        <v>28</v>
      </c>
      <c r="B21" s="5">
        <f>B20-B19</f>
        <v>0.08</v>
      </c>
      <c r="C21" s="4"/>
      <c r="D21" s="4"/>
      <c r="E21" s="4"/>
      <c r="F21" s="4"/>
    </row>
    <row r="22" spans="1:9" x14ac:dyDescent="0.25">
      <c r="A22" s="2" t="s">
        <v>33</v>
      </c>
      <c r="B22" s="5">
        <v>0.08</v>
      </c>
      <c r="C22" s="4"/>
      <c r="D22" s="4"/>
      <c r="E22" s="4"/>
      <c r="F22" s="4"/>
    </row>
    <row r="23" spans="1:9" x14ac:dyDescent="0.25">
      <c r="A23" s="4"/>
      <c r="B23" s="4"/>
      <c r="C23" s="4"/>
      <c r="D23" s="4"/>
      <c r="E23" s="4"/>
      <c r="F23" s="4"/>
    </row>
    <row r="24" spans="1:9" x14ac:dyDescent="0.25">
      <c r="A24" s="1"/>
      <c r="B24" s="2" t="s">
        <v>20</v>
      </c>
      <c r="C24" s="2" t="s">
        <v>17</v>
      </c>
      <c r="D24" s="2" t="s">
        <v>18</v>
      </c>
      <c r="E24" s="2" t="s">
        <v>31</v>
      </c>
      <c r="F24" s="2" t="s">
        <v>21</v>
      </c>
      <c r="G24" s="2" t="s">
        <v>9</v>
      </c>
      <c r="H24" s="2" t="s">
        <v>30</v>
      </c>
      <c r="I24" s="2" t="s">
        <v>29</v>
      </c>
    </row>
    <row r="25" spans="1:9" x14ac:dyDescent="0.25">
      <c r="A25" s="2" t="s">
        <v>37</v>
      </c>
      <c r="B25" s="6">
        <v>3890</v>
      </c>
      <c r="C25" s="6">
        <v>32589</v>
      </c>
      <c r="D25" s="6">
        <f>B25+C25</f>
        <v>36479</v>
      </c>
      <c r="E25" s="1">
        <f>D25/D28</f>
        <v>0.50873009232142363</v>
      </c>
      <c r="F25" s="1">
        <f>H3/(1+(1-B18)*(B25/C25))</f>
        <v>0.52431305692842278</v>
      </c>
      <c r="G25" s="1">
        <f>H3</f>
        <v>0.5700000000000004</v>
      </c>
      <c r="H25" s="7">
        <f>B19+G25*B21</f>
        <v>0.12560000000000004</v>
      </c>
      <c r="I25" s="8">
        <f>(B25/D25)*(1-B18)*B22+(C25/D25)*H25</f>
        <v>0.11843401409029858</v>
      </c>
    </row>
    <row r="26" spans="1:9" x14ac:dyDescent="0.25">
      <c r="A26" s="2" t="s">
        <v>39</v>
      </c>
      <c r="B26" s="6">
        <v>2350</v>
      </c>
      <c r="C26" s="6">
        <v>15877</v>
      </c>
      <c r="D26" s="6">
        <f t="shared" ref="D26:D28" si="0">B26+C26</f>
        <v>18227</v>
      </c>
      <c r="E26" s="1">
        <f>D26/D28</f>
        <v>0.25419072323097092</v>
      </c>
      <c r="F26" s="1">
        <f>G26/(1+(1-B18)*(B26/C26))</f>
        <v>0.88443711809009518</v>
      </c>
      <c r="G26" s="1">
        <v>0.98</v>
      </c>
      <c r="H26" s="7">
        <f>B19+G26*B21</f>
        <v>0.15839999999999999</v>
      </c>
      <c r="I26" s="8">
        <f>(B26/D26)*(1-B18)*B22+(C26/D26)*H26</f>
        <v>0.14550703900806494</v>
      </c>
    </row>
    <row r="27" spans="1:9" x14ac:dyDescent="0.25">
      <c r="A27" s="2" t="s">
        <v>40</v>
      </c>
      <c r="B27" s="6">
        <f>SUM(D13:D14)</f>
        <v>5000</v>
      </c>
      <c r="C27" s="6">
        <f>D15</f>
        <v>12000</v>
      </c>
      <c r="D27" s="6">
        <f t="shared" si="0"/>
        <v>17000</v>
      </c>
      <c r="E27" s="1">
        <f>D27/D28</f>
        <v>0.23707918444760551</v>
      </c>
      <c r="F27" s="1">
        <f>G16/(1+(1-B18)*(H17/I17))</f>
        <v>0.7401745846574681</v>
      </c>
      <c r="G27" s="1">
        <f>F27*(1+(1-B18)*(B27/C27))</f>
        <v>0.96531102082411469</v>
      </c>
      <c r="H27" s="7">
        <f>B19+G27*B21</f>
        <v>0.15722488166592918</v>
      </c>
      <c r="I27" s="8">
        <f>(B27/D27)*(1-B18)*B22+(C27/D27)*H27</f>
        <v>0.12815873999947944</v>
      </c>
    </row>
    <row r="28" spans="1:9" x14ac:dyDescent="0.25">
      <c r="A28" s="2" t="s">
        <v>24</v>
      </c>
      <c r="B28" s="6">
        <f>SUM(B25:B27)</f>
        <v>11240</v>
      </c>
      <c r="C28" s="6">
        <f>SUM(C25:C27)</f>
        <v>60466</v>
      </c>
      <c r="D28" s="6">
        <f t="shared" si="0"/>
        <v>71706</v>
      </c>
      <c r="E28" s="1">
        <f>D28/D28</f>
        <v>1</v>
      </c>
      <c r="F28" s="1">
        <f>F25*E25+F26*E26+F27*E27</f>
        <v>0.66702952743559896</v>
      </c>
      <c r="G28" s="1">
        <f>F28*(1+(1-B18)*(B28/C28))</f>
        <v>0.75754503496899916</v>
      </c>
      <c r="H28" s="7">
        <f>B19+G28*B21</f>
        <v>0.14060360279751993</v>
      </c>
      <c r="I28" s="8">
        <f>(B28/D28)*(1-B18)*B22+(C28/D28)*H28</f>
        <v>0.12771809118839206</v>
      </c>
    </row>
  </sheetData>
  <mergeCells count="8">
    <mergeCell ref="A12:B12"/>
    <mergeCell ref="C12:D12"/>
    <mergeCell ref="A2:A3"/>
    <mergeCell ref="E2:H2"/>
    <mergeCell ref="G3:G4"/>
    <mergeCell ref="H3:H4"/>
    <mergeCell ref="A11:D11"/>
    <mergeCell ref="F11:I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5D25-B662-4A55-9EA2-582511DAA01D}">
  <dimension ref="A2:I29"/>
  <sheetViews>
    <sheetView workbookViewId="0">
      <selection activeCell="F15" sqref="F15"/>
    </sheetView>
  </sheetViews>
  <sheetFormatPr baseColWidth="10" defaultRowHeight="15" x14ac:dyDescent="0.25"/>
  <cols>
    <col min="1" max="1" width="24.5703125" style="4" bestFit="1" customWidth="1"/>
    <col min="2" max="2" width="18.42578125" style="4" bestFit="1" customWidth="1"/>
    <col min="3" max="3" width="19.5703125" style="4" bestFit="1" customWidth="1"/>
    <col min="4" max="4" width="9.140625" style="4" bestFit="1" customWidth="1"/>
    <col min="5" max="5" width="14.85546875" style="4" bestFit="1" customWidth="1"/>
    <col min="6" max="6" width="25.85546875" style="4" bestFit="1" customWidth="1"/>
    <col min="7" max="7" width="15.7109375" bestFit="1" customWidth="1"/>
    <col min="8" max="8" width="12" bestFit="1" customWidth="1"/>
    <col min="9" max="9" width="12.5703125" bestFit="1" customWidth="1"/>
  </cols>
  <sheetData>
    <row r="2" spans="1:9" x14ac:dyDescent="0.25">
      <c r="A2" s="12" t="s">
        <v>53</v>
      </c>
      <c r="B2" s="2" t="s">
        <v>6</v>
      </c>
      <c r="C2" s="2" t="s">
        <v>8</v>
      </c>
      <c r="E2" s="10" t="str">
        <f>A2</f>
        <v>ServiCombustibles</v>
      </c>
      <c r="F2" s="10"/>
      <c r="G2" s="10"/>
      <c r="H2" s="10"/>
    </row>
    <row r="3" spans="1:9" x14ac:dyDescent="0.25">
      <c r="A3" s="12"/>
      <c r="B3" s="2" t="s">
        <v>3</v>
      </c>
      <c r="C3" s="2" t="s">
        <v>3</v>
      </c>
      <c r="E3" s="2" t="s">
        <v>4</v>
      </c>
      <c r="F3" s="1">
        <f>_xlfn.COVARIANCE.P(B5:B9,C5:C9)</f>
        <v>1.0800000000000002E-3</v>
      </c>
      <c r="G3" s="11" t="s">
        <v>9</v>
      </c>
      <c r="H3" s="12">
        <f>F3/F4</f>
        <v>0.84375000000000022</v>
      </c>
    </row>
    <row r="4" spans="1:9" x14ac:dyDescent="0.25">
      <c r="A4" s="2" t="s">
        <v>0</v>
      </c>
      <c r="B4" s="2" t="str">
        <f>A2</f>
        <v>ServiCombustibles</v>
      </c>
      <c r="C4" s="2" t="s">
        <v>2</v>
      </c>
      <c r="E4" s="2" t="s">
        <v>5</v>
      </c>
      <c r="F4" s="1">
        <f>_xlfn.VAR.S(C5:C9)</f>
        <v>1.2799999999999999E-3</v>
      </c>
      <c r="G4" s="11"/>
      <c r="H4" s="12"/>
    </row>
    <row r="5" spans="1:9" x14ac:dyDescent="0.25">
      <c r="A5" s="1">
        <v>2018</v>
      </c>
      <c r="B5" s="1">
        <v>0.03</v>
      </c>
      <c r="C5" s="1">
        <v>0.08</v>
      </c>
    </row>
    <row r="6" spans="1:9" x14ac:dyDescent="0.25">
      <c r="A6" s="1">
        <v>2019</v>
      </c>
      <c r="B6" s="1">
        <v>0.05</v>
      </c>
      <c r="C6" s="1">
        <v>0.12</v>
      </c>
    </row>
    <row r="7" spans="1:9" x14ac:dyDescent="0.25">
      <c r="A7" s="1">
        <v>2020</v>
      </c>
      <c r="B7" s="1">
        <v>0.08</v>
      </c>
      <c r="C7" s="1">
        <v>0.14000000000000001</v>
      </c>
    </row>
    <row r="8" spans="1:9" x14ac:dyDescent="0.25">
      <c r="A8" s="1">
        <v>2021</v>
      </c>
      <c r="B8" s="1">
        <v>0.1</v>
      </c>
      <c r="C8" s="1">
        <v>0.17</v>
      </c>
    </row>
    <row r="9" spans="1:9" x14ac:dyDescent="0.25">
      <c r="A9" s="1">
        <v>2022</v>
      </c>
      <c r="B9" s="1">
        <v>0.14000000000000001</v>
      </c>
      <c r="C9" s="1">
        <v>0.16</v>
      </c>
    </row>
    <row r="11" spans="1:9" x14ac:dyDescent="0.25">
      <c r="A11" s="10" t="s">
        <v>46</v>
      </c>
      <c r="B11" s="10"/>
      <c r="C11" s="10"/>
      <c r="D11" s="10"/>
      <c r="F11" s="10" t="s">
        <v>47</v>
      </c>
      <c r="G11" s="10"/>
      <c r="H11" s="10"/>
      <c r="I11" s="10"/>
    </row>
    <row r="12" spans="1:9" x14ac:dyDescent="0.25">
      <c r="A12" s="10" t="s">
        <v>10</v>
      </c>
      <c r="B12" s="10"/>
      <c r="C12" s="10" t="s">
        <v>11</v>
      </c>
      <c r="D12" s="10"/>
      <c r="F12" s="2" t="s">
        <v>42</v>
      </c>
      <c r="G12" s="2" t="s">
        <v>19</v>
      </c>
      <c r="H12" s="2" t="s">
        <v>20</v>
      </c>
      <c r="I12" s="2" t="s">
        <v>17</v>
      </c>
    </row>
    <row r="13" spans="1:9" x14ac:dyDescent="0.25">
      <c r="A13" s="2" t="s">
        <v>12</v>
      </c>
      <c r="B13" s="6">
        <v>30500</v>
      </c>
      <c r="C13" s="2" t="s">
        <v>13</v>
      </c>
      <c r="D13" s="6">
        <v>16700</v>
      </c>
      <c r="F13" s="2" t="s">
        <v>54</v>
      </c>
      <c r="G13" s="1">
        <v>1.6</v>
      </c>
      <c r="H13" s="6">
        <v>6800</v>
      </c>
      <c r="I13" s="6">
        <v>4700</v>
      </c>
    </row>
    <row r="14" spans="1:9" x14ac:dyDescent="0.25">
      <c r="A14" s="2" t="s">
        <v>14</v>
      </c>
      <c r="B14" s="6">
        <v>400</v>
      </c>
      <c r="C14" s="2" t="s">
        <v>15</v>
      </c>
      <c r="D14" s="6">
        <v>1900</v>
      </c>
      <c r="F14" s="2" t="s">
        <v>55</v>
      </c>
      <c r="G14" s="1">
        <v>1.8</v>
      </c>
      <c r="H14" s="6">
        <v>7300</v>
      </c>
      <c r="I14" s="6">
        <v>4100</v>
      </c>
    </row>
    <row r="15" spans="1:9" x14ac:dyDescent="0.25">
      <c r="A15" s="2" t="s">
        <v>16</v>
      </c>
      <c r="B15" s="6">
        <v>2600</v>
      </c>
      <c r="C15" s="2" t="s">
        <v>17</v>
      </c>
      <c r="D15" s="6">
        <v>14900</v>
      </c>
      <c r="F15" s="2" t="s">
        <v>56</v>
      </c>
      <c r="G15" s="1">
        <v>1.5</v>
      </c>
      <c r="H15" s="6">
        <v>6500</v>
      </c>
      <c r="I15" s="6">
        <v>4600</v>
      </c>
    </row>
    <row r="16" spans="1:9" x14ac:dyDescent="0.25">
      <c r="A16" s="2" t="s">
        <v>18</v>
      </c>
      <c r="B16" s="3">
        <f>SUM(B13:B15)</f>
        <v>33500</v>
      </c>
      <c r="C16" s="2" t="s">
        <v>18</v>
      </c>
      <c r="D16" s="3">
        <f>SUM(D13:D15)</f>
        <v>33500</v>
      </c>
      <c r="F16" s="2" t="s">
        <v>25</v>
      </c>
      <c r="G16" s="1">
        <f>AVERAGE(G13:G15)</f>
        <v>1.6333333333333335</v>
      </c>
      <c r="H16" s="1"/>
      <c r="I16" s="1"/>
    </row>
    <row r="17" spans="1:9" x14ac:dyDescent="0.25">
      <c r="G17" s="2" t="s">
        <v>18</v>
      </c>
      <c r="H17" s="6">
        <f>SUM(H13:H15)</f>
        <v>20600</v>
      </c>
      <c r="I17" s="6">
        <f>SUM(I13:I15)</f>
        <v>13400</v>
      </c>
    </row>
    <row r="18" spans="1:9" x14ac:dyDescent="0.25">
      <c r="A18" s="2" t="s">
        <v>26</v>
      </c>
      <c r="B18" s="5">
        <v>0.24</v>
      </c>
      <c r="C18" s="2" t="s">
        <v>50</v>
      </c>
      <c r="D18" s="5">
        <v>0.28000000000000003</v>
      </c>
    </row>
    <row r="19" spans="1:9" x14ac:dyDescent="0.25">
      <c r="A19" s="2" t="s">
        <v>7</v>
      </c>
      <c r="B19" s="5">
        <v>0.04</v>
      </c>
    </row>
    <row r="20" spans="1:9" x14ac:dyDescent="0.25">
      <c r="A20" s="2" t="s">
        <v>8</v>
      </c>
      <c r="B20" s="5">
        <v>0.13</v>
      </c>
    </row>
    <row r="21" spans="1:9" x14ac:dyDescent="0.25">
      <c r="A21" s="2" t="s">
        <v>28</v>
      </c>
      <c r="B21" s="5">
        <f>B20-B19</f>
        <v>0.09</v>
      </c>
    </row>
    <row r="22" spans="1:9" x14ac:dyDescent="0.25">
      <c r="A22" s="2" t="s">
        <v>33</v>
      </c>
      <c r="B22" s="5">
        <v>0.06</v>
      </c>
    </row>
    <row r="24" spans="1:9" x14ac:dyDescent="0.25">
      <c r="A24" s="1"/>
      <c r="B24" s="2" t="s">
        <v>20</v>
      </c>
      <c r="C24" s="2" t="s">
        <v>17</v>
      </c>
      <c r="D24" s="2" t="s">
        <v>18</v>
      </c>
      <c r="E24" s="2" t="s">
        <v>31</v>
      </c>
      <c r="F24" s="2" t="s">
        <v>21</v>
      </c>
      <c r="G24" s="2" t="s">
        <v>9</v>
      </c>
      <c r="H24" s="2" t="s">
        <v>30</v>
      </c>
      <c r="I24" s="2" t="s">
        <v>29</v>
      </c>
    </row>
    <row r="25" spans="1:9" x14ac:dyDescent="0.25">
      <c r="A25" s="2" t="s">
        <v>53</v>
      </c>
      <c r="B25" s="6">
        <v>3900</v>
      </c>
      <c r="C25" s="6">
        <v>6100</v>
      </c>
      <c r="D25" s="6">
        <f>B25+C25</f>
        <v>10000</v>
      </c>
      <c r="E25" s="1">
        <f>D25/D29</f>
        <v>0.16806722689075632</v>
      </c>
      <c r="F25" s="1">
        <f>H3/(1+(1-B18)*(B25/C25))</f>
        <v>0.5678370476610769</v>
      </c>
      <c r="G25" s="1">
        <f>H3</f>
        <v>0.84375000000000022</v>
      </c>
      <c r="H25" s="5">
        <f>B19+G25*B21</f>
        <v>0.11593750000000003</v>
      </c>
      <c r="I25" s="9">
        <f>(B25/D25)*(1-B18)*B22+(C25/D25)*H25</f>
        <v>8.8505875000000012E-2</v>
      </c>
    </row>
    <row r="26" spans="1:9" x14ac:dyDescent="0.25">
      <c r="A26" s="2" t="s">
        <v>49</v>
      </c>
      <c r="B26" s="6">
        <v>4200</v>
      </c>
      <c r="C26" s="6">
        <v>5800</v>
      </c>
      <c r="D26" s="6">
        <f>B26+C26</f>
        <v>10000</v>
      </c>
      <c r="E26" s="1">
        <f>D26/D29</f>
        <v>0.16806722689075632</v>
      </c>
      <c r="F26" s="1">
        <f>G26/(1+(1-B18)*(B26/C26))</f>
        <v>0.54826512455516008</v>
      </c>
      <c r="G26" s="1">
        <v>0.85</v>
      </c>
      <c r="H26" s="5">
        <f>B19+G26*B21</f>
        <v>0.11649999999999999</v>
      </c>
      <c r="I26" s="9">
        <f>(B26/D26)*(1-B18)*B22+(C26/D26)*H26</f>
        <v>8.6721999999999994E-2</v>
      </c>
    </row>
    <row r="27" spans="1:9" x14ac:dyDescent="0.25">
      <c r="A27" s="2" t="s">
        <v>57</v>
      </c>
      <c r="B27" s="6">
        <v>2500</v>
      </c>
      <c r="C27" s="6">
        <v>3500</v>
      </c>
      <c r="D27" s="6">
        <f t="shared" ref="D27:D29" si="0">B27+C27</f>
        <v>6000</v>
      </c>
      <c r="E27" s="1">
        <f>D27/D29</f>
        <v>0.10084033613445378</v>
      </c>
      <c r="F27" s="1">
        <f>G27/(1+(1-B18)*(B27/C27))</f>
        <v>0.52500000000000002</v>
      </c>
      <c r="G27" s="1">
        <v>0.81</v>
      </c>
      <c r="H27" s="5">
        <f>B19+G27*B21</f>
        <v>0.1129</v>
      </c>
      <c r="I27" s="9">
        <f>(B27/D27)*(1-B18)*B22+(C27/D27)*H27</f>
        <v>8.4858333333333341E-2</v>
      </c>
    </row>
    <row r="28" spans="1:9" x14ac:dyDescent="0.25">
      <c r="A28" s="2" t="s">
        <v>48</v>
      </c>
      <c r="B28" s="6">
        <f>SUM(D13:D14)</f>
        <v>18600</v>
      </c>
      <c r="C28" s="6">
        <f>D15</f>
        <v>14900</v>
      </c>
      <c r="D28" s="6">
        <f t="shared" si="0"/>
        <v>33500</v>
      </c>
      <c r="E28" s="1">
        <f>D28/D29</f>
        <v>0.56302521008403361</v>
      </c>
      <c r="F28" s="1">
        <f>G16/(1+(1-B18)*(H17/I17))</f>
        <v>0.75325807635829678</v>
      </c>
      <c r="G28" s="1">
        <f>F28*(1+(1-B18)*(B28/C28))</f>
        <v>1.4678927184657384</v>
      </c>
      <c r="H28" s="5">
        <f>B19+G28*B21</f>
        <v>0.17211034466191646</v>
      </c>
      <c r="I28" s="9">
        <f>(B28/D28)*(1-B18)*B22+(C28/D28)*H28</f>
        <v>0.10186878016306135</v>
      </c>
    </row>
    <row r="29" spans="1:9" x14ac:dyDescent="0.25">
      <c r="A29" s="2" t="s">
        <v>24</v>
      </c>
      <c r="B29" s="6">
        <f>SUM(B25:B28)</f>
        <v>29200</v>
      </c>
      <c r="C29" s="6">
        <f>SUM(C25:C28)</f>
        <v>30300</v>
      </c>
      <c r="D29" s="6">
        <f t="shared" si="0"/>
        <v>59500</v>
      </c>
      <c r="E29" s="1">
        <f>D29/D29</f>
        <v>1</v>
      </c>
      <c r="F29" s="1">
        <f>F25*E25+F27*E27+F28*E28</f>
        <v>0.57247926108594471</v>
      </c>
      <c r="G29" s="1">
        <f>F29*(1+(1-D18)*(B29/C29))</f>
        <v>0.96970051471864771</v>
      </c>
      <c r="H29" s="5">
        <f>B19+G29*B21</f>
        <v>0.12727304632467829</v>
      </c>
      <c r="I29" s="9">
        <f>(B29/D29)*(1-D18)*B22+(C29/D29)*H29</f>
        <v>8.6013668968701718E-2</v>
      </c>
    </row>
  </sheetData>
  <mergeCells count="8">
    <mergeCell ref="A12:B12"/>
    <mergeCell ref="C12:D12"/>
    <mergeCell ref="A2:A3"/>
    <mergeCell ref="E2:H2"/>
    <mergeCell ref="G3:G4"/>
    <mergeCell ref="H3:H4"/>
    <mergeCell ref="A11:D11"/>
    <mergeCell ref="F1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Ejercicio 1 control 3</vt:lpstr>
      <vt:lpstr>Ejercicio 2 control 3</vt:lpstr>
      <vt:lpstr>Ejercicio Ayudantia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2024-10-27T15:13:33Z</dcterms:created>
  <dcterms:modified xsi:type="dcterms:W3CDTF">2024-10-28T04:04:08Z</dcterms:modified>
</cp:coreProperties>
</file>