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FB929801-E18A-4197-9349-6237087D9F5F}" xr6:coauthVersionLast="47" xr6:coauthVersionMax="47" xr10:uidLastSave="{00000000-0000-0000-0000-000000000000}"/>
  <bookViews>
    <workbookView xWindow="-108" yWindow="-108" windowWidth="23256" windowHeight="12456" activeTab="2" xr2:uid="{C81B0A03-BDB8-4836-9CA0-B318B652DAA5}"/>
  </bookViews>
  <sheets>
    <sheet name="Ej Aprovación de credito" sheetId="1" r:id="rId1"/>
    <sheet name="Tabla dinámica" sheetId="2" r:id="rId2"/>
    <sheet name="Flujo de caja" sheetId="3" r:id="rId3"/>
    <sheet name="FORMULARIO" sheetId="4" r:id="rId4"/>
  </sheets>
  <definedNames>
    <definedName name="_xlnm._FilterDatabase" localSheetId="1" hidden="1">'Tabla dinámica'!$B$3:$E$24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20" i="3"/>
  <c r="I37" i="1" l="1"/>
  <c r="I38" i="1"/>
  <c r="I39" i="1"/>
  <c r="I40" i="1"/>
  <c r="I41" i="1"/>
  <c r="I42" i="1"/>
  <c r="I36" i="1"/>
  <c r="L31" i="3" l="1"/>
  <c r="L30" i="3"/>
  <c r="L29" i="3"/>
  <c r="N20" i="3"/>
  <c r="O20" i="3"/>
  <c r="P20" i="3"/>
  <c r="Q20" i="3"/>
  <c r="Q28" i="3"/>
  <c r="N28" i="3"/>
  <c r="O28" i="3"/>
  <c r="P28" i="3"/>
  <c r="M28" i="3"/>
  <c r="L28" i="3"/>
  <c r="Q24" i="3"/>
  <c r="Q25" i="3"/>
  <c r="Q23" i="3"/>
  <c r="Q27" i="3"/>
  <c r="N16" i="3"/>
  <c r="O16" i="3"/>
  <c r="P16" i="3"/>
  <c r="Q16" i="3"/>
  <c r="M16" i="3"/>
  <c r="M14" i="3"/>
  <c r="J12" i="3"/>
  <c r="N14" i="3"/>
  <c r="O14" i="3" s="1"/>
  <c r="P14" i="3" s="1"/>
  <c r="Q14" i="3" s="1"/>
  <c r="M11" i="3"/>
  <c r="L27" i="3" s="1"/>
  <c r="N36" i="3"/>
  <c r="K37" i="3" s="1"/>
  <c r="L34" i="3"/>
  <c r="L41" i="3" s="1"/>
  <c r="C9" i="4"/>
  <c r="G9" i="4" s="1"/>
  <c r="C10" i="4"/>
  <c r="A17" i="4"/>
  <c r="C18" i="4"/>
  <c r="A18" i="4" s="1"/>
  <c r="B40" i="4"/>
  <c r="B41" i="4"/>
  <c r="B45" i="4"/>
  <c r="B46" i="4"/>
  <c r="C51" i="4"/>
  <c r="C53" i="4"/>
  <c r="C54" i="4"/>
  <c r="L39" i="3" l="1"/>
  <c r="L38" i="3"/>
  <c r="L40" i="3"/>
  <c r="L37" i="3"/>
  <c r="M37" i="3" s="1"/>
  <c r="N37" i="3" s="1"/>
  <c r="C11" i="4"/>
  <c r="C12" i="4"/>
  <c r="C19" i="4"/>
  <c r="K38" i="3" l="1"/>
  <c r="M38" i="3" s="1"/>
  <c r="N38" i="3" s="1"/>
  <c r="C20" i="4"/>
  <c r="A19" i="4"/>
  <c r="K39" i="3" l="1"/>
  <c r="M39" i="3" s="1"/>
  <c r="N39" i="3" s="1"/>
  <c r="K40" i="3" s="1"/>
  <c r="M40" i="3" s="1"/>
  <c r="N40" i="3" s="1"/>
  <c r="K41" i="3" s="1"/>
  <c r="M41" i="3" s="1"/>
  <c r="N41" i="3" s="1"/>
  <c r="C21" i="4"/>
  <c r="A21" i="4" s="1"/>
  <c r="A20" i="4"/>
  <c r="C22" i="4" l="1"/>
  <c r="A22" i="4" l="1"/>
  <c r="C23" i="4"/>
  <c r="A23" i="4" l="1"/>
  <c r="C24" i="4"/>
  <c r="A24" i="4" l="1"/>
  <c r="C25" i="4"/>
  <c r="A25" i="4" s="1"/>
  <c r="C26" i="4" l="1"/>
  <c r="C27" i="4" l="1"/>
  <c r="A26" i="4"/>
  <c r="A27" i="4" l="1"/>
  <c r="C28" i="4"/>
  <c r="A28" i="4" l="1"/>
  <c r="C29" i="4"/>
  <c r="C30" i="4" l="1"/>
  <c r="A29" i="4"/>
  <c r="A30" i="4" l="1"/>
  <c r="C31" i="4"/>
  <c r="C32" i="4" l="1"/>
  <c r="A32" i="4" s="1"/>
  <c r="A31" i="4"/>
  <c r="L33" i="3" l="1"/>
  <c r="N12" i="3"/>
  <c r="O12" i="3"/>
  <c r="P12" i="3"/>
  <c r="Q12" i="3"/>
  <c r="N11" i="3"/>
  <c r="O11" i="3"/>
  <c r="P11" i="3"/>
  <c r="Q11" i="3"/>
  <c r="N10" i="3"/>
  <c r="M7" i="3"/>
  <c r="N5" i="3"/>
  <c r="O5" i="3" s="1"/>
  <c r="P5" i="3" s="1"/>
  <c r="Q5" i="3" s="1"/>
  <c r="N6" i="3"/>
  <c r="N7" i="3" s="1"/>
  <c r="I44" i="1"/>
  <c r="G31" i="1"/>
  <c r="G30" i="1"/>
  <c r="I30" i="1" s="1"/>
  <c r="I29" i="1"/>
  <c r="H30" i="1"/>
  <c r="H31" i="1"/>
  <c r="H29" i="1"/>
  <c r="H26" i="1"/>
  <c r="G29" i="1"/>
  <c r="J28" i="1"/>
  <c r="G23" i="1"/>
  <c r="G20" i="1"/>
  <c r="I20" i="1" s="1"/>
  <c r="K13" i="1"/>
  <c r="J11" i="1"/>
  <c r="G12" i="1" s="1"/>
  <c r="I12" i="1" s="1"/>
  <c r="J12" i="1" s="1"/>
  <c r="I11" i="1"/>
  <c r="J10" i="1"/>
  <c r="G11" i="1" s="1"/>
  <c r="I10" i="1"/>
  <c r="G10" i="1"/>
  <c r="H11" i="1"/>
  <c r="H12" i="1"/>
  <c r="H13" i="1"/>
  <c r="H14" i="1"/>
  <c r="H15" i="1"/>
  <c r="H10" i="1"/>
  <c r="J9" i="1"/>
  <c r="H6" i="1"/>
  <c r="H4" i="1"/>
  <c r="M15" i="3" l="1"/>
  <c r="O10" i="3"/>
  <c r="N15" i="3"/>
  <c r="O6" i="3"/>
  <c r="J29" i="1"/>
  <c r="G13" i="1"/>
  <c r="I13" i="1" s="1"/>
  <c r="J13" i="1" s="1"/>
  <c r="M17" i="3" l="1"/>
  <c r="M19" i="3" s="1"/>
  <c r="N17" i="3"/>
  <c r="N19" i="3" s="1"/>
  <c r="P10" i="3"/>
  <c r="O15" i="3"/>
  <c r="P6" i="3"/>
  <c r="O7" i="3"/>
  <c r="J30" i="1"/>
  <c r="G14" i="1"/>
  <c r="I14" i="1" s="1"/>
  <c r="J14" i="1" s="1"/>
  <c r="O17" i="3" l="1"/>
  <c r="O19" i="3" s="1"/>
  <c r="Q10" i="3"/>
  <c r="Q15" i="3" s="1"/>
  <c r="P15" i="3"/>
  <c r="Q6" i="3"/>
  <c r="Q7" i="3" s="1"/>
  <c r="P7" i="3"/>
  <c r="I31" i="1"/>
  <c r="J31" i="1" s="1"/>
  <c r="J15" i="1"/>
  <c r="G15" i="1"/>
  <c r="I15" i="1" s="1"/>
  <c r="P17" i="3" l="1"/>
  <c r="P19" i="3" s="1"/>
  <c r="Q17" i="3"/>
  <c r="Q19" i="3" s="1"/>
</calcChain>
</file>

<file path=xl/sharedStrings.xml><?xml version="1.0" encoding="utf-8"?>
<sst xmlns="http://schemas.openxmlformats.org/spreadsheetml/2006/main" count="172" uniqueCount="89">
  <si>
    <t>TASA REAL EFECTIVA CREDITO</t>
  </si>
  <si>
    <t>TASA NOMINAL</t>
  </si>
  <si>
    <t>N° PERIODOS</t>
  </si>
  <si>
    <t>CALCULO CUOTA</t>
  </si>
  <si>
    <t>MONTO CREDITO</t>
  </si>
  <si>
    <t>PLAZO</t>
  </si>
  <si>
    <t>INTERES</t>
  </si>
  <si>
    <t>CUOTA</t>
  </si>
  <si>
    <t>AMORTIZACION</t>
  </si>
  <si>
    <t>SALDO</t>
  </si>
  <si>
    <t>banco BCI</t>
  </si>
  <si>
    <t>NUEVO BANCO</t>
  </si>
  <si>
    <t>VALOR DEL DEPOSITO A PLAZO A DIA DE HOY</t>
  </si>
  <si>
    <t>MONTO DEL DEPOSITO A UTILIZAR (50%)</t>
  </si>
  <si>
    <t>POR LO TANTO NUEVO CREDITO ES</t>
  </si>
  <si>
    <t>TASA REAL EFECTIVA NUEVA</t>
  </si>
  <si>
    <t xml:space="preserve">N° PERIODOS </t>
  </si>
  <si>
    <t>banco nuevo</t>
  </si>
  <si>
    <t>CUANTO PAGAMOS EN TOTAL SI INFLACIÓN 3% ANUAL?</t>
  </si>
  <si>
    <t>PERIODO</t>
  </si>
  <si>
    <t>TASA</t>
  </si>
  <si>
    <t>VALOR ACTUAL</t>
  </si>
  <si>
    <t>TOTAL REAL PAGADO A DINERO ACTUAL</t>
  </si>
  <si>
    <t>AÑO</t>
  </si>
  <si>
    <t>PRODUCTO A</t>
  </si>
  <si>
    <t xml:space="preserve">VENTA UNIDS </t>
  </si>
  <si>
    <t>PRODUCTO B</t>
  </si>
  <si>
    <t xml:space="preserve">Suma de VENTA UNIDS </t>
  </si>
  <si>
    <t>Total general</t>
  </si>
  <si>
    <t>INGRESOS</t>
  </si>
  <si>
    <t>CANTIDAD</t>
  </si>
  <si>
    <t>PRECIO</t>
  </si>
  <si>
    <t>COSTOS</t>
  </si>
  <si>
    <t>FIJOS</t>
  </si>
  <si>
    <t>VARIABLE</t>
  </si>
  <si>
    <t>DEPRECIACIÓN</t>
  </si>
  <si>
    <t>INTERESES</t>
  </si>
  <si>
    <t>MANTENCIÓN</t>
  </si>
  <si>
    <t>AMORTIZACIÓN</t>
  </si>
  <si>
    <t>&lt;- COMPUESTO</t>
  </si>
  <si>
    <t>FORMA 2</t>
  </si>
  <si>
    <t>FORMA 1</t>
  </si>
  <si>
    <t>INTERES COMPUESTO</t>
  </si>
  <si>
    <t>&lt;- SIMPLE</t>
  </si>
  <si>
    <t>INTERES SIMPLE</t>
  </si>
  <si>
    <t>NUM MESES</t>
  </si>
  <si>
    <t>TASA INTERES MENSUAL</t>
  </si>
  <si>
    <t>SALDO INSOLUTO</t>
  </si>
  <si>
    <t>DATOS</t>
  </si>
  <si>
    <t>MULTAS</t>
  </si>
  <si>
    <t>TASA INTERES EFECTIVA</t>
  </si>
  <si>
    <t>VALOR PRESENTE DE CUOTAS PAGADAS</t>
  </si>
  <si>
    <t>CREDITO</t>
  </si>
  <si>
    <t>MONTO CUOTA A PAGAR</t>
  </si>
  <si>
    <t>MENSUALES</t>
  </si>
  <si>
    <t>MENSUAL</t>
  </si>
  <si>
    <t>TRIMESTRALES</t>
  </si>
  <si>
    <t>SEMESTRALES</t>
  </si>
  <si>
    <t>ANUALES</t>
  </si>
  <si>
    <t>TRIMESTRAL</t>
  </si>
  <si>
    <t xml:space="preserve"> </t>
  </si>
  <si>
    <t>SEMESTRAL</t>
  </si>
  <si>
    <t>ANUAL</t>
  </si>
  <si>
    <t>CUOTAS</t>
  </si>
  <si>
    <t>COMPOSICION</t>
  </si>
  <si>
    <t>INT. ANUAL NOMINAL</t>
  </si>
  <si>
    <t>CAPITAL INICIAL / VP</t>
  </si>
  <si>
    <t>CAPITAL FINAL / VF</t>
  </si>
  <si>
    <t>VP = CAP.INICIAL</t>
  </si>
  <si>
    <t>CAP. FINAL</t>
  </si>
  <si>
    <t>PERIODOS</t>
  </si>
  <si>
    <t>CAP. INICIAL</t>
  </si>
  <si>
    <t>VF = CAP.FINAL</t>
  </si>
  <si>
    <t>INTERÉS COMPUESTO</t>
  </si>
  <si>
    <t>FORMULARIO</t>
  </si>
  <si>
    <t>MONTO</t>
  </si>
  <si>
    <t>UTILIDAD</t>
  </si>
  <si>
    <t>IMPUESTO</t>
  </si>
  <si>
    <t>UTILIDAD DESPUES IMPUESTO</t>
  </si>
  <si>
    <t>INVERSIONES</t>
  </si>
  <si>
    <t>TERRENO</t>
  </si>
  <si>
    <t>EDIFICACION</t>
  </si>
  <si>
    <t>MAQUINARIA</t>
  </si>
  <si>
    <t>CAPITAL TRABAJO</t>
  </si>
  <si>
    <t>FLUJO</t>
  </si>
  <si>
    <t>VAN</t>
  </si>
  <si>
    <t>CAPM</t>
  </si>
  <si>
    <t>TIR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</si>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</sst>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#,##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42" fontId="0" fillId="0" borderId="0" xfId="1" applyFont="1"/>
    <xf numFmtId="42" fontId="0" fillId="0" borderId="1" xfId="1" applyFont="1" applyBorder="1"/>
    <xf numFmtId="8" fontId="0" fillId="0" borderId="1" xfId="0" applyNumberFormat="1" applyBorder="1"/>
    <xf numFmtId="42" fontId="0" fillId="0" borderId="0" xfId="0" applyNumberFormat="1"/>
    <xf numFmtId="44" fontId="0" fillId="0" borderId="0" xfId="0" applyNumberFormat="1"/>
    <xf numFmtId="42" fontId="0" fillId="0" borderId="1" xfId="0" applyNumberFormat="1" applyBorder="1"/>
    <xf numFmtId="44" fontId="0" fillId="0" borderId="1" xfId="0" applyNumberFormat="1" applyBorder="1"/>
    <xf numFmtId="44" fontId="2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6" fontId="0" fillId="3" borderId="4" xfId="0" applyNumberFormat="1" applyFill="1" applyBorder="1"/>
    <xf numFmtId="0" fontId="0" fillId="3" borderId="5" xfId="0" applyFill="1" applyBorder="1"/>
    <xf numFmtId="6" fontId="0" fillId="3" borderId="7" xfId="0" applyNumberFormat="1" applyFill="1" applyBorder="1"/>
    <xf numFmtId="0" fontId="0" fillId="3" borderId="1" xfId="0" applyFill="1" applyBorder="1"/>
    <xf numFmtId="0" fontId="0" fillId="2" borderId="4" xfId="0" applyFill="1" applyBorder="1"/>
    <xf numFmtId="0" fontId="4" fillId="2" borderId="7" xfId="0" applyFont="1" applyFill="1" applyBorder="1"/>
    <xf numFmtId="0" fontId="0" fillId="3" borderId="6" xfId="0" applyFill="1" applyBorder="1"/>
    <xf numFmtId="0" fontId="0" fillId="2" borderId="5" xfId="0" applyFill="1" applyBorder="1"/>
    <xf numFmtId="6" fontId="0" fillId="2" borderId="11" xfId="0" applyNumberFormat="1" applyFill="1" applyBorder="1"/>
    <xf numFmtId="0" fontId="0" fillId="3" borderId="8" xfId="0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0" fillId="3" borderId="4" xfId="0" applyFill="1" applyBorder="1" applyAlignment="1">
      <alignment horizontal="right"/>
    </xf>
    <xf numFmtId="0" fontId="5" fillId="3" borderId="5" xfId="0" applyFont="1" applyFill="1" applyBorder="1"/>
    <xf numFmtId="0" fontId="0" fillId="3" borderId="7" xfId="0" applyFill="1" applyBorder="1" applyAlignment="1">
      <alignment horizontal="right"/>
    </xf>
    <xf numFmtId="0" fontId="5" fillId="3" borderId="1" xfId="0" applyFont="1" applyFill="1" applyBorder="1"/>
    <xf numFmtId="6" fontId="0" fillId="0" borderId="0" xfId="0" applyNumberFormat="1"/>
    <xf numFmtId="6" fontId="0" fillId="2" borderId="4" xfId="0" applyNumberFormat="1" applyFill="1" applyBorder="1"/>
    <xf numFmtId="9" fontId="0" fillId="2" borderId="5" xfId="0" applyNumberFormat="1" applyFill="1" applyBorder="1"/>
    <xf numFmtId="3" fontId="0" fillId="0" borderId="1" xfId="0" applyNumberFormat="1" applyBorder="1"/>
    <xf numFmtId="164" fontId="0" fillId="0" borderId="1" xfId="0" applyNumberFormat="1" applyBorder="1"/>
    <xf numFmtId="3" fontId="0" fillId="2" borderId="1" xfId="0" applyNumberFormat="1" applyFill="1" applyBorder="1"/>
    <xf numFmtId="9" fontId="0" fillId="0" borderId="0" xfId="2" applyFont="1"/>
    <xf numFmtId="9" fontId="0" fillId="2" borderId="1" xfId="2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3" borderId="8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0" fillId="3" borderId="13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6" fontId="0" fillId="3" borderId="12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[Ejercicios_sol_1.xlsx]Tabla dinámica!TablaDinámica1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dinámica'!$H$3:$H$4</c:f>
              <c:strCache>
                <c:ptCount val="1"/>
                <c:pt idx="0">
                  <c:v>PRODUCTO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dinámica'!$G$5:$G$15</c:f>
              <c:strCach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strCache>
            </c:strRef>
          </c:cat>
          <c:val>
            <c:numRef>
              <c:f>'Tabla dinámica'!$H$5:$H$15</c:f>
              <c:numCache>
                <c:formatCode>General</c:formatCode>
                <c:ptCount val="10"/>
                <c:pt idx="0">
                  <c:v>100</c:v>
                </c:pt>
                <c:pt idx="1">
                  <c:v>117</c:v>
                </c:pt>
                <c:pt idx="2">
                  <c:v>120</c:v>
                </c:pt>
                <c:pt idx="3">
                  <c:v>139</c:v>
                </c:pt>
                <c:pt idx="4">
                  <c:v>158</c:v>
                </c:pt>
                <c:pt idx="5">
                  <c:v>165</c:v>
                </c:pt>
                <c:pt idx="6">
                  <c:v>171</c:v>
                </c:pt>
                <c:pt idx="7">
                  <c:v>175</c:v>
                </c:pt>
                <c:pt idx="8">
                  <c:v>180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2-406C-83A4-36C388B3D68D}"/>
            </c:ext>
          </c:extLst>
        </c:ser>
        <c:ser>
          <c:idx val="1"/>
          <c:order val="1"/>
          <c:tx>
            <c:strRef>
              <c:f>'Tabla dinámica'!$I$3:$I$4</c:f>
              <c:strCache>
                <c:ptCount val="1"/>
                <c:pt idx="0">
                  <c:v>PRODUCTO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dinámica'!$G$5:$G$15</c:f>
              <c:strCach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strCache>
            </c:strRef>
          </c:cat>
          <c:val>
            <c:numRef>
              <c:f>'Tabla dinámica'!$I$5:$I$15</c:f>
              <c:numCache>
                <c:formatCode>General</c:formatCode>
                <c:ptCount val="10"/>
                <c:pt idx="0">
                  <c:v>95</c:v>
                </c:pt>
                <c:pt idx="1">
                  <c:v>152</c:v>
                </c:pt>
                <c:pt idx="2">
                  <c:v>220</c:v>
                </c:pt>
                <c:pt idx="3">
                  <c:v>350</c:v>
                </c:pt>
                <c:pt idx="4">
                  <c:v>570</c:v>
                </c:pt>
                <c:pt idx="5">
                  <c:v>800</c:v>
                </c:pt>
                <c:pt idx="6">
                  <c:v>1300</c:v>
                </c:pt>
                <c:pt idx="7">
                  <c:v>1900</c:v>
                </c:pt>
                <c:pt idx="8">
                  <c:v>3000</c:v>
                </c:pt>
                <c:pt idx="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2-406C-83A4-36C388B3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835407"/>
        <c:axId val="1539845967"/>
      </c:lineChart>
      <c:catAx>
        <c:axId val="15398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9845967"/>
        <c:crosses val="autoZero"/>
        <c:auto val="1"/>
        <c:lblAlgn val="ctr"/>
        <c:lblOffset val="100"/>
        <c:noMultiLvlLbl val="0"/>
      </c:catAx>
      <c:valAx>
        <c:axId val="15398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98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266700</xdr:colOff>
      <xdr:row>20</xdr:row>
      <xdr:rowOff>122505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8C00B-3B2E-CC90-AEE4-EF2CFC9D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191000" cy="38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15</xdr:row>
      <xdr:rowOff>179070</xdr:rowOff>
    </xdr:from>
    <xdr:to>
      <xdr:col>9</xdr:col>
      <xdr:colOff>655320</xdr:colOff>
      <xdr:row>30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DD9AD7-26E3-5D6D-91AB-D75A78DD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448587</xdr:colOff>
      <xdr:row>48</xdr:row>
      <xdr:rowOff>48908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E5186-3952-F092-3737-FFA48A54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6535062" cy="9192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161925</xdr:rowOff>
    </xdr:from>
    <xdr:to>
      <xdr:col>8</xdr:col>
      <xdr:colOff>534325</xdr:colOff>
      <xdr:row>63</xdr:row>
      <xdr:rowOff>19455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6E0325-34B4-65C9-887B-2B3B7EAD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15425"/>
          <a:ext cx="6630325" cy="2905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</xdr:colOff>
      <xdr:row>9</xdr:row>
      <xdr:rowOff>26670</xdr:rowOff>
    </xdr:from>
    <xdr:ext cx="1224915" cy="775159"/>
    <xdr:pic>
      <xdr:nvPicPr>
        <xdr:cNvPr id="2" name="Imagen 1">
          <a:extLst>
            <a:ext uri="{FF2B5EF4-FFF2-40B4-BE49-F238E27FC236}">
              <a16:creationId xmlns:a16="http://schemas.microsoft.com/office/drawing/2014/main" id="{4AA294AE-93AB-4B62-91E2-252777C8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8110" y="1741170"/>
          <a:ext cx="1224915" cy="775159"/>
        </a:xfrm>
        <a:prstGeom prst="rect">
          <a:avLst/>
        </a:prstGeom>
      </xdr:spPr>
    </xdr:pic>
    <xdr:clientData/>
  </xdr:oneCellAnchor>
  <xdr:oneCellAnchor>
    <xdr:from>
      <xdr:col>3</xdr:col>
      <xdr:colOff>36195</xdr:colOff>
      <xdr:row>9</xdr:row>
      <xdr:rowOff>59055</xdr:rowOff>
    </xdr:from>
    <xdr:ext cx="1552797" cy="453451"/>
    <xdr:pic>
      <xdr:nvPicPr>
        <xdr:cNvPr id="3" name="Imagen 2">
          <a:extLst>
            <a:ext uri="{FF2B5EF4-FFF2-40B4-BE49-F238E27FC236}">
              <a16:creationId xmlns:a16="http://schemas.microsoft.com/office/drawing/2014/main" id="{9BEE2A19-FFD4-4112-A435-9C762C59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195" y="1773555"/>
          <a:ext cx="1552797" cy="4534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9525</xdr:rowOff>
    </xdr:from>
    <xdr:ext cx="4677428" cy="600159"/>
    <xdr:pic>
      <xdr:nvPicPr>
        <xdr:cNvPr id="4" name="Imagen 3">
          <a:extLst>
            <a:ext uri="{FF2B5EF4-FFF2-40B4-BE49-F238E27FC236}">
              <a16:creationId xmlns:a16="http://schemas.microsoft.com/office/drawing/2014/main" id="{AFEFD351-D836-459A-BAB9-42F1ADFC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05525"/>
          <a:ext cx="4677428" cy="600159"/>
        </a:xfrm>
        <a:prstGeom prst="rect">
          <a:avLst/>
        </a:prstGeom>
      </xdr:spPr>
    </xdr:pic>
    <xdr:clientData/>
  </xdr:oneCellAnchor>
  <xdr:oneCellAnchor>
    <xdr:from>
      <xdr:col>7</xdr:col>
      <xdr:colOff>28575</xdr:colOff>
      <xdr:row>37</xdr:row>
      <xdr:rowOff>104775</xdr:rowOff>
    </xdr:from>
    <xdr:ext cx="1571844" cy="590632"/>
    <xdr:pic>
      <xdr:nvPicPr>
        <xdr:cNvPr id="5" name="Imagen 4">
          <a:extLst>
            <a:ext uri="{FF2B5EF4-FFF2-40B4-BE49-F238E27FC236}">
              <a16:creationId xmlns:a16="http://schemas.microsoft.com/office/drawing/2014/main" id="{FB884412-0BE0-4D0A-A66A-AB00A406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2575" y="7153275"/>
          <a:ext cx="1571844" cy="590632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41</xdr:row>
      <xdr:rowOff>188595</xdr:rowOff>
    </xdr:from>
    <xdr:ext cx="1448002" cy="628738"/>
    <xdr:pic>
      <xdr:nvPicPr>
        <xdr:cNvPr id="6" name="Imagen 5">
          <a:extLst>
            <a:ext uri="{FF2B5EF4-FFF2-40B4-BE49-F238E27FC236}">
              <a16:creationId xmlns:a16="http://schemas.microsoft.com/office/drawing/2014/main" id="{3B2FE3FC-9021-4748-B7E2-D5093E706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0680" y="7999095"/>
          <a:ext cx="1448002" cy="628738"/>
        </a:xfrm>
        <a:prstGeom prst="rect">
          <a:avLst/>
        </a:prstGeom>
      </xdr:spPr>
    </xdr:pic>
    <xdr:clientData/>
  </xdr:oneCellAnchor>
  <xdr:oneCellAnchor>
    <xdr:from>
      <xdr:col>8</xdr:col>
      <xdr:colOff>171450</xdr:colOff>
      <xdr:row>47</xdr:row>
      <xdr:rowOff>180975</xdr:rowOff>
    </xdr:from>
    <xdr:ext cx="4371975" cy="887849"/>
    <xdr:pic>
      <xdr:nvPicPr>
        <xdr:cNvPr id="7" name="Imagen 6">
          <a:extLst>
            <a:ext uri="{FF2B5EF4-FFF2-40B4-BE49-F238E27FC236}">
              <a16:creationId xmlns:a16="http://schemas.microsoft.com/office/drawing/2014/main" id="{ECD086AC-7123-4C84-BC20-1180A1408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7450" y="9134475"/>
          <a:ext cx="4371975" cy="887849"/>
        </a:xfrm>
        <a:prstGeom prst="rect">
          <a:avLst/>
        </a:prstGeom>
      </xdr:spPr>
    </xdr:pic>
    <xdr:clientData/>
  </xdr:oneCellAnchor>
  <xdr:oneCellAnchor>
    <xdr:from>
      <xdr:col>5</xdr:col>
      <xdr:colOff>504825</xdr:colOff>
      <xdr:row>52</xdr:row>
      <xdr:rowOff>114300</xdr:rowOff>
    </xdr:from>
    <xdr:ext cx="6325483" cy="685896"/>
    <xdr:pic>
      <xdr:nvPicPr>
        <xdr:cNvPr id="8" name="Imagen 7">
          <a:extLst>
            <a:ext uri="{FF2B5EF4-FFF2-40B4-BE49-F238E27FC236}">
              <a16:creationId xmlns:a16="http://schemas.microsoft.com/office/drawing/2014/main" id="{C6600920-850F-4A15-8216-9B8EA830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4825" y="10020300"/>
          <a:ext cx="6325483" cy="68589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aan" refreshedDate="45566.022896759256" createdVersion="8" refreshedVersion="8" minRefreshableVersion="3" recordCount="20" xr:uid="{2B770BED-F5F0-4CCF-B0F3-32F378E65520}">
  <cacheSource type="worksheet">
    <worksheetSource ref="B3:D23" sheet="Tabla dinámica"/>
  </cacheSource>
  <cacheFields count="3">
    <cacheField name="AÑO" numFmtId="0">
      <sharedItems containsSemiMixedTypes="0" containsString="0" containsNumber="1" containsInteger="1" minValue="2000" maxValue="2009" count="10">
        <n v="2000"/>
        <n v="2001"/>
        <n v="2002"/>
        <n v="2003"/>
        <n v="2004"/>
        <n v="2005"/>
        <n v="2006"/>
        <n v="2007"/>
        <n v="2008"/>
        <n v="2009"/>
      </sharedItems>
    </cacheField>
    <cacheField name="PRODUCTO A" numFmtId="0">
      <sharedItems count="2">
        <s v="PRODUCTO A"/>
        <s v="PRODUCTO B"/>
      </sharedItems>
    </cacheField>
    <cacheField name="VENTA UNIDS " numFmtId="0">
      <sharedItems containsSemiMixedTypes="0" containsString="0" containsNumber="1" containsInteger="1" minValue="95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00"/>
  </r>
  <r>
    <x v="0"/>
    <x v="1"/>
    <n v="95"/>
  </r>
  <r>
    <x v="1"/>
    <x v="0"/>
    <n v="117"/>
  </r>
  <r>
    <x v="1"/>
    <x v="1"/>
    <n v="152"/>
  </r>
  <r>
    <x v="2"/>
    <x v="0"/>
    <n v="120"/>
  </r>
  <r>
    <x v="2"/>
    <x v="1"/>
    <n v="220"/>
  </r>
  <r>
    <x v="3"/>
    <x v="0"/>
    <n v="139"/>
  </r>
  <r>
    <x v="3"/>
    <x v="1"/>
    <n v="350"/>
  </r>
  <r>
    <x v="4"/>
    <x v="0"/>
    <n v="158"/>
  </r>
  <r>
    <x v="4"/>
    <x v="1"/>
    <n v="570"/>
  </r>
  <r>
    <x v="5"/>
    <x v="0"/>
    <n v="165"/>
  </r>
  <r>
    <x v="5"/>
    <x v="1"/>
    <n v="800"/>
  </r>
  <r>
    <x v="6"/>
    <x v="0"/>
    <n v="171"/>
  </r>
  <r>
    <x v="6"/>
    <x v="1"/>
    <n v="1300"/>
  </r>
  <r>
    <x v="7"/>
    <x v="0"/>
    <n v="175"/>
  </r>
  <r>
    <x v="7"/>
    <x v="1"/>
    <n v="1900"/>
  </r>
  <r>
    <x v="8"/>
    <x v="0"/>
    <n v="180"/>
  </r>
  <r>
    <x v="8"/>
    <x v="1"/>
    <n v="3000"/>
  </r>
  <r>
    <x v="9"/>
    <x v="0"/>
    <n v="186"/>
  </r>
  <r>
    <x v="9"/>
    <x v="1"/>
    <n v="4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5245F-B967-45B4-91E2-79856554F9A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ÑO">
  <location ref="G3:J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ENTA UNIDS " fld="2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1246-93CB-4F0A-B41E-2FA7CB8E0C7A}">
  <dimension ref="F2:K44"/>
  <sheetViews>
    <sheetView topLeftCell="A13" workbookViewId="0">
      <selection activeCell="J42" sqref="J42"/>
    </sheetView>
  </sheetViews>
  <sheetFormatPr baseColWidth="10" defaultRowHeight="14.4" x14ac:dyDescent="0.3"/>
  <cols>
    <col min="7" max="7" width="25.44140625" bestFit="1" customWidth="1"/>
    <col min="8" max="8" width="13.33203125" bestFit="1" customWidth="1"/>
    <col min="9" max="9" width="13.6640625" bestFit="1" customWidth="1"/>
    <col min="10" max="10" width="20.33203125" bestFit="1" customWidth="1"/>
    <col min="11" max="11" width="13.33203125" bestFit="1" customWidth="1"/>
  </cols>
  <sheetData>
    <row r="2" spans="6:11" x14ac:dyDescent="0.3">
      <c r="G2" s="2" t="s">
        <v>1</v>
      </c>
      <c r="H2" s="3">
        <v>0.12</v>
      </c>
    </row>
    <row r="3" spans="6:11" x14ac:dyDescent="0.3">
      <c r="G3" s="2" t="s">
        <v>2</v>
      </c>
      <c r="H3" s="2">
        <v>12</v>
      </c>
    </row>
    <row r="4" spans="6:11" x14ac:dyDescent="0.3">
      <c r="G4" s="2" t="s">
        <v>0</v>
      </c>
      <c r="H4" s="2">
        <f>(1+H2/H3)^H3 -1</f>
        <v>0.12682503013196977</v>
      </c>
    </row>
    <row r="5" spans="6:11" x14ac:dyDescent="0.3">
      <c r="G5" s="2" t="s">
        <v>4</v>
      </c>
      <c r="H5" s="5">
        <v>8500000</v>
      </c>
      <c r="I5" s="2" t="s">
        <v>5</v>
      </c>
      <c r="J5" s="2">
        <v>6</v>
      </c>
    </row>
    <row r="6" spans="6:11" x14ac:dyDescent="0.3">
      <c r="G6" s="2" t="s">
        <v>3</v>
      </c>
      <c r="H6" s="6">
        <f>-PMT(H4,J5,H5)</f>
        <v>2107535.6902545234</v>
      </c>
    </row>
    <row r="7" spans="6:11" x14ac:dyDescent="0.3">
      <c r="H7" s="4"/>
    </row>
    <row r="8" spans="6:11" x14ac:dyDescent="0.3">
      <c r="G8" s="2" t="s">
        <v>10</v>
      </c>
      <c r="H8" s="2"/>
      <c r="I8" s="2"/>
      <c r="J8" s="2" t="s">
        <v>9</v>
      </c>
    </row>
    <row r="9" spans="6:11" x14ac:dyDescent="0.3">
      <c r="G9" s="2" t="s">
        <v>6</v>
      </c>
      <c r="H9" s="2" t="s">
        <v>7</v>
      </c>
      <c r="I9" s="2" t="s">
        <v>8</v>
      </c>
      <c r="J9" s="9">
        <f>H5</f>
        <v>8500000</v>
      </c>
    </row>
    <row r="10" spans="6:11" x14ac:dyDescent="0.3">
      <c r="F10">
        <v>1</v>
      </c>
      <c r="G10" s="9">
        <f>$H$4*J9</f>
        <v>1078012.756121743</v>
      </c>
      <c r="H10" s="6">
        <f>$H$6</f>
        <v>2107535.6902545234</v>
      </c>
      <c r="I10" s="6">
        <f>H10-G10</f>
        <v>1029522.9341327804</v>
      </c>
      <c r="J10" s="10">
        <f>J9-I10</f>
        <v>7470477.0658672191</v>
      </c>
    </row>
    <row r="11" spans="6:11" x14ac:dyDescent="0.3">
      <c r="F11">
        <v>2</v>
      </c>
      <c r="G11" s="9">
        <f t="shared" ref="G11:G15" si="0">$H$4*J10</f>
        <v>947443.47897879919</v>
      </c>
      <c r="H11" s="6">
        <f t="shared" ref="H11:H15" si="1">$H$6</f>
        <v>2107535.6902545234</v>
      </c>
      <c r="I11" s="6">
        <f t="shared" ref="I11:I15" si="2">H11-G11</f>
        <v>1160092.2112757242</v>
      </c>
      <c r="J11" s="10">
        <f t="shared" ref="J11:J15" si="3">J10-I11</f>
        <v>6310384.8545914944</v>
      </c>
    </row>
    <row r="12" spans="6:11" x14ac:dyDescent="0.3">
      <c r="F12">
        <v>3</v>
      </c>
      <c r="G12" s="9">
        <f t="shared" si="0"/>
        <v>800314.74932789197</v>
      </c>
      <c r="H12" s="6">
        <f t="shared" si="1"/>
        <v>2107535.6902545234</v>
      </c>
      <c r="I12" s="6">
        <f t="shared" si="2"/>
        <v>1307220.9409266314</v>
      </c>
      <c r="J12" s="10">
        <f t="shared" si="3"/>
        <v>5003163.9136648625</v>
      </c>
    </row>
    <row r="13" spans="6:11" ht="21" x14ac:dyDescent="0.4">
      <c r="F13">
        <v>4</v>
      </c>
      <c r="G13" s="9">
        <f t="shared" si="0"/>
        <v>634526.41410573001</v>
      </c>
      <c r="H13" s="6">
        <f t="shared" si="1"/>
        <v>2107535.6902545234</v>
      </c>
      <c r="I13" s="6">
        <f t="shared" si="2"/>
        <v>1473009.2761487933</v>
      </c>
      <c r="J13" s="11">
        <f t="shared" si="3"/>
        <v>3530154.6375160692</v>
      </c>
      <c r="K13" s="8">
        <f>1.1*J13</f>
        <v>3883170.1012676763</v>
      </c>
    </row>
    <row r="14" spans="6:11" x14ac:dyDescent="0.3">
      <c r="F14">
        <v>5</v>
      </c>
      <c r="G14" s="9">
        <f t="shared" si="0"/>
        <v>447711.96827348834</v>
      </c>
      <c r="H14" s="6">
        <f t="shared" si="1"/>
        <v>2107535.6902545234</v>
      </c>
      <c r="I14" s="6">
        <f t="shared" si="2"/>
        <v>1659823.7219810351</v>
      </c>
      <c r="J14" s="10">
        <f t="shared" si="3"/>
        <v>1870330.9155350341</v>
      </c>
    </row>
    <row r="15" spans="6:11" x14ac:dyDescent="0.3">
      <c r="F15">
        <v>6</v>
      </c>
      <c r="G15" s="9">
        <f t="shared" si="0"/>
        <v>237204.77471948531</v>
      </c>
      <c r="H15" s="6">
        <f t="shared" si="1"/>
        <v>2107535.6902545234</v>
      </c>
      <c r="I15" s="6">
        <f t="shared" si="2"/>
        <v>1870330.9155350381</v>
      </c>
      <c r="J15" s="10">
        <f t="shared" si="3"/>
        <v>-3.9581209421157837E-9</v>
      </c>
    </row>
    <row r="18" spans="7:10" x14ac:dyDescent="0.3">
      <c r="G18" s="42" t="s">
        <v>11</v>
      </c>
      <c r="H18" s="42"/>
      <c r="I18" s="42"/>
      <c r="J18" s="42"/>
    </row>
    <row r="19" spans="7:10" x14ac:dyDescent="0.3">
      <c r="G19" s="2" t="s">
        <v>12</v>
      </c>
      <c r="H19" s="2"/>
      <c r="I19" s="2" t="s">
        <v>13</v>
      </c>
      <c r="J19" s="2"/>
    </row>
    <row r="20" spans="7:10" x14ac:dyDescent="0.3">
      <c r="G20" s="6">
        <f>-FV(8%,3,,3650000)</f>
        <v>4597948.8000000007</v>
      </c>
      <c r="H20" s="2"/>
      <c r="I20" s="6">
        <f>0.5*G20</f>
        <v>2298974.4000000004</v>
      </c>
      <c r="J20" s="2"/>
    </row>
    <row r="22" spans="7:10" x14ac:dyDescent="0.3">
      <c r="G22" s="43" t="s">
        <v>14</v>
      </c>
      <c r="H22" s="44"/>
    </row>
    <row r="23" spans="7:10" x14ac:dyDescent="0.3">
      <c r="G23" s="45">
        <f>K13-I20</f>
        <v>1584195.701267676</v>
      </c>
      <c r="H23" s="46"/>
    </row>
    <row r="24" spans="7:10" x14ac:dyDescent="0.3">
      <c r="G24" s="2" t="s">
        <v>15</v>
      </c>
      <c r="H24" s="3">
        <v>0.08</v>
      </c>
    </row>
    <row r="25" spans="7:10" x14ac:dyDescent="0.3">
      <c r="G25" s="2" t="s">
        <v>16</v>
      </c>
      <c r="H25" s="2">
        <v>3</v>
      </c>
    </row>
    <row r="26" spans="7:10" x14ac:dyDescent="0.3">
      <c r="G26" s="2" t="s">
        <v>3</v>
      </c>
      <c r="H26" s="6">
        <f>-PMT(H24,H25,G23)</f>
        <v>614721.02489998355</v>
      </c>
    </row>
    <row r="27" spans="7:10" x14ac:dyDescent="0.3">
      <c r="G27" s="2" t="s">
        <v>17</v>
      </c>
      <c r="H27" s="2"/>
      <c r="I27" s="2"/>
      <c r="J27" s="2" t="s">
        <v>9</v>
      </c>
    </row>
    <row r="28" spans="7:10" x14ac:dyDescent="0.3">
      <c r="G28" s="2" t="s">
        <v>6</v>
      </c>
      <c r="H28" s="2" t="s">
        <v>7</v>
      </c>
      <c r="I28" s="2" t="s">
        <v>8</v>
      </c>
      <c r="J28" s="9">
        <f>G23</f>
        <v>1584195.701267676</v>
      </c>
    </row>
    <row r="29" spans="7:10" x14ac:dyDescent="0.3">
      <c r="G29" s="9">
        <f>$H$24*J28</f>
        <v>126735.65610141408</v>
      </c>
      <c r="H29" s="6">
        <f>$H$26</f>
        <v>614721.02489998355</v>
      </c>
      <c r="I29" s="6">
        <f>H29-G29</f>
        <v>487985.36879856949</v>
      </c>
      <c r="J29" s="10">
        <f>J28-I29</f>
        <v>1096210.3324691064</v>
      </c>
    </row>
    <row r="30" spans="7:10" x14ac:dyDescent="0.3">
      <c r="G30" s="9">
        <f>$H$24*J29</f>
        <v>87696.826597528518</v>
      </c>
      <c r="H30" s="6">
        <f t="shared" ref="H30:H31" si="4">$H$26</f>
        <v>614721.02489998355</v>
      </c>
      <c r="I30" s="6">
        <f>H30-G30</f>
        <v>527024.19830245501</v>
      </c>
      <c r="J30" s="10">
        <f t="shared" ref="J30:J31" si="5">J29-I30</f>
        <v>569186.13416665141</v>
      </c>
    </row>
    <row r="31" spans="7:10" x14ac:dyDescent="0.3">
      <c r="G31" s="9">
        <f>$H$24*J30</f>
        <v>45534.890733332111</v>
      </c>
      <c r="H31" s="6">
        <f t="shared" si="4"/>
        <v>614721.02489998355</v>
      </c>
      <c r="I31" s="6">
        <f t="shared" ref="I31" si="6">H31-G31</f>
        <v>569186.13416665141</v>
      </c>
      <c r="J31" s="10">
        <f t="shared" si="5"/>
        <v>0</v>
      </c>
    </row>
    <row r="33" spans="7:9" x14ac:dyDescent="0.3">
      <c r="G33" t="s">
        <v>18</v>
      </c>
    </row>
    <row r="34" spans="7:9" x14ac:dyDescent="0.3">
      <c r="H34" t="s">
        <v>20</v>
      </c>
      <c r="I34" s="1">
        <v>0.03</v>
      </c>
    </row>
    <row r="35" spans="7:9" x14ac:dyDescent="0.3">
      <c r="G35" s="2" t="s">
        <v>19</v>
      </c>
      <c r="H35" s="2" t="s">
        <v>7</v>
      </c>
      <c r="I35" s="2" t="s">
        <v>21</v>
      </c>
    </row>
    <row r="36" spans="7:9" x14ac:dyDescent="0.3">
      <c r="G36" s="2">
        <v>1</v>
      </c>
      <c r="H36" s="5">
        <v>2107535.6902545234</v>
      </c>
      <c r="I36" s="6">
        <f>-PV($I$34,G36,,H36)</f>
        <v>2046151.1555869158</v>
      </c>
    </row>
    <row r="37" spans="7:9" x14ac:dyDescent="0.3">
      <c r="G37" s="2">
        <v>2</v>
      </c>
      <c r="H37" s="5">
        <v>2107535.6902545234</v>
      </c>
      <c r="I37" s="6">
        <f t="shared" ref="I37:I42" si="7">-PV($I$34,G37,,H37)</f>
        <v>1986554.519987297</v>
      </c>
    </row>
    <row r="38" spans="7:9" x14ac:dyDescent="0.3">
      <c r="G38" s="2">
        <v>3</v>
      </c>
      <c r="H38" s="5">
        <v>2107535.6902545234</v>
      </c>
      <c r="I38" s="6">
        <f t="shared" si="7"/>
        <v>1928693.7087255311</v>
      </c>
    </row>
    <row r="39" spans="7:9" x14ac:dyDescent="0.3">
      <c r="G39" s="2">
        <v>4</v>
      </c>
      <c r="H39" s="5">
        <v>2107535.6902545234</v>
      </c>
      <c r="I39" s="6">
        <f t="shared" si="7"/>
        <v>1872518.1638111954</v>
      </c>
    </row>
    <row r="40" spans="7:9" x14ac:dyDescent="0.3">
      <c r="G40" s="2">
        <v>5</v>
      </c>
      <c r="H40" s="5">
        <v>614721.02489998355</v>
      </c>
      <c r="I40" s="6">
        <f t="shared" si="7"/>
        <v>530263.75602436229</v>
      </c>
    </row>
    <row r="41" spans="7:9" x14ac:dyDescent="0.3">
      <c r="G41" s="2">
        <v>6</v>
      </c>
      <c r="H41" s="5">
        <v>614721.02489998355</v>
      </c>
      <c r="I41" s="6">
        <f t="shared" si="7"/>
        <v>514819.18060617696</v>
      </c>
    </row>
    <row r="42" spans="7:9" x14ac:dyDescent="0.3">
      <c r="G42" s="2">
        <v>7</v>
      </c>
      <c r="H42" s="5">
        <v>614721.02489998355</v>
      </c>
      <c r="I42" s="6">
        <f t="shared" si="7"/>
        <v>499824.44719046302</v>
      </c>
    </row>
    <row r="44" spans="7:9" x14ac:dyDescent="0.3">
      <c r="G44" s="47" t="s">
        <v>22</v>
      </c>
      <c r="H44" s="47"/>
      <c r="I44" s="7">
        <f>SUM(I36:I42)</f>
        <v>9378824.9319319427</v>
      </c>
    </row>
  </sheetData>
  <mergeCells count="4">
    <mergeCell ref="G18:J18"/>
    <mergeCell ref="G22:H22"/>
    <mergeCell ref="G23:H23"/>
    <mergeCell ref="G44:H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D520-EAF6-40A7-AC3A-61C23BF36621}">
  <dimension ref="B3:J24"/>
  <sheetViews>
    <sheetView topLeftCell="A11" zoomScaleNormal="205" workbookViewId="0">
      <selection activeCell="E33" sqref="E33"/>
    </sheetView>
  </sheetViews>
  <sheetFormatPr baseColWidth="10" defaultRowHeight="14.4" x14ac:dyDescent="0.3"/>
  <cols>
    <col min="2" max="2" width="7.33203125" bestFit="1" customWidth="1"/>
    <col min="3" max="3" width="15.44140625" bestFit="1" customWidth="1"/>
    <col min="4" max="4" width="16.109375" bestFit="1" customWidth="1"/>
    <col min="7" max="7" width="20.21875" bestFit="1" customWidth="1"/>
    <col min="8" max="8" width="21.21875" bestFit="1" customWidth="1"/>
    <col min="9" max="9" width="11.88671875" bestFit="1" customWidth="1"/>
  </cols>
  <sheetData>
    <row r="3" spans="2:10" ht="15.6" x14ac:dyDescent="0.3">
      <c r="B3" s="12" t="s">
        <v>23</v>
      </c>
      <c r="C3" s="12" t="s">
        <v>24</v>
      </c>
      <c r="D3" s="12" t="s">
        <v>25</v>
      </c>
      <c r="E3" s="12"/>
      <c r="G3" s="13" t="s">
        <v>27</v>
      </c>
      <c r="H3" s="13" t="s">
        <v>88</v>
      </c>
    </row>
    <row r="4" spans="2:10" ht="15.6" x14ac:dyDescent="0.3">
      <c r="B4" s="12">
        <v>2000</v>
      </c>
      <c r="C4" s="12" t="s">
        <v>24</v>
      </c>
      <c r="D4" s="12">
        <v>100</v>
      </c>
      <c r="E4" s="12"/>
      <c r="G4" s="13" t="s">
        <v>23</v>
      </c>
      <c r="H4" t="s">
        <v>24</v>
      </c>
      <c r="I4" t="s">
        <v>26</v>
      </c>
      <c r="J4" t="s">
        <v>28</v>
      </c>
    </row>
    <row r="5" spans="2:10" ht="15.6" x14ac:dyDescent="0.3">
      <c r="B5" s="12">
        <v>2000</v>
      </c>
      <c r="C5" s="12" t="s">
        <v>26</v>
      </c>
      <c r="D5" s="12">
        <v>95</v>
      </c>
      <c r="E5" s="12"/>
      <c r="G5" s="14">
        <v>2000</v>
      </c>
      <c r="H5">
        <v>100</v>
      </c>
      <c r="I5">
        <v>95</v>
      </c>
      <c r="J5">
        <v>195</v>
      </c>
    </row>
    <row r="6" spans="2:10" ht="15.6" x14ac:dyDescent="0.3">
      <c r="B6" s="12">
        <v>2001</v>
      </c>
      <c r="C6" s="12" t="s">
        <v>24</v>
      </c>
      <c r="D6" s="12">
        <v>117</v>
      </c>
      <c r="E6" s="12"/>
      <c r="G6" s="14">
        <v>2001</v>
      </c>
      <c r="H6">
        <v>117</v>
      </c>
      <c r="I6">
        <v>152</v>
      </c>
      <c r="J6">
        <v>269</v>
      </c>
    </row>
    <row r="7" spans="2:10" ht="15.6" x14ac:dyDescent="0.3">
      <c r="B7" s="12">
        <v>2001</v>
      </c>
      <c r="C7" s="12" t="s">
        <v>26</v>
      </c>
      <c r="D7" s="12">
        <v>152</v>
      </c>
      <c r="E7" s="12"/>
      <c r="G7" s="14">
        <v>2002</v>
      </c>
      <c r="H7">
        <v>120</v>
      </c>
      <c r="I7">
        <v>220</v>
      </c>
      <c r="J7">
        <v>340</v>
      </c>
    </row>
    <row r="8" spans="2:10" ht="15.6" x14ac:dyDescent="0.3">
      <c r="B8" s="12">
        <v>2002</v>
      </c>
      <c r="C8" s="12" t="s">
        <v>24</v>
      </c>
      <c r="D8" s="12">
        <v>120</v>
      </c>
      <c r="E8" s="12"/>
      <c r="G8" s="14">
        <v>2003</v>
      </c>
      <c r="H8">
        <v>139</v>
      </c>
      <c r="I8">
        <v>350</v>
      </c>
      <c r="J8">
        <v>489</v>
      </c>
    </row>
    <row r="9" spans="2:10" ht="15.6" x14ac:dyDescent="0.3">
      <c r="B9" s="12">
        <v>2002</v>
      </c>
      <c r="C9" s="12" t="s">
        <v>26</v>
      </c>
      <c r="D9" s="12">
        <v>220</v>
      </c>
      <c r="E9" s="12"/>
      <c r="G9" s="14">
        <v>2004</v>
      </c>
      <c r="H9">
        <v>158</v>
      </c>
      <c r="I9">
        <v>570</v>
      </c>
      <c r="J9">
        <v>728</v>
      </c>
    </row>
    <row r="10" spans="2:10" ht="15.6" x14ac:dyDescent="0.3">
      <c r="B10" s="12">
        <v>2003</v>
      </c>
      <c r="C10" s="12" t="s">
        <v>24</v>
      </c>
      <c r="D10" s="12">
        <v>139</v>
      </c>
      <c r="E10" s="12"/>
      <c r="G10" s="14">
        <v>2005</v>
      </c>
      <c r="H10">
        <v>165</v>
      </c>
      <c r="I10">
        <v>800</v>
      </c>
      <c r="J10">
        <v>965</v>
      </c>
    </row>
    <row r="11" spans="2:10" ht="15.6" x14ac:dyDescent="0.3">
      <c r="B11" s="12">
        <v>2003</v>
      </c>
      <c r="C11" s="12" t="s">
        <v>26</v>
      </c>
      <c r="D11" s="12">
        <v>350</v>
      </c>
      <c r="E11" s="12"/>
      <c r="G11" s="14">
        <v>2006</v>
      </c>
      <c r="H11">
        <v>171</v>
      </c>
      <c r="I11">
        <v>1300</v>
      </c>
      <c r="J11">
        <v>1471</v>
      </c>
    </row>
    <row r="12" spans="2:10" ht="15.6" x14ac:dyDescent="0.3">
      <c r="B12" s="12">
        <v>2004</v>
      </c>
      <c r="C12" s="12" t="s">
        <v>24</v>
      </c>
      <c r="D12" s="12">
        <v>158</v>
      </c>
      <c r="E12" s="12"/>
      <c r="G12" s="14">
        <v>2007</v>
      </c>
      <c r="H12">
        <v>175</v>
      </c>
      <c r="I12">
        <v>1900</v>
      </c>
      <c r="J12">
        <v>2075</v>
      </c>
    </row>
    <row r="13" spans="2:10" ht="15.6" x14ac:dyDescent="0.3">
      <c r="B13" s="12">
        <v>2004</v>
      </c>
      <c r="C13" s="12" t="s">
        <v>26</v>
      </c>
      <c r="D13" s="12">
        <v>570</v>
      </c>
      <c r="E13" s="12"/>
      <c r="G13" s="14">
        <v>2008</v>
      </c>
      <c r="H13">
        <v>180</v>
      </c>
      <c r="I13">
        <v>3000</v>
      </c>
      <c r="J13">
        <v>3180</v>
      </c>
    </row>
    <row r="14" spans="2:10" ht="15.6" x14ac:dyDescent="0.3">
      <c r="B14" s="12">
        <v>2005</v>
      </c>
      <c r="C14" s="12" t="s">
        <v>24</v>
      </c>
      <c r="D14" s="12">
        <v>165</v>
      </c>
      <c r="E14" s="12"/>
      <c r="G14" s="14">
        <v>2009</v>
      </c>
      <c r="H14">
        <v>186</v>
      </c>
      <c r="I14">
        <v>4400</v>
      </c>
      <c r="J14">
        <v>4586</v>
      </c>
    </row>
    <row r="15" spans="2:10" ht="15.6" x14ac:dyDescent="0.3">
      <c r="B15" s="12">
        <v>2005</v>
      </c>
      <c r="C15" s="12" t="s">
        <v>26</v>
      </c>
      <c r="D15" s="12">
        <v>800</v>
      </c>
      <c r="E15" s="12"/>
      <c r="G15" s="14" t="s">
        <v>28</v>
      </c>
      <c r="H15">
        <v>1511</v>
      </c>
      <c r="I15">
        <v>12787</v>
      </c>
      <c r="J15">
        <v>14298</v>
      </c>
    </row>
    <row r="16" spans="2:10" ht="15.6" x14ac:dyDescent="0.3">
      <c r="B16" s="12">
        <v>2006</v>
      </c>
      <c r="C16" s="12" t="s">
        <v>24</v>
      </c>
      <c r="D16" s="12">
        <v>171</v>
      </c>
      <c r="E16" s="12"/>
    </row>
    <row r="17" spans="2:5" ht="15.6" x14ac:dyDescent="0.3">
      <c r="B17" s="12">
        <v>2006</v>
      </c>
      <c r="C17" s="12" t="s">
        <v>26</v>
      </c>
      <c r="D17" s="12">
        <v>1300</v>
      </c>
      <c r="E17" s="12"/>
    </row>
    <row r="18" spans="2:5" ht="15.6" x14ac:dyDescent="0.3">
      <c r="B18" s="12">
        <v>2007</v>
      </c>
      <c r="C18" s="12" t="s">
        <v>24</v>
      </c>
      <c r="D18" s="12">
        <v>175</v>
      </c>
      <c r="E18" s="12"/>
    </row>
    <row r="19" spans="2:5" ht="15.6" x14ac:dyDescent="0.3">
      <c r="B19" s="12">
        <v>2007</v>
      </c>
      <c r="C19" s="12" t="s">
        <v>26</v>
      </c>
      <c r="D19" s="12">
        <v>1900</v>
      </c>
      <c r="E19" s="12"/>
    </row>
    <row r="20" spans="2:5" ht="15.6" x14ac:dyDescent="0.3">
      <c r="B20" s="12">
        <v>2008</v>
      </c>
      <c r="C20" s="12" t="s">
        <v>24</v>
      </c>
      <c r="D20" s="12">
        <v>180</v>
      </c>
      <c r="E20" s="12"/>
    </row>
    <row r="21" spans="2:5" ht="15.6" x14ac:dyDescent="0.3">
      <c r="B21" s="12">
        <v>2008</v>
      </c>
      <c r="C21" s="12" t="s">
        <v>26</v>
      </c>
      <c r="D21" s="12">
        <v>3000</v>
      </c>
      <c r="E21" s="12"/>
    </row>
    <row r="22" spans="2:5" ht="15.6" x14ac:dyDescent="0.3">
      <c r="B22" s="12">
        <v>2009</v>
      </c>
      <c r="C22" s="12" t="s">
        <v>24</v>
      </c>
      <c r="D22" s="12">
        <v>186</v>
      </c>
      <c r="E22" s="12"/>
    </row>
    <row r="23" spans="2:5" ht="15.6" x14ac:dyDescent="0.3">
      <c r="B23" s="12">
        <v>2009</v>
      </c>
      <c r="C23" s="12" t="s">
        <v>26</v>
      </c>
      <c r="D23" s="12">
        <v>4400</v>
      </c>
      <c r="E23" s="12"/>
    </row>
    <row r="24" spans="2:5" ht="15.6" x14ac:dyDescent="0.3">
      <c r="B24" s="12">
        <v>2010</v>
      </c>
      <c r="C24" s="12" t="s">
        <v>24</v>
      </c>
      <c r="D24" s="12">
        <v>198</v>
      </c>
      <c r="E24" s="12"/>
    </row>
  </sheetData>
  <autoFilter ref="B3:E24" xr:uid="{D5C1D520-EAF6-40A7-AC3A-61C23BF36621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A2-8272-4B58-BB60-2DE0A7F360FB}">
  <dimension ref="J3:Q41"/>
  <sheetViews>
    <sheetView tabSelected="1" topLeftCell="G11" workbookViewId="0">
      <selection activeCell="L30" sqref="L30"/>
    </sheetView>
  </sheetViews>
  <sheetFormatPr baseColWidth="10" defaultColWidth="11.44140625" defaultRowHeight="14.4" x14ac:dyDescent="0.3"/>
  <cols>
    <col min="1" max="10" width="11.44140625" style="15"/>
    <col min="11" max="11" width="27" style="15" bestFit="1" customWidth="1"/>
    <col min="12" max="12" width="11.44140625" style="15"/>
    <col min="13" max="13" width="14.5546875" style="15" bestFit="1" customWidth="1"/>
    <col min="14" max="16384" width="11.44140625" style="15"/>
  </cols>
  <sheetData>
    <row r="3" spans="10:17" x14ac:dyDescent="0.3">
      <c r="M3" s="15">
        <v>1</v>
      </c>
      <c r="N3" s="15">
        <v>2</v>
      </c>
      <c r="O3" s="15">
        <v>3</v>
      </c>
      <c r="P3" s="15">
        <v>4</v>
      </c>
      <c r="Q3" s="15">
        <v>5</v>
      </c>
    </row>
    <row r="4" spans="10:17" x14ac:dyDescent="0.3">
      <c r="K4" s="16" t="s">
        <v>29</v>
      </c>
    </row>
    <row r="5" spans="10:17" x14ac:dyDescent="0.3">
      <c r="K5" s="15" t="s">
        <v>30</v>
      </c>
      <c r="M5" s="15">
        <v>1500</v>
      </c>
      <c r="N5" s="15">
        <f>M5*(1+8%)</f>
        <v>1620</v>
      </c>
      <c r="O5" s="15">
        <f>N5*(1+8%)</f>
        <v>1749.6000000000001</v>
      </c>
      <c r="P5" s="15">
        <f>O5*(1+12%)</f>
        <v>1959.5520000000004</v>
      </c>
      <c r="Q5" s="15">
        <f>P5*(1+12%)</f>
        <v>2194.6982400000006</v>
      </c>
    </row>
    <row r="6" spans="10:17" x14ac:dyDescent="0.3">
      <c r="K6" s="15" t="s">
        <v>31</v>
      </c>
      <c r="M6" s="15">
        <v>8000</v>
      </c>
      <c r="N6" s="15">
        <f>M6*(1+2.5%)</f>
        <v>8200</v>
      </c>
      <c r="O6" s="15">
        <f t="shared" ref="O6:Q6" si="0">N6*(1+2.5%)</f>
        <v>8405</v>
      </c>
      <c r="P6" s="15">
        <f t="shared" si="0"/>
        <v>8615.125</v>
      </c>
      <c r="Q6" s="15">
        <f t="shared" si="0"/>
        <v>8830.5031249999993</v>
      </c>
    </row>
    <row r="7" spans="10:17" x14ac:dyDescent="0.3">
      <c r="K7" s="15" t="s">
        <v>29</v>
      </c>
      <c r="M7" s="15">
        <f>M6*M5</f>
        <v>12000000</v>
      </c>
      <c r="N7" s="15">
        <f t="shared" ref="N7:Q7" si="1">N6*N5</f>
        <v>13284000</v>
      </c>
      <c r="O7" s="15">
        <f t="shared" si="1"/>
        <v>14705388.000000002</v>
      </c>
      <c r="P7" s="15">
        <f t="shared" si="1"/>
        <v>16881785.424000002</v>
      </c>
      <c r="Q7" s="15">
        <f t="shared" si="1"/>
        <v>19380289.666752003</v>
      </c>
    </row>
    <row r="9" spans="10:17" x14ac:dyDescent="0.3">
      <c r="K9" s="16" t="s">
        <v>32</v>
      </c>
    </row>
    <row r="10" spans="10:17" x14ac:dyDescent="0.3">
      <c r="K10" s="15" t="s">
        <v>33</v>
      </c>
      <c r="M10" s="15">
        <v>-9000000</v>
      </c>
      <c r="N10" s="15">
        <f>M10*(1+5%)</f>
        <v>-9450000</v>
      </c>
      <c r="O10" s="15">
        <f t="shared" ref="O10:Q10" si="2">N10*(1+5%)</f>
        <v>-9922500</v>
      </c>
      <c r="P10" s="15">
        <f t="shared" si="2"/>
        <v>-10418625</v>
      </c>
      <c r="Q10" s="15">
        <f t="shared" si="2"/>
        <v>-10939556.25</v>
      </c>
    </row>
    <row r="11" spans="10:17" x14ac:dyDescent="0.3">
      <c r="J11" s="15">
        <v>-1000</v>
      </c>
      <c r="K11" s="15" t="s">
        <v>34</v>
      </c>
      <c r="M11" s="15">
        <f>$J$11*M5*POWER(1.025,M3-1)</f>
        <v>-1500000</v>
      </c>
      <c r="N11" s="15">
        <f t="shared" ref="N11:Q11" si="3">$J$11*N5*POWER(1.025,N3-1)</f>
        <v>-1660499.9999999998</v>
      </c>
      <c r="O11" s="15">
        <f t="shared" si="3"/>
        <v>-1838173.5</v>
      </c>
      <c r="P11" s="15">
        <f t="shared" si="3"/>
        <v>-2110223.1780000003</v>
      </c>
      <c r="Q11" s="15">
        <f t="shared" si="3"/>
        <v>-2422536.2083440004</v>
      </c>
    </row>
    <row r="12" spans="10:17" x14ac:dyDescent="0.3">
      <c r="J12" s="15">
        <f>-(2000000+1500000)/12</f>
        <v>-291666.66666666669</v>
      </c>
      <c r="K12" s="15" t="s">
        <v>35</v>
      </c>
      <c r="M12" s="15">
        <f>$J$12</f>
        <v>-291666.66666666669</v>
      </c>
      <c r="N12" s="15">
        <f t="shared" ref="N12:Q12" si="4">$J$12</f>
        <v>-291666.66666666669</v>
      </c>
      <c r="O12" s="15">
        <f t="shared" si="4"/>
        <v>-291666.66666666669</v>
      </c>
      <c r="P12" s="15">
        <f t="shared" si="4"/>
        <v>-291666.66666666669</v>
      </c>
      <c r="Q12" s="15">
        <f t="shared" si="4"/>
        <v>-291666.66666666669</v>
      </c>
    </row>
    <row r="13" spans="10:17" x14ac:dyDescent="0.3">
      <c r="K13" s="15" t="s">
        <v>36</v>
      </c>
      <c r="M13" s="15">
        <v>-866333.70281249797</v>
      </c>
      <c r="N13" s="15">
        <v>-748189.83712486597</v>
      </c>
      <c r="O13" s="15">
        <v>-607301.07974262303</v>
      </c>
      <c r="P13" s="15">
        <v>-439288.61594535602</v>
      </c>
      <c r="Q13" s="15">
        <v>-238930.627730281</v>
      </c>
    </row>
    <row r="14" spans="10:17" x14ac:dyDescent="0.3">
      <c r="K14" s="15" t="s">
        <v>37</v>
      </c>
      <c r="M14" s="15">
        <f>-300000</f>
        <v>-300000</v>
      </c>
      <c r="N14" s="15">
        <f>M14*(1+2.5%)</f>
        <v>-307500</v>
      </c>
      <c r="O14" s="15">
        <f t="shared" ref="O14:Q14" si="5">N14*(1+2.5%)</f>
        <v>-315187.5</v>
      </c>
      <c r="P14" s="15">
        <f t="shared" si="5"/>
        <v>-323067.1875</v>
      </c>
      <c r="Q14" s="15">
        <f t="shared" si="5"/>
        <v>-331143.8671875</v>
      </c>
    </row>
    <row r="15" spans="10:17" x14ac:dyDescent="0.3">
      <c r="K15" s="15" t="s">
        <v>32</v>
      </c>
      <c r="M15" s="15">
        <f>SUM(M10:M14)</f>
        <v>-11958000.369479164</v>
      </c>
      <c r="N15" s="15">
        <f t="shared" ref="N15:Q15" si="6">SUM(N10:N14)</f>
        <v>-12457856.503791532</v>
      </c>
      <c r="O15" s="15">
        <f t="shared" si="6"/>
        <v>-12974828.74640929</v>
      </c>
      <c r="P15" s="15">
        <f t="shared" si="6"/>
        <v>-13582870.648112021</v>
      </c>
      <c r="Q15" s="15">
        <f t="shared" si="6"/>
        <v>-14223833.619928448</v>
      </c>
    </row>
    <row r="16" spans="10:17" x14ac:dyDescent="0.3">
      <c r="K16" s="15" t="s">
        <v>76</v>
      </c>
      <c r="M16" s="15">
        <f>M7+M15</f>
        <v>41999.630520835519</v>
      </c>
      <c r="N16" s="15">
        <f t="shared" ref="N16:Q16" si="7">N7+N15</f>
        <v>826143.49620846845</v>
      </c>
      <c r="O16" s="15">
        <f t="shared" si="7"/>
        <v>1730559.2535907123</v>
      </c>
      <c r="P16" s="15">
        <f t="shared" si="7"/>
        <v>3298914.7758879811</v>
      </c>
      <c r="Q16" s="15">
        <f t="shared" si="7"/>
        <v>5156456.0468235556</v>
      </c>
    </row>
    <row r="17" spans="10:17" x14ac:dyDescent="0.3">
      <c r="J17" s="17">
        <v>-0.25</v>
      </c>
      <c r="K17" s="15" t="s">
        <v>77</v>
      </c>
      <c r="M17" s="15">
        <f>$J$17*M16</f>
        <v>-10499.90763020888</v>
      </c>
      <c r="N17" s="15">
        <f t="shared" ref="N17:Q17" si="8">$J$17*N16</f>
        <v>-206535.87405211711</v>
      </c>
      <c r="O17" s="15">
        <f t="shared" si="8"/>
        <v>-432639.81339767808</v>
      </c>
      <c r="P17" s="15">
        <f t="shared" si="8"/>
        <v>-824728.69397199526</v>
      </c>
      <c r="Q17" s="15">
        <f t="shared" si="8"/>
        <v>-1289114.0117058889</v>
      </c>
    </row>
    <row r="19" spans="10:17" x14ac:dyDescent="0.3">
      <c r="K19" s="16" t="s">
        <v>78</v>
      </c>
      <c r="M19" s="15">
        <f>M16+M17</f>
        <v>31499.722890626639</v>
      </c>
      <c r="N19" s="15">
        <f>N16+N17</f>
        <v>619607.62215635134</v>
      </c>
      <c r="O19" s="15">
        <f>O16+O17</f>
        <v>1297919.4401930342</v>
      </c>
      <c r="P19" s="15">
        <f>P16+P17</f>
        <v>2474186.0819159858</v>
      </c>
      <c r="Q19" s="15">
        <f>Q16+Q17</f>
        <v>3867342.0351176667</v>
      </c>
    </row>
    <row r="20" spans="10:17" x14ac:dyDescent="0.3">
      <c r="K20" s="15" t="s">
        <v>35</v>
      </c>
      <c r="M20" s="15">
        <f>-M12</f>
        <v>291666.66666666669</v>
      </c>
      <c r="N20" s="15">
        <f t="shared" ref="N20:Q20" si="9">-N12</f>
        <v>291666.66666666669</v>
      </c>
      <c r="O20" s="15">
        <f t="shared" si="9"/>
        <v>291666.66666666669</v>
      </c>
      <c r="P20" s="15">
        <f t="shared" si="9"/>
        <v>291666.66666666669</v>
      </c>
      <c r="Q20" s="15">
        <f t="shared" si="9"/>
        <v>291666.66666666669</v>
      </c>
    </row>
    <row r="21" spans="10:17" x14ac:dyDescent="0.3">
      <c r="K21" s="15" t="s">
        <v>38</v>
      </c>
      <c r="M21" s="15">
        <v>-613675.06985862798</v>
      </c>
      <c r="N21" s="15">
        <v>-731818.93554625905</v>
      </c>
      <c r="O21" s="15">
        <v>-872707.69292850199</v>
      </c>
      <c r="P21" s="15">
        <v>-1040720.15672577</v>
      </c>
      <c r="Q21" s="15">
        <v>-1241078.1449408401</v>
      </c>
    </row>
    <row r="22" spans="10:17" x14ac:dyDescent="0.3">
      <c r="K22" s="16" t="s">
        <v>79</v>
      </c>
    </row>
    <row r="23" spans="10:17" x14ac:dyDescent="0.3">
      <c r="K23" s="15" t="s">
        <v>80</v>
      </c>
      <c r="L23" s="15">
        <v>-1000000</v>
      </c>
      <c r="Q23" s="15">
        <f>-0.7*L23</f>
        <v>700000</v>
      </c>
    </row>
    <row r="24" spans="10:17" x14ac:dyDescent="0.3">
      <c r="K24" s="15" t="s">
        <v>81</v>
      </c>
      <c r="L24" s="15">
        <v>-1500000</v>
      </c>
      <c r="Q24" s="15">
        <f t="shared" ref="Q24:Q25" si="10">-0.7*L24</f>
        <v>1050000</v>
      </c>
    </row>
    <row r="25" spans="10:17" x14ac:dyDescent="0.3">
      <c r="K25" s="15" t="s">
        <v>82</v>
      </c>
      <c r="L25" s="15">
        <v>-2000000</v>
      </c>
      <c r="Q25" s="15">
        <f t="shared" si="10"/>
        <v>1400000</v>
      </c>
    </row>
    <row r="26" spans="10:17" x14ac:dyDescent="0.3">
      <c r="K26" s="15" t="s">
        <v>52</v>
      </c>
      <c r="L26" s="15">
        <v>4500000</v>
      </c>
    </row>
    <row r="27" spans="10:17" x14ac:dyDescent="0.3">
      <c r="K27" s="15" t="s">
        <v>83</v>
      </c>
      <c r="L27" s="15">
        <f>1.5*M11</f>
        <v>-2250000</v>
      </c>
      <c r="Q27" s="15">
        <f>-0.85*L27</f>
        <v>1912500</v>
      </c>
    </row>
    <row r="28" spans="10:17" x14ac:dyDescent="0.3">
      <c r="K28" s="15" t="s">
        <v>84</v>
      </c>
      <c r="L28" s="15">
        <f>SUM(L23:L27)</f>
        <v>-2250000</v>
      </c>
      <c r="M28" s="15">
        <f>SUM(M19:M27)</f>
        <v>-290508.68030133465</v>
      </c>
      <c r="N28" s="15">
        <f t="shared" ref="N28:P28" si="11">SUM(N19:N27)</f>
        <v>179455.35327675904</v>
      </c>
      <c r="O28" s="15">
        <f t="shared" si="11"/>
        <v>716878.413931199</v>
      </c>
      <c r="P28" s="15">
        <f t="shared" si="11"/>
        <v>1725132.5918568824</v>
      </c>
      <c r="Q28" s="15">
        <f>SUM(Q19:Q27)</f>
        <v>7980430.5568434931</v>
      </c>
    </row>
    <row r="29" spans="10:17" x14ac:dyDescent="0.3">
      <c r="K29" s="15" t="s">
        <v>86</v>
      </c>
      <c r="L29" s="40">
        <f>2%+1.2*10%</f>
        <v>0.13999999999999999</v>
      </c>
    </row>
    <row r="30" spans="10:17" x14ac:dyDescent="0.3">
      <c r="K30" s="39" t="s">
        <v>85</v>
      </c>
      <c r="L30" s="39">
        <f>NPV(L29,M28:Q28)+L28</f>
        <v>3283327.9442483895</v>
      </c>
    </row>
    <row r="31" spans="10:17" x14ac:dyDescent="0.3">
      <c r="K31" s="39" t="s">
        <v>87</v>
      </c>
      <c r="L31" s="41">
        <f>IRR(L28:Q28)</f>
        <v>0.3770042029363736</v>
      </c>
    </row>
    <row r="33" spans="11:14" x14ac:dyDescent="0.3">
      <c r="K33" s="37" t="s">
        <v>6</v>
      </c>
      <c r="L33" s="38">
        <f>POWER(1+(0.18/4),4)-1</f>
        <v>0.19251860062499948</v>
      </c>
      <c r="M33" s="37" t="s">
        <v>75</v>
      </c>
      <c r="N33" s="37">
        <v>4500000</v>
      </c>
    </row>
    <row r="34" spans="11:14" x14ac:dyDescent="0.3">
      <c r="K34" s="37" t="s">
        <v>7</v>
      </c>
      <c r="L34" s="37">
        <f>-PMT(L33,5,N33)</f>
        <v>1480008.7726711251</v>
      </c>
      <c r="M34" s="37"/>
      <c r="N34" s="37"/>
    </row>
    <row r="35" spans="11:14" x14ac:dyDescent="0.3">
      <c r="K35" s="37"/>
      <c r="L35" s="37"/>
      <c r="M35" s="37"/>
      <c r="N35" s="37" t="s">
        <v>9</v>
      </c>
    </row>
    <row r="36" spans="11:14" x14ac:dyDescent="0.3">
      <c r="K36" s="37" t="s">
        <v>6</v>
      </c>
      <c r="L36" s="37" t="s">
        <v>7</v>
      </c>
      <c r="M36" s="37" t="s">
        <v>8</v>
      </c>
      <c r="N36" s="37">
        <f>N33</f>
        <v>4500000</v>
      </c>
    </row>
    <row r="37" spans="11:14" x14ac:dyDescent="0.3">
      <c r="K37" s="37">
        <f>$L$33*N36</f>
        <v>866333.70281249762</v>
      </c>
      <c r="L37" s="37">
        <f>$L$34</f>
        <v>1480008.7726711251</v>
      </c>
      <c r="M37" s="37">
        <f>L37-K37</f>
        <v>613675.06985862751</v>
      </c>
      <c r="N37" s="37">
        <f>N36-M37</f>
        <v>3886324.9301413726</v>
      </c>
    </row>
    <row r="38" spans="11:14" x14ac:dyDescent="0.3">
      <c r="K38" s="37">
        <f>$L$33*N37</f>
        <v>748189.83712486597</v>
      </c>
      <c r="L38" s="37">
        <f>$L$34</f>
        <v>1480008.7726711251</v>
      </c>
      <c r="M38" s="37">
        <f t="shared" ref="M38:M41" si="12">L38-K38</f>
        <v>731818.93554625916</v>
      </c>
      <c r="N38" s="37">
        <f t="shared" ref="N38:N41" si="13">N37-M38</f>
        <v>3154505.9945951132</v>
      </c>
    </row>
    <row r="39" spans="11:14" x14ac:dyDescent="0.3">
      <c r="K39" s="37">
        <f>$L$33*N38</f>
        <v>607301.07974262338</v>
      </c>
      <c r="L39" s="37">
        <f>$L$34</f>
        <v>1480008.7726711251</v>
      </c>
      <c r="M39" s="37">
        <f t="shared" si="12"/>
        <v>872707.69292850175</v>
      </c>
      <c r="N39" s="37">
        <f t="shared" si="13"/>
        <v>2281798.3016666113</v>
      </c>
    </row>
    <row r="40" spans="11:14" x14ac:dyDescent="0.3">
      <c r="K40" s="37">
        <f>$L$33*N39</f>
        <v>439288.61594535643</v>
      </c>
      <c r="L40" s="37">
        <f>$L$34</f>
        <v>1480008.7726711251</v>
      </c>
      <c r="M40" s="37">
        <f t="shared" si="12"/>
        <v>1040720.1567257687</v>
      </c>
      <c r="N40" s="37">
        <f t="shared" si="13"/>
        <v>1241078.1449408426</v>
      </c>
    </row>
    <row r="41" spans="11:14" x14ac:dyDescent="0.3">
      <c r="K41" s="37">
        <f>$L$33*N40</f>
        <v>238930.6277302813</v>
      </c>
      <c r="L41" s="37">
        <f>$L$34</f>
        <v>1480008.7726711251</v>
      </c>
      <c r="M41" s="37">
        <f t="shared" si="12"/>
        <v>1241078.1449408438</v>
      </c>
      <c r="N41" s="37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EFDD-6C52-4CB7-9443-2E3596023181}">
  <dimension ref="A3:W54"/>
  <sheetViews>
    <sheetView workbookViewId="0">
      <selection activeCell="C18" sqref="C18:D18"/>
    </sheetView>
  </sheetViews>
  <sheetFormatPr baseColWidth="10" defaultRowHeight="14.4" x14ac:dyDescent="0.3"/>
  <cols>
    <col min="3" max="3" width="13.6640625" bestFit="1" customWidth="1"/>
  </cols>
  <sheetData>
    <row r="3" spans="1:23" ht="15" thickBot="1" x14ac:dyDescent="0.35"/>
    <row r="4" spans="1:23" x14ac:dyDescent="0.3">
      <c r="A4" s="60" t="s">
        <v>74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2"/>
    </row>
    <row r="5" spans="1:23" ht="15" thickBot="1" x14ac:dyDescent="0.3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</row>
    <row r="6" spans="1:23" ht="15" thickBot="1" x14ac:dyDescent="0.35"/>
    <row r="7" spans="1:23" x14ac:dyDescent="0.3">
      <c r="A7" s="54" t="s">
        <v>73</v>
      </c>
      <c r="B7" s="55"/>
      <c r="C7" s="56"/>
      <c r="D7" s="51" t="s">
        <v>48</v>
      </c>
      <c r="E7" s="52"/>
      <c r="F7" s="52"/>
      <c r="G7" s="53"/>
      <c r="H7" t="s">
        <v>72</v>
      </c>
    </row>
    <row r="8" spans="1:23" x14ac:dyDescent="0.3">
      <c r="A8" s="57"/>
      <c r="B8" s="58"/>
      <c r="C8" s="59"/>
      <c r="D8" s="29" t="s">
        <v>71</v>
      </c>
      <c r="E8" s="28" t="s">
        <v>6</v>
      </c>
      <c r="F8" s="28" t="s">
        <v>70</v>
      </c>
      <c r="G8" s="23" t="s">
        <v>69</v>
      </c>
      <c r="H8" t="s">
        <v>68</v>
      </c>
    </row>
    <row r="9" spans="1:23" ht="15.75" customHeight="1" thickBot="1" x14ac:dyDescent="0.35">
      <c r="A9" s="48" t="s">
        <v>67</v>
      </c>
      <c r="B9" s="21" t="s">
        <v>41</v>
      </c>
      <c r="C9" s="20">
        <f>D9*POWER(1+E9,F9)</f>
        <v>1628.8946267774415</v>
      </c>
      <c r="D9" s="26">
        <v>1000</v>
      </c>
      <c r="E9" s="36">
        <v>0.05</v>
      </c>
      <c r="F9" s="25">
        <v>10</v>
      </c>
      <c r="G9" s="35">
        <f>C9</f>
        <v>1628.8946267774415</v>
      </c>
    </row>
    <row r="10" spans="1:23" x14ac:dyDescent="0.3">
      <c r="A10" s="48"/>
      <c r="B10" s="21" t="s">
        <v>40</v>
      </c>
      <c r="C10" s="20">
        <f>-FV(E9,F9,,D9)</f>
        <v>1628.8946267774415</v>
      </c>
      <c r="D10" s="34"/>
      <c r="E10" s="1"/>
      <c r="G10" s="34"/>
    </row>
    <row r="11" spans="1:23" ht="15" customHeight="1" x14ac:dyDescent="0.3">
      <c r="A11" s="49" t="s">
        <v>66</v>
      </c>
      <c r="B11" s="21" t="s">
        <v>41</v>
      </c>
      <c r="C11" s="20">
        <f>-PV(E9,F9,,G9)</f>
        <v>1000</v>
      </c>
    </row>
    <row r="12" spans="1:23" ht="15" thickBot="1" x14ac:dyDescent="0.35">
      <c r="A12" s="50"/>
      <c r="B12" s="19" t="s">
        <v>40</v>
      </c>
      <c r="C12" s="18">
        <f>G9/POWER(1+E9,F9)</f>
        <v>1000</v>
      </c>
    </row>
    <row r="14" spans="1:23" ht="15" thickBot="1" x14ac:dyDescent="0.35"/>
    <row r="15" spans="1:23" x14ac:dyDescent="0.3">
      <c r="A15" s="54" t="s">
        <v>50</v>
      </c>
      <c r="B15" s="55"/>
      <c r="C15" s="70" t="s">
        <v>48</v>
      </c>
      <c r="D15" s="70"/>
      <c r="E15" s="70"/>
      <c r="F15" s="70"/>
      <c r="G15" s="70"/>
      <c r="H15" s="71"/>
    </row>
    <row r="16" spans="1:23" x14ac:dyDescent="0.3">
      <c r="A16" s="57"/>
      <c r="B16" s="58"/>
      <c r="C16" s="69" t="s">
        <v>65</v>
      </c>
      <c r="D16" s="69"/>
      <c r="E16" s="69" t="s">
        <v>64</v>
      </c>
      <c r="F16" s="69"/>
      <c r="G16" s="69" t="s">
        <v>63</v>
      </c>
      <c r="H16" s="72"/>
    </row>
    <row r="17" spans="1:12" x14ac:dyDescent="0.3">
      <c r="A17" s="66">
        <f t="shared" ref="A17:A32" si="0">POWER(1+(C17/F17),H17) -1</f>
        <v>0.12000000000000011</v>
      </c>
      <c r="B17" s="67"/>
      <c r="C17" s="68">
        <v>0.12</v>
      </c>
      <c r="D17" s="68"/>
      <c r="E17" s="21" t="s">
        <v>62</v>
      </c>
      <c r="F17" s="21">
        <v>1</v>
      </c>
      <c r="G17" s="33" t="s">
        <v>58</v>
      </c>
      <c r="H17" s="32">
        <v>1</v>
      </c>
    </row>
    <row r="18" spans="1:12" x14ac:dyDescent="0.3">
      <c r="A18" s="66">
        <f t="shared" si="0"/>
        <v>0</v>
      </c>
      <c r="B18" s="67"/>
      <c r="C18" s="68">
        <f t="shared" ref="C18:C32" si="1">C17</f>
        <v>0.12</v>
      </c>
      <c r="D18" s="68"/>
      <c r="E18" s="21" t="s">
        <v>62</v>
      </c>
      <c r="F18" s="21">
        <v>1</v>
      </c>
      <c r="G18" s="33" t="s">
        <v>57</v>
      </c>
      <c r="H18" s="32">
        <v>0</v>
      </c>
    </row>
    <row r="19" spans="1:12" x14ac:dyDescent="0.3">
      <c r="A19" s="66">
        <f t="shared" si="0"/>
        <v>0</v>
      </c>
      <c r="B19" s="67"/>
      <c r="C19" s="68">
        <f t="shared" si="1"/>
        <v>0.12</v>
      </c>
      <c r="D19" s="68"/>
      <c r="E19" s="21" t="s">
        <v>62</v>
      </c>
      <c r="F19" s="21">
        <v>1</v>
      </c>
      <c r="G19" s="33" t="s">
        <v>56</v>
      </c>
      <c r="H19" s="32">
        <v>0</v>
      </c>
    </row>
    <row r="20" spans="1:12" x14ac:dyDescent="0.3">
      <c r="A20" s="66">
        <f t="shared" si="0"/>
        <v>0</v>
      </c>
      <c r="B20" s="67"/>
      <c r="C20" s="68">
        <f t="shared" si="1"/>
        <v>0.12</v>
      </c>
      <c r="D20" s="68"/>
      <c r="E20" s="21" t="s">
        <v>62</v>
      </c>
      <c r="F20" s="21">
        <v>1</v>
      </c>
      <c r="G20" s="33" t="s">
        <v>54</v>
      </c>
      <c r="H20" s="32">
        <v>0</v>
      </c>
    </row>
    <row r="21" spans="1:12" x14ac:dyDescent="0.3">
      <c r="A21" s="66">
        <f>POWER(1+(C21/F21),H21) -1</f>
        <v>0.12360000000000015</v>
      </c>
      <c r="B21" s="67"/>
      <c r="C21" s="68">
        <f t="shared" si="1"/>
        <v>0.12</v>
      </c>
      <c r="D21" s="68"/>
      <c r="E21" s="21" t="s">
        <v>61</v>
      </c>
      <c r="F21" s="21">
        <v>2</v>
      </c>
      <c r="G21" s="33" t="s">
        <v>58</v>
      </c>
      <c r="H21" s="32">
        <v>2</v>
      </c>
    </row>
    <row r="22" spans="1:12" x14ac:dyDescent="0.3">
      <c r="A22" s="66">
        <f t="shared" si="0"/>
        <v>6.0000000000000053E-2</v>
      </c>
      <c r="B22" s="67"/>
      <c r="C22" s="68">
        <f t="shared" si="1"/>
        <v>0.12</v>
      </c>
      <c r="D22" s="68"/>
      <c r="E22" s="21" t="s">
        <v>61</v>
      </c>
      <c r="F22" s="21">
        <v>2</v>
      </c>
      <c r="G22" s="33" t="s">
        <v>57</v>
      </c>
      <c r="H22" s="32">
        <v>1</v>
      </c>
    </row>
    <row r="23" spans="1:12" x14ac:dyDescent="0.3">
      <c r="A23" s="66">
        <f t="shared" si="0"/>
        <v>0</v>
      </c>
      <c r="B23" s="67"/>
      <c r="C23" s="68">
        <f t="shared" si="1"/>
        <v>0.12</v>
      </c>
      <c r="D23" s="68"/>
      <c r="E23" s="21" t="s">
        <v>61</v>
      </c>
      <c r="F23" s="21">
        <v>2</v>
      </c>
      <c r="G23" s="33" t="s">
        <v>56</v>
      </c>
      <c r="H23" s="32">
        <v>0</v>
      </c>
    </row>
    <row r="24" spans="1:12" x14ac:dyDescent="0.3">
      <c r="A24" s="66">
        <f t="shared" si="0"/>
        <v>0</v>
      </c>
      <c r="B24" s="67"/>
      <c r="C24" s="68">
        <f t="shared" si="1"/>
        <v>0.12</v>
      </c>
      <c r="D24" s="68"/>
      <c r="E24" s="21" t="s">
        <v>61</v>
      </c>
      <c r="F24" s="21">
        <v>2</v>
      </c>
      <c r="G24" s="33" t="s">
        <v>54</v>
      </c>
      <c r="H24" s="32">
        <v>0</v>
      </c>
    </row>
    <row r="25" spans="1:12" x14ac:dyDescent="0.3">
      <c r="A25" s="66">
        <f t="shared" si="0"/>
        <v>0.12550880999999992</v>
      </c>
      <c r="B25" s="67"/>
      <c r="C25" s="68">
        <f t="shared" si="1"/>
        <v>0.12</v>
      </c>
      <c r="D25" s="68"/>
      <c r="E25" s="21" t="s">
        <v>59</v>
      </c>
      <c r="F25" s="21">
        <v>4</v>
      </c>
      <c r="G25" s="33" t="s">
        <v>58</v>
      </c>
      <c r="H25" s="32">
        <v>4</v>
      </c>
      <c r="L25" t="s">
        <v>60</v>
      </c>
    </row>
    <row r="26" spans="1:12" x14ac:dyDescent="0.3">
      <c r="A26" s="66">
        <f t="shared" si="0"/>
        <v>6.0899999999999954E-2</v>
      </c>
      <c r="B26" s="67"/>
      <c r="C26" s="68">
        <f t="shared" si="1"/>
        <v>0.12</v>
      </c>
      <c r="D26" s="68"/>
      <c r="E26" s="21" t="s">
        <v>59</v>
      </c>
      <c r="F26" s="21">
        <v>4</v>
      </c>
      <c r="G26" s="33" t="s">
        <v>57</v>
      </c>
      <c r="H26" s="32">
        <v>2</v>
      </c>
    </row>
    <row r="27" spans="1:12" x14ac:dyDescent="0.3">
      <c r="A27" s="66">
        <f t="shared" si="0"/>
        <v>3.0000000000000027E-2</v>
      </c>
      <c r="B27" s="67"/>
      <c r="C27" s="68">
        <f t="shared" si="1"/>
        <v>0.12</v>
      </c>
      <c r="D27" s="68"/>
      <c r="E27" s="21" t="s">
        <v>59</v>
      </c>
      <c r="F27" s="21">
        <v>4</v>
      </c>
      <c r="G27" s="33" t="s">
        <v>56</v>
      </c>
      <c r="H27" s="32">
        <v>1</v>
      </c>
    </row>
    <row r="28" spans="1:12" x14ac:dyDescent="0.3">
      <c r="A28" s="66">
        <f t="shared" si="0"/>
        <v>0</v>
      </c>
      <c r="B28" s="67"/>
      <c r="C28" s="68">
        <f t="shared" si="1"/>
        <v>0.12</v>
      </c>
      <c r="D28" s="68"/>
      <c r="E28" s="21" t="s">
        <v>59</v>
      </c>
      <c r="F28" s="21">
        <v>4</v>
      </c>
      <c r="G28" s="33" t="s">
        <v>54</v>
      </c>
      <c r="H28" s="32">
        <v>0</v>
      </c>
    </row>
    <row r="29" spans="1:12" x14ac:dyDescent="0.3">
      <c r="A29" s="66">
        <f t="shared" si="0"/>
        <v>0.12682503013196977</v>
      </c>
      <c r="B29" s="67"/>
      <c r="C29" s="68">
        <f t="shared" si="1"/>
        <v>0.12</v>
      </c>
      <c r="D29" s="68"/>
      <c r="E29" s="21" t="s">
        <v>55</v>
      </c>
      <c r="F29" s="21">
        <v>12</v>
      </c>
      <c r="G29" s="33" t="s">
        <v>58</v>
      </c>
      <c r="H29" s="32">
        <v>12</v>
      </c>
    </row>
    <row r="30" spans="1:12" x14ac:dyDescent="0.3">
      <c r="A30" s="66">
        <f t="shared" si="0"/>
        <v>6.1520150601000134E-2</v>
      </c>
      <c r="B30" s="67"/>
      <c r="C30" s="68">
        <f t="shared" si="1"/>
        <v>0.12</v>
      </c>
      <c r="D30" s="68"/>
      <c r="E30" s="21" t="s">
        <v>55</v>
      </c>
      <c r="F30" s="21">
        <v>12</v>
      </c>
      <c r="G30" s="33" t="s">
        <v>57</v>
      </c>
      <c r="H30" s="32">
        <v>6</v>
      </c>
    </row>
    <row r="31" spans="1:12" x14ac:dyDescent="0.3">
      <c r="A31" s="66">
        <f t="shared" si="0"/>
        <v>3.0300999999999911E-2</v>
      </c>
      <c r="B31" s="67"/>
      <c r="C31" s="68">
        <f t="shared" si="1"/>
        <v>0.12</v>
      </c>
      <c r="D31" s="68"/>
      <c r="E31" s="21" t="s">
        <v>55</v>
      </c>
      <c r="F31" s="21">
        <v>12</v>
      </c>
      <c r="G31" s="33" t="s">
        <v>56</v>
      </c>
      <c r="H31" s="32">
        <v>3</v>
      </c>
    </row>
    <row r="32" spans="1:12" ht="15" thickBot="1" x14ac:dyDescent="0.35">
      <c r="A32" s="79">
        <f t="shared" si="0"/>
        <v>1.0000000000000009E-2</v>
      </c>
      <c r="B32" s="80"/>
      <c r="C32" s="75">
        <f t="shared" si="1"/>
        <v>0.12</v>
      </c>
      <c r="D32" s="75"/>
      <c r="E32" s="19" t="s">
        <v>55</v>
      </c>
      <c r="F32" s="19">
        <v>12</v>
      </c>
      <c r="G32" s="31" t="s">
        <v>54</v>
      </c>
      <c r="H32" s="30">
        <v>1</v>
      </c>
    </row>
    <row r="37" spans="1:7" ht="15" thickBot="1" x14ac:dyDescent="0.35"/>
    <row r="38" spans="1:7" x14ac:dyDescent="0.3">
      <c r="A38" s="54" t="s">
        <v>53</v>
      </c>
      <c r="B38" s="55"/>
      <c r="C38" s="56"/>
      <c r="D38" s="76" t="s">
        <v>48</v>
      </c>
      <c r="E38" s="77"/>
      <c r="F38" s="77"/>
      <c r="G38" s="78"/>
    </row>
    <row r="39" spans="1:7" x14ac:dyDescent="0.3">
      <c r="A39" s="57"/>
      <c r="B39" s="58"/>
      <c r="C39" s="59"/>
      <c r="D39" s="29" t="s">
        <v>52</v>
      </c>
      <c r="E39" s="28" t="s">
        <v>19</v>
      </c>
      <c r="F39" s="83" t="s">
        <v>50</v>
      </c>
      <c r="G39" s="84"/>
    </row>
    <row r="40" spans="1:7" ht="15" thickBot="1" x14ac:dyDescent="0.35">
      <c r="A40" s="27" t="s">
        <v>41</v>
      </c>
      <c r="B40" s="81">
        <f>-PMT(F40,E40,D40)</f>
        <v>11379731.896831043</v>
      </c>
      <c r="C40" s="82"/>
      <c r="D40" s="26">
        <v>65000000</v>
      </c>
      <c r="E40" s="25">
        <v>8</v>
      </c>
      <c r="F40" s="85">
        <v>8.1600000000000006E-2</v>
      </c>
      <c r="G40" s="86"/>
    </row>
    <row r="41" spans="1:7" ht="15" thickBot="1" x14ac:dyDescent="0.35">
      <c r="A41" s="24" t="s">
        <v>40</v>
      </c>
      <c r="B41" s="73">
        <f>D40*(F40*POWER(1+F40,E40)/(POWER(1+F40,E40)-1))</f>
        <v>11379731.896831054</v>
      </c>
      <c r="C41" s="74"/>
    </row>
    <row r="42" spans="1:7" ht="15" thickBot="1" x14ac:dyDescent="0.35"/>
    <row r="43" spans="1:7" x14ac:dyDescent="0.3">
      <c r="A43" s="97" t="s">
        <v>51</v>
      </c>
      <c r="B43" s="98"/>
      <c r="C43" s="99"/>
      <c r="D43" s="77" t="s">
        <v>48</v>
      </c>
      <c r="E43" s="77"/>
      <c r="F43" s="77"/>
      <c r="G43" s="78"/>
    </row>
    <row r="44" spans="1:7" x14ac:dyDescent="0.3">
      <c r="A44" s="100"/>
      <c r="B44" s="101"/>
      <c r="C44" s="102"/>
      <c r="D44" s="29" t="s">
        <v>7</v>
      </c>
      <c r="E44" s="28" t="s">
        <v>19</v>
      </c>
      <c r="F44" s="83" t="s">
        <v>50</v>
      </c>
      <c r="G44" s="84"/>
    </row>
    <row r="45" spans="1:7" ht="15" thickBot="1" x14ac:dyDescent="0.35">
      <c r="A45" s="27" t="s">
        <v>41</v>
      </c>
      <c r="B45" s="81">
        <f>-PV(F45,E45,D45)</f>
        <v>294.03131444078036</v>
      </c>
      <c r="C45" s="82"/>
      <c r="D45" s="26">
        <v>110</v>
      </c>
      <c r="E45" s="25">
        <v>3</v>
      </c>
      <c r="F45" s="85">
        <v>0.06</v>
      </c>
      <c r="G45" s="86"/>
    </row>
    <row r="46" spans="1:7" ht="15" thickBot="1" x14ac:dyDescent="0.35">
      <c r="A46" s="24" t="s">
        <v>40</v>
      </c>
      <c r="B46" s="73">
        <f>D45*((POWER(1+F45,E45)-1)/(F45*POWER(1+F45,E45)))</f>
        <v>294.03131444078036</v>
      </c>
      <c r="C46" s="74"/>
    </row>
    <row r="48" spans="1:7" ht="15" thickBot="1" x14ac:dyDescent="0.35"/>
    <row r="49" spans="1:15" x14ac:dyDescent="0.3">
      <c r="A49" s="54" t="s">
        <v>49</v>
      </c>
      <c r="B49" s="55"/>
      <c r="C49" s="56"/>
      <c r="D49" s="51" t="s">
        <v>48</v>
      </c>
      <c r="E49" s="52"/>
      <c r="F49" s="52"/>
      <c r="G49" s="52"/>
      <c r="H49" s="53"/>
    </row>
    <row r="50" spans="1:15" x14ac:dyDescent="0.3">
      <c r="A50" s="57"/>
      <c r="B50" s="58"/>
      <c r="C50" s="59"/>
      <c r="D50" s="93" t="s">
        <v>47</v>
      </c>
      <c r="E50" s="83"/>
      <c r="F50" s="83" t="s">
        <v>46</v>
      </c>
      <c r="G50" s="83"/>
      <c r="H50" s="23" t="s">
        <v>45</v>
      </c>
    </row>
    <row r="51" spans="1:15" ht="15" thickBot="1" x14ac:dyDescent="0.35">
      <c r="A51" s="48" t="s">
        <v>44</v>
      </c>
      <c r="B51" s="89" t="s">
        <v>41</v>
      </c>
      <c r="C51" s="91">
        <f>D51*F51*H51</f>
        <v>1357350.3</v>
      </c>
      <c r="D51" s="96">
        <v>45245010</v>
      </c>
      <c r="E51" s="95"/>
      <c r="F51" s="94">
        <v>0.01</v>
      </c>
      <c r="G51" s="95"/>
      <c r="H51" s="22">
        <v>3</v>
      </c>
      <c r="O51" t="s">
        <v>43</v>
      </c>
    </row>
    <row r="52" spans="1:15" x14ac:dyDescent="0.3">
      <c r="A52" s="48"/>
      <c r="B52" s="90"/>
      <c r="C52" s="92"/>
      <c r="D52" s="47"/>
      <c r="E52" s="47"/>
    </row>
    <row r="53" spans="1:15" x14ac:dyDescent="0.3">
      <c r="A53" s="87" t="s">
        <v>42</v>
      </c>
      <c r="B53" s="21" t="s">
        <v>41</v>
      </c>
      <c r="C53" s="20">
        <f>D51*(POWER(1+F51,H51)-1)</f>
        <v>1370969.0480099961</v>
      </c>
    </row>
    <row r="54" spans="1:15" ht="15" thickBot="1" x14ac:dyDescent="0.35">
      <c r="A54" s="88"/>
      <c r="B54" s="19" t="s">
        <v>40</v>
      </c>
      <c r="C54" s="18">
        <f>-FV(F51,H51,,D51)-D51</f>
        <v>1370969.0480099991</v>
      </c>
      <c r="O54" t="s">
        <v>39</v>
      </c>
    </row>
  </sheetData>
  <mergeCells count="65">
    <mergeCell ref="A43:C44"/>
    <mergeCell ref="D43:G43"/>
    <mergeCell ref="F44:G44"/>
    <mergeCell ref="F45:G45"/>
    <mergeCell ref="B45:C45"/>
    <mergeCell ref="A53:A54"/>
    <mergeCell ref="D49:H49"/>
    <mergeCell ref="B51:B52"/>
    <mergeCell ref="C51:C52"/>
    <mergeCell ref="B46:C46"/>
    <mergeCell ref="A51:A52"/>
    <mergeCell ref="A49:C50"/>
    <mergeCell ref="D50:E50"/>
    <mergeCell ref="F50:G50"/>
    <mergeCell ref="F51:G51"/>
    <mergeCell ref="D51:E51"/>
    <mergeCell ref="D52:E52"/>
    <mergeCell ref="D38:G38"/>
    <mergeCell ref="A31:B31"/>
    <mergeCell ref="A32:B32"/>
    <mergeCell ref="B40:C40"/>
    <mergeCell ref="F39:G39"/>
    <mergeCell ref="F40:G40"/>
    <mergeCell ref="B41:C41"/>
    <mergeCell ref="A38:C39"/>
    <mergeCell ref="A21:B21"/>
    <mergeCell ref="A22:B22"/>
    <mergeCell ref="A23:B23"/>
    <mergeCell ref="A24:B24"/>
    <mergeCell ref="A25:B25"/>
    <mergeCell ref="C25:D25"/>
    <mergeCell ref="C30:D30"/>
    <mergeCell ref="C31:D31"/>
    <mergeCell ref="C32:D32"/>
    <mergeCell ref="A26:B26"/>
    <mergeCell ref="A27:B27"/>
    <mergeCell ref="A28:B28"/>
    <mergeCell ref="A29:B29"/>
    <mergeCell ref="A30:B30"/>
    <mergeCell ref="C16:D16"/>
    <mergeCell ref="A15:B16"/>
    <mergeCell ref="C15:H15"/>
    <mergeCell ref="A17:B17"/>
    <mergeCell ref="A18:B18"/>
    <mergeCell ref="C17:D17"/>
    <mergeCell ref="C18:D18"/>
    <mergeCell ref="E16:F16"/>
    <mergeCell ref="G16:H16"/>
    <mergeCell ref="A19:B19"/>
    <mergeCell ref="A20:B20"/>
    <mergeCell ref="C29:D29"/>
    <mergeCell ref="C20:D20"/>
    <mergeCell ref="C21:D21"/>
    <mergeCell ref="C22:D22"/>
    <mergeCell ref="C23:D23"/>
    <mergeCell ref="C24:D24"/>
    <mergeCell ref="C19:D19"/>
    <mergeCell ref="C26:D26"/>
    <mergeCell ref="C27:D27"/>
    <mergeCell ref="C28:D28"/>
    <mergeCell ref="A9:A10"/>
    <mergeCell ref="A11:A12"/>
    <mergeCell ref="D7:G7"/>
    <mergeCell ref="A7:C8"/>
    <mergeCell ref="A4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Aprovación de credito</vt:lpstr>
      <vt:lpstr>Tabla dinámica</vt:lpstr>
      <vt:lpstr>Flujo de caja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2024-09-23T19:15:46Z</dcterms:created>
  <dcterms:modified xsi:type="dcterms:W3CDTF">2024-10-01T20:58:05Z</dcterms:modified>
</cp:coreProperties>
</file>