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76BD87CD-BCB4-4C5A-B3A5-648404217CA4}" xr6:coauthVersionLast="47" xr6:coauthVersionMax="47" xr10:uidLastSave="{00000000-0000-0000-0000-000000000000}"/>
  <bookViews>
    <workbookView xWindow="-108" yWindow="-108" windowWidth="23256" windowHeight="12456" xr2:uid="{E64EA1D3-913A-449F-80FF-5AC191DF89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" i="1" l="1"/>
  <c r="F125" i="1"/>
  <c r="E110" i="1"/>
  <c r="E120" i="1"/>
  <c r="E119" i="1"/>
  <c r="G91" i="1"/>
  <c r="G93" i="1" s="1"/>
  <c r="E101" i="1"/>
  <c r="E102" i="1"/>
  <c r="I82" i="1"/>
  <c r="I83" i="1" s="1"/>
  <c r="E75" i="1"/>
  <c r="E104" i="1"/>
  <c r="E103" i="1"/>
  <c r="E105" i="1" s="1"/>
  <c r="I85" i="1"/>
  <c r="I84" i="1"/>
  <c r="I81" i="1"/>
  <c r="I86" i="1" s="1"/>
  <c r="E85" i="1"/>
  <c r="E84" i="1"/>
  <c r="E86" i="1" s="1"/>
  <c r="E82" i="1"/>
  <c r="E83" i="1" s="1"/>
  <c r="E65" i="1"/>
  <c r="E66" i="1" s="1"/>
  <c r="E72" i="1"/>
  <c r="E73" i="1" s="1"/>
  <c r="I65" i="1"/>
  <c r="E64" i="1"/>
  <c r="I62" i="1"/>
  <c r="I63" i="1" s="1"/>
  <c r="E63" i="1"/>
  <c r="I61" i="1"/>
  <c r="I64" i="1" s="1"/>
  <c r="I66" i="1" s="1"/>
  <c r="E62" i="1"/>
  <c r="G20" i="1"/>
  <c r="D15" i="1"/>
  <c r="D16" i="1" s="1"/>
  <c r="D49" i="1" s="1"/>
  <c r="E49" i="1" s="1"/>
  <c r="F115" i="1" l="1"/>
  <c r="E122" i="1" s="1"/>
  <c r="E123" i="1" s="1"/>
  <c r="F127" i="1" s="1"/>
  <c r="E106" i="1"/>
  <c r="E107" i="1" s="1"/>
  <c r="I87" i="1"/>
  <c r="I88" i="1" s="1"/>
  <c r="E87" i="1"/>
  <c r="E88" i="1"/>
  <c r="I68" i="1"/>
  <c r="I67" i="1"/>
  <c r="E76" i="1"/>
  <c r="D48" i="1"/>
  <c r="E48" i="1" s="1"/>
  <c r="E67" i="1"/>
  <c r="E68" i="1" s="1"/>
  <c r="D47" i="1"/>
  <c r="E47" i="1" s="1"/>
  <c r="D21" i="1"/>
  <c r="E22" i="1"/>
  <c r="E25" i="1"/>
  <c r="E23" i="1"/>
  <c r="E24" i="1"/>
  <c r="E21" i="1"/>
  <c r="F21" i="1" l="1"/>
  <c r="G21" i="1" s="1"/>
  <c r="D22" i="1" s="1"/>
  <c r="F22" i="1" s="1"/>
  <c r="G22" i="1" s="1"/>
  <c r="D23" i="1" s="1"/>
  <c r="F23" i="1" s="1"/>
  <c r="G23" i="1" s="1"/>
  <c r="D24" i="1" l="1"/>
  <c r="F24" i="1" s="1"/>
  <c r="G24" i="1" s="1"/>
  <c r="D25" i="1" s="1"/>
  <c r="F25" i="1" s="1"/>
  <c r="G25" i="1" s="1"/>
  <c r="I31" i="1"/>
  <c r="F33" i="1" l="1"/>
  <c r="I32" i="1"/>
  <c r="G38" i="1" l="1"/>
  <c r="F34" i="1"/>
  <c r="D39" i="1" l="1"/>
  <c r="D53" i="1"/>
  <c r="E53" i="1" s="1"/>
  <c r="E42" i="1"/>
  <c r="E39" i="1"/>
  <c r="D51" i="1"/>
  <c r="E51" i="1" s="1"/>
  <c r="D52" i="1"/>
  <c r="E52" i="1" s="1"/>
  <c r="E40" i="1"/>
  <c r="E41" i="1"/>
  <c r="D50" i="1"/>
  <c r="E50" i="1" s="1"/>
  <c r="F39" i="1" l="1"/>
  <c r="G39" i="1" s="1"/>
  <c r="D40" i="1"/>
  <c r="F40" i="1" s="1"/>
  <c r="G40" i="1" s="1"/>
  <c r="D41" i="1" s="1"/>
  <c r="F41" i="1" s="1"/>
  <c r="G41" i="1" s="1"/>
  <c r="D42" i="1" s="1"/>
  <c r="F42" i="1" s="1"/>
  <c r="G42" i="1" s="1"/>
  <c r="E55" i="1"/>
</calcChain>
</file>

<file path=xl/sharedStrings.xml><?xml version="1.0" encoding="utf-8"?>
<sst xmlns="http://schemas.openxmlformats.org/spreadsheetml/2006/main" count="111" uniqueCount="59">
  <si>
    <t>EVALUACIÓN DE PROYECTOS TICS - CONTROL 1</t>
  </si>
  <si>
    <t>Nombre: Iván Andrés Cáceres Satorres</t>
  </si>
  <si>
    <t>Fecha: Jueves 29 de Agosto del 2024.</t>
  </si>
  <si>
    <t>CRÉDITO</t>
  </si>
  <si>
    <t>TASA INTERÉS NOMINAL ANUAL</t>
  </si>
  <si>
    <t>COMPOSICIÓN SEMESTRAL</t>
  </si>
  <si>
    <t>PERIODICIDAD DE CUOTAS</t>
  </si>
  <si>
    <t>ANUALES</t>
  </si>
  <si>
    <t>A</t>
  </si>
  <si>
    <t>TABLA DE DESARROLLO DEL CREDITO BANCO SANTANDER</t>
  </si>
  <si>
    <t>PERIODO</t>
  </si>
  <si>
    <t>INTERESES</t>
  </si>
  <si>
    <t>CUOTA</t>
  </si>
  <si>
    <t>AMORTIZACIÓN</t>
  </si>
  <si>
    <t>TASA EFECTIVA</t>
  </si>
  <si>
    <t>SALDO</t>
  </si>
  <si>
    <t>B</t>
  </si>
  <si>
    <t>BANCO CHILE</t>
  </si>
  <si>
    <t>TASA ANUAL REAL EFECTIVA</t>
  </si>
  <si>
    <t>CANT. CUOTAS</t>
  </si>
  <si>
    <t>TABLA DE DESARROLLO DEL CREDITO BANCO CHILE</t>
  </si>
  <si>
    <t>MESES DE MULTA</t>
  </si>
  <si>
    <t>MULTA</t>
  </si>
  <si>
    <t>TASA INTERÉS POR MES</t>
  </si>
  <si>
    <t>SALDO TOTAL (ANTERIOR + MULTA)</t>
  </si>
  <si>
    <t>SALDO + MULTA</t>
  </si>
  <si>
    <t>C</t>
  </si>
  <si>
    <t>PERIODOS</t>
  </si>
  <si>
    <t>CUOTA PAGADAS</t>
  </si>
  <si>
    <t>VALOR PRESENTE</t>
  </si>
  <si>
    <t>TASA DE INFLACIÓN ANUAL REAL EFECTIVA</t>
  </si>
  <si>
    <t>TOTAL PAGADO A DIA DE HOY (T=0)</t>
  </si>
  <si>
    <t>DESDE LOS 25 AÑOS HASTA LOS 45 AÑOS</t>
  </si>
  <si>
    <t>TIEMPO EN AÑOS</t>
  </si>
  <si>
    <t>TIEMPO EN MESES</t>
  </si>
  <si>
    <t>SUELDO</t>
  </si>
  <si>
    <t>DESDE LOS 45 AÑOS HASTA LOS 65 AÑOS</t>
  </si>
  <si>
    <t>AFP 13%</t>
  </si>
  <si>
    <t>ISAPRE 7%</t>
  </si>
  <si>
    <t>SUELDO DESCONTADO</t>
  </si>
  <si>
    <t>IMPUESTOS 10%</t>
  </si>
  <si>
    <t>SUELDO LIQUIDO</t>
  </si>
  <si>
    <t>CALCULO DE JUBILACIÓN</t>
  </si>
  <si>
    <t>TIEMPO DE JUBILACIÓN AÑOS</t>
  </si>
  <si>
    <t>TIEMPO DE JUBILACIÓN MESES</t>
  </si>
  <si>
    <t>RENTABILIDAD MENSUAL AFP</t>
  </si>
  <si>
    <t>FONDO TOTAL ACUMULADO</t>
  </si>
  <si>
    <t>JUBILACIÓN</t>
  </si>
  <si>
    <t>RETIRO</t>
  </si>
  <si>
    <t>DESDE LOS 45 AÑOS HASTA LOS 46 AÑOS</t>
  </si>
  <si>
    <t>CALCULO DEL FONDO TOTAL ACUMULADO ENTRE LOS 46 A 65 AÑOS</t>
  </si>
  <si>
    <t>FONDO TOTAL ACUMULADO HASTA LOS 46 AÑOS CON EL RETIRO</t>
  </si>
  <si>
    <t>CALCULO DEL FONDO TOTAL ACUMULADO ENTRE LOS 25 A 46 AÑOS</t>
  </si>
  <si>
    <t>EN 2025 CARLOS TIENE 46 AÑOS CUANDO SOLICITA EL RETIRO</t>
  </si>
  <si>
    <t>FONDO ACUMULADO EN TODA SU VIDA LABORAL CONSIDERANDO EL RETIRO QUE REALIZÓ EL 2026</t>
  </si>
  <si>
    <t>POR LO TANTO LA VARIACIÓN DE PENSIÓN DE DON CARLOS SI ACCEDE AL RETIRO ES</t>
  </si>
  <si>
    <t>AHORA SE SUMAN AMBOS FONDOS, EL DE LOS 25-46 AÑOS Y EL DE LOS 46-65 AÑOS</t>
  </si>
  <si>
    <t>JUBILACIÓN SI REALIZA EL RETIRO DE $1000000</t>
  </si>
  <si>
    <t>JUBILACIÓN SI NO REALIZA EL RETIRO DE $1000000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</si>
</sst>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9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6" fontId="0" fillId="0" borderId="1" xfId="0" applyNumberFormat="1" applyBorder="1"/>
    <xf numFmtId="8" fontId="0" fillId="0" borderId="1" xfId="0" applyNumberForma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5" xfId="0" applyBorder="1"/>
    <xf numFmtId="6" fontId="0" fillId="0" borderId="6" xfId="0" applyNumberFormat="1" applyBorder="1"/>
    <xf numFmtId="8" fontId="0" fillId="0" borderId="6" xfId="0" applyNumberFormat="1" applyBorder="1"/>
    <xf numFmtId="0" fontId="0" fillId="0" borderId="7" xfId="0" applyBorder="1"/>
    <xf numFmtId="8" fontId="0" fillId="0" borderId="8" xfId="0" applyNumberFormat="1" applyBorder="1"/>
    <xf numFmtId="8" fontId="0" fillId="0" borderId="9" xfId="0" applyNumberFormat="1" applyBorder="1"/>
    <xf numFmtId="0" fontId="0" fillId="2" borderId="5" xfId="0" applyFill="1" applyBorder="1"/>
    <xf numFmtId="8" fontId="0" fillId="2" borderId="1" xfId="0" applyNumberFormat="1" applyFill="1" applyBorder="1"/>
    <xf numFmtId="8" fontId="0" fillId="2" borderId="6" xfId="0" applyNumberFormat="1" applyFill="1" applyBorder="1"/>
    <xf numFmtId="0" fontId="0" fillId="0" borderId="0" xfId="0" applyBorder="1"/>
    <xf numFmtId="8" fontId="0" fillId="0" borderId="0" xfId="0" applyNumberFormat="1" applyBorder="1"/>
    <xf numFmtId="8" fontId="0" fillId="0" borderId="1" xfId="0" applyNumberFormat="1" applyFill="1" applyBorder="1"/>
    <xf numFmtId="9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/>
    <xf numFmtId="6" fontId="0" fillId="5" borderId="1" xfId="0" applyNumberFormat="1" applyFill="1" applyBorder="1"/>
    <xf numFmtId="8" fontId="0" fillId="5" borderId="1" xfId="0" applyNumberFormat="1" applyFill="1" applyBorder="1"/>
    <xf numFmtId="10" fontId="0" fillId="0" borderId="1" xfId="0" applyNumberFormat="1" applyBorder="1"/>
    <xf numFmtId="10" fontId="0" fillId="0" borderId="0" xfId="0" applyNumberFormat="1" applyBorder="1"/>
    <xf numFmtId="0" fontId="0" fillId="0" borderId="0" xfId="0" applyBorder="1" applyAlignment="1"/>
    <xf numFmtId="42" fontId="0" fillId="0" borderId="1" xfId="1" applyFont="1" applyBorder="1"/>
    <xf numFmtId="1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8" fontId="0" fillId="0" borderId="1" xfId="1" applyNumberFormat="1" applyFont="1" applyBorder="1"/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8" fontId="0" fillId="0" borderId="4" xfId="0" applyNumberFormat="1" applyBorder="1"/>
    <xf numFmtId="0" fontId="0" fillId="2" borderId="5" xfId="0" applyFill="1" applyBorder="1" applyAlignment="1">
      <alignment horizontal="center" wrapText="1"/>
    </xf>
    <xf numFmtId="8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8" fontId="0" fillId="2" borderId="9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2" applyNumberFormat="1" applyFont="1" applyBorder="1"/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1B87-001E-402A-B367-B73112914D8F}">
  <dimension ref="A4:O129"/>
  <sheetViews>
    <sheetView tabSelected="1" workbookViewId="0">
      <selection activeCell="G136" sqref="G136"/>
    </sheetView>
  </sheetViews>
  <sheetFormatPr baseColWidth="10" defaultRowHeight="14.4" x14ac:dyDescent="0.3"/>
  <cols>
    <col min="4" max="4" width="14.33203125" bestFit="1" customWidth="1"/>
    <col min="5" max="5" width="15.109375" bestFit="1" customWidth="1"/>
    <col min="6" max="7" width="14.33203125" bestFit="1" customWidth="1"/>
    <col min="9" max="9" width="14.33203125" bestFit="1" customWidth="1"/>
  </cols>
  <sheetData>
    <row r="4" spans="1:15" x14ac:dyDescent="0.3">
      <c r="B4" s="1" t="s">
        <v>0</v>
      </c>
      <c r="C4" s="1"/>
      <c r="D4" s="1"/>
      <c r="E4" s="1"/>
    </row>
    <row r="5" spans="1:15" x14ac:dyDescent="0.3">
      <c r="B5" s="1" t="s">
        <v>1</v>
      </c>
      <c r="C5" s="1"/>
      <c r="D5" s="1"/>
      <c r="E5" s="1"/>
    </row>
    <row r="6" spans="1:15" x14ac:dyDescent="0.3">
      <c r="B6" s="1" t="s">
        <v>2</v>
      </c>
      <c r="C6" s="1"/>
      <c r="D6" s="1"/>
      <c r="E6" s="1"/>
    </row>
    <row r="9" spans="1:15" x14ac:dyDescent="0.3">
      <c r="A9" s="28">
        <v>1</v>
      </c>
      <c r="B9" s="2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1" spans="1:15" x14ac:dyDescent="0.3">
      <c r="A11" s="1" t="s">
        <v>3</v>
      </c>
      <c r="B11" s="1"/>
      <c r="C11" s="1"/>
      <c r="D11" s="7">
        <v>80000000</v>
      </c>
    </row>
    <row r="12" spans="1:15" x14ac:dyDescent="0.3">
      <c r="A12" s="60" t="s">
        <v>4</v>
      </c>
      <c r="B12" s="60"/>
      <c r="C12" s="60"/>
      <c r="D12" s="26">
        <v>0.12</v>
      </c>
    </row>
    <row r="13" spans="1:15" x14ac:dyDescent="0.3">
      <c r="A13" s="1" t="s">
        <v>5</v>
      </c>
      <c r="B13" s="1"/>
      <c r="C13" s="1"/>
      <c r="D13" s="5">
        <v>2</v>
      </c>
    </row>
    <row r="14" spans="1:15" x14ac:dyDescent="0.3">
      <c r="A14" s="1" t="s">
        <v>6</v>
      </c>
      <c r="B14" s="1"/>
      <c r="C14" s="1"/>
      <c r="D14" s="5" t="s">
        <v>7</v>
      </c>
    </row>
    <row r="15" spans="1:15" x14ac:dyDescent="0.3">
      <c r="A15" s="1" t="s">
        <v>14</v>
      </c>
      <c r="B15" s="1"/>
      <c r="C15" s="1"/>
      <c r="D15" s="61">
        <f>POWER(1+(D12/D13),D13) -1</f>
        <v>0.12360000000000015</v>
      </c>
    </row>
    <row r="16" spans="1:15" x14ac:dyDescent="0.3">
      <c r="A16" s="1" t="s">
        <v>12</v>
      </c>
      <c r="B16" s="1"/>
      <c r="C16" s="1"/>
      <c r="D16" s="8">
        <f>-PMT(D15,5,D11)</f>
        <v>22391039.514719259</v>
      </c>
    </row>
    <row r="17" spans="1:9" ht="15" thickBot="1" x14ac:dyDescent="0.35">
      <c r="A17" s="63" t="s">
        <v>8</v>
      </c>
      <c r="B17" s="63"/>
    </row>
    <row r="18" spans="1:9" x14ac:dyDescent="0.3">
      <c r="C18" s="9" t="s">
        <v>9</v>
      </c>
      <c r="D18" s="10"/>
      <c r="E18" s="10"/>
      <c r="F18" s="10"/>
      <c r="G18" s="11"/>
    </row>
    <row r="19" spans="1:9" x14ac:dyDescent="0.3">
      <c r="C19" s="12"/>
      <c r="D19" s="4"/>
      <c r="E19" s="4"/>
      <c r="F19" s="4"/>
      <c r="G19" s="13" t="s">
        <v>15</v>
      </c>
    </row>
    <row r="20" spans="1:9" x14ac:dyDescent="0.3">
      <c r="C20" s="14" t="s">
        <v>10</v>
      </c>
      <c r="D20" s="5" t="s">
        <v>11</v>
      </c>
      <c r="E20" s="5" t="s">
        <v>12</v>
      </c>
      <c r="F20" s="6" t="s">
        <v>13</v>
      </c>
      <c r="G20" s="15">
        <f>D11</f>
        <v>80000000</v>
      </c>
    </row>
    <row r="21" spans="1:9" x14ac:dyDescent="0.3">
      <c r="C21" s="14">
        <v>1</v>
      </c>
      <c r="D21" s="8">
        <f>G20*$D$15</f>
        <v>9888000.000000013</v>
      </c>
      <c r="E21" s="8">
        <f>$D$16</f>
        <v>22391039.514719259</v>
      </c>
      <c r="F21" s="8">
        <f>E21-D21</f>
        <v>12503039.514719246</v>
      </c>
      <c r="G21" s="16">
        <f>G20-F21</f>
        <v>67496960.485280752</v>
      </c>
    </row>
    <row r="22" spans="1:9" x14ac:dyDescent="0.3">
      <c r="C22" s="14">
        <v>2</v>
      </c>
      <c r="D22" s="8">
        <f t="shared" ref="D22:D24" si="0">G21*$D$15</f>
        <v>8342624.315980711</v>
      </c>
      <c r="E22" s="8">
        <f t="shared" ref="E22:E25" si="1">$D$16</f>
        <v>22391039.514719259</v>
      </c>
      <c r="F22" s="8">
        <f t="shared" ref="F22:F24" si="2">E22-D22</f>
        <v>14048415.198738549</v>
      </c>
      <c r="G22" s="16">
        <f t="shared" ref="G22:G24" si="3">G21-F22</f>
        <v>53448545.286542207</v>
      </c>
    </row>
    <row r="23" spans="1:9" x14ac:dyDescent="0.3">
      <c r="C23" s="20">
        <v>3</v>
      </c>
      <c r="D23" s="21">
        <f t="shared" si="0"/>
        <v>6606240.197416625</v>
      </c>
      <c r="E23" s="21">
        <f t="shared" si="1"/>
        <v>22391039.514719259</v>
      </c>
      <c r="F23" s="21">
        <f t="shared" si="2"/>
        <v>15784799.317302633</v>
      </c>
      <c r="G23" s="22">
        <f t="shared" si="3"/>
        <v>37663745.969239578</v>
      </c>
    </row>
    <row r="24" spans="1:9" x14ac:dyDescent="0.3">
      <c r="C24" s="14">
        <v>4</v>
      </c>
      <c r="D24" s="8">
        <f t="shared" si="0"/>
        <v>4655239.0017980179</v>
      </c>
      <c r="E24" s="8">
        <f t="shared" si="1"/>
        <v>22391039.514719259</v>
      </c>
      <c r="F24" s="8">
        <f t="shared" si="2"/>
        <v>17735800.51292124</v>
      </c>
      <c r="G24" s="16">
        <f t="shared" si="3"/>
        <v>19927945.456318337</v>
      </c>
    </row>
    <row r="25" spans="1:9" ht="15" thickBot="1" x14ac:dyDescent="0.35">
      <c r="C25" s="17">
        <v>5</v>
      </c>
      <c r="D25" s="18">
        <f t="shared" ref="D25" si="4">G24*$D$15</f>
        <v>2463094.0584009495</v>
      </c>
      <c r="E25" s="18">
        <f t="shared" si="1"/>
        <v>22391039.514719259</v>
      </c>
      <c r="F25" s="18">
        <f t="shared" ref="F25" si="5">E25-D25</f>
        <v>19927945.456318311</v>
      </c>
      <c r="G25" s="19">
        <f t="shared" ref="G25" si="6">G24-F25</f>
        <v>0</v>
      </c>
    </row>
    <row r="27" spans="1:9" x14ac:dyDescent="0.3">
      <c r="A27" s="62" t="s">
        <v>16</v>
      </c>
      <c r="B27" s="62"/>
    </row>
    <row r="28" spans="1:9" x14ac:dyDescent="0.3">
      <c r="C28" s="5" t="s">
        <v>17</v>
      </c>
      <c r="D28" s="5"/>
      <c r="E28" s="5"/>
    </row>
    <row r="29" spans="1:9" x14ac:dyDescent="0.3">
      <c r="C29" s="1" t="s">
        <v>18</v>
      </c>
      <c r="D29" s="1"/>
      <c r="E29" s="26">
        <v>0.05</v>
      </c>
      <c r="G29" s="1" t="s">
        <v>21</v>
      </c>
      <c r="H29" s="1"/>
      <c r="I29" s="5">
        <v>1</v>
      </c>
    </row>
    <row r="30" spans="1:9" x14ac:dyDescent="0.3">
      <c r="C30" s="1" t="s">
        <v>19</v>
      </c>
      <c r="D30" s="1"/>
      <c r="E30" s="5">
        <v>4</v>
      </c>
      <c r="G30" s="5" t="s">
        <v>23</v>
      </c>
      <c r="H30" s="5"/>
      <c r="I30" s="26">
        <v>0.01</v>
      </c>
    </row>
    <row r="31" spans="1:9" x14ac:dyDescent="0.3">
      <c r="G31" s="1" t="s">
        <v>25</v>
      </c>
      <c r="H31" s="1"/>
      <c r="I31" s="8">
        <f>-FV(I30,I29,,G23)</f>
        <v>38040383.428931974</v>
      </c>
    </row>
    <row r="32" spans="1:9" x14ac:dyDescent="0.3">
      <c r="G32" s="1" t="s">
        <v>22</v>
      </c>
      <c r="H32" s="1"/>
      <c r="I32" s="8">
        <f>I31-G23</f>
        <v>376637.45969239622</v>
      </c>
    </row>
    <row r="33" spans="1:7" x14ac:dyDescent="0.3">
      <c r="C33" s="1" t="s">
        <v>24</v>
      </c>
      <c r="D33" s="1"/>
      <c r="E33" s="1"/>
      <c r="F33" s="8">
        <f>I31</f>
        <v>38040383.428931974</v>
      </c>
    </row>
    <row r="34" spans="1:7" x14ac:dyDescent="0.3">
      <c r="C34" s="1" t="s">
        <v>12</v>
      </c>
      <c r="D34" s="1"/>
      <c r="E34" s="1"/>
      <c r="F34" s="8">
        <f>-PMT(E29,E30,F33)</f>
        <v>10727838.243731502</v>
      </c>
    </row>
    <row r="36" spans="1:7" x14ac:dyDescent="0.3">
      <c r="C36" s="30" t="s">
        <v>20</v>
      </c>
      <c r="D36" s="30"/>
      <c r="E36" s="30"/>
      <c r="F36" s="30"/>
      <c r="G36" s="31" t="s">
        <v>15</v>
      </c>
    </row>
    <row r="37" spans="1:7" x14ac:dyDescent="0.3">
      <c r="C37" s="30"/>
      <c r="D37" s="30"/>
      <c r="E37" s="30"/>
      <c r="F37" s="30"/>
      <c r="G37" s="32"/>
    </row>
    <row r="38" spans="1:7" x14ac:dyDescent="0.3">
      <c r="C38" s="33" t="s">
        <v>10</v>
      </c>
      <c r="D38" s="33" t="s">
        <v>11</v>
      </c>
      <c r="E38" s="33" t="s">
        <v>12</v>
      </c>
      <c r="F38" s="34" t="s">
        <v>13</v>
      </c>
      <c r="G38" s="35">
        <f>F33</f>
        <v>38040383.428931974</v>
      </c>
    </row>
    <row r="39" spans="1:7" x14ac:dyDescent="0.3">
      <c r="C39" s="33">
        <v>1</v>
      </c>
      <c r="D39" s="36">
        <f>G38*$E$29</f>
        <v>1902019.1714465988</v>
      </c>
      <c r="E39" s="36">
        <f>$F$34</f>
        <v>10727838.243731502</v>
      </c>
      <c r="F39" s="36">
        <f>E39-D39</f>
        <v>8825819.0722849034</v>
      </c>
      <c r="G39" s="36">
        <f>G38-F39</f>
        <v>29214564.35664707</v>
      </c>
    </row>
    <row r="40" spans="1:7" x14ac:dyDescent="0.3">
      <c r="C40" s="33">
        <v>2</v>
      </c>
      <c r="D40" s="36">
        <f t="shared" ref="D40:D42" si="7">G39*$E$29</f>
        <v>1460728.2178323537</v>
      </c>
      <c r="E40" s="36">
        <f t="shared" ref="E40:E42" si="8">$F$34</f>
        <v>10727838.243731502</v>
      </c>
      <c r="F40" s="36">
        <f t="shared" ref="F40:F42" si="9">E40-D40</f>
        <v>9267110.0258991495</v>
      </c>
      <c r="G40" s="36">
        <f t="shared" ref="G40:G42" si="10">G39-F40</f>
        <v>19947454.330747921</v>
      </c>
    </row>
    <row r="41" spans="1:7" x14ac:dyDescent="0.3">
      <c r="C41" s="33">
        <v>3</v>
      </c>
      <c r="D41" s="36">
        <f t="shared" si="7"/>
        <v>997372.71653739607</v>
      </c>
      <c r="E41" s="36">
        <f t="shared" si="8"/>
        <v>10727838.243731502</v>
      </c>
      <c r="F41" s="36">
        <f t="shared" si="9"/>
        <v>9730465.527194107</v>
      </c>
      <c r="G41" s="36">
        <f t="shared" si="10"/>
        <v>10216988.803553814</v>
      </c>
    </row>
    <row r="42" spans="1:7" x14ac:dyDescent="0.3">
      <c r="C42" s="33">
        <v>4</v>
      </c>
      <c r="D42" s="36">
        <f t="shared" si="7"/>
        <v>510849.4401776907</v>
      </c>
      <c r="E42" s="36">
        <f t="shared" si="8"/>
        <v>10727838.243731502</v>
      </c>
      <c r="F42" s="36">
        <f t="shared" si="9"/>
        <v>10216988.803553812</v>
      </c>
      <c r="G42" s="36">
        <f t="shared" si="10"/>
        <v>0</v>
      </c>
    </row>
    <row r="43" spans="1:7" x14ac:dyDescent="0.3">
      <c r="C43" s="23"/>
      <c r="D43" s="24"/>
      <c r="E43" s="24"/>
      <c r="F43" s="24"/>
      <c r="G43" s="24"/>
    </row>
    <row r="44" spans="1:7" x14ac:dyDescent="0.3">
      <c r="A44" s="62" t="s">
        <v>26</v>
      </c>
      <c r="B44" s="62"/>
    </row>
    <row r="45" spans="1:7" x14ac:dyDescent="0.3">
      <c r="C45" t="s">
        <v>30</v>
      </c>
      <c r="F45" s="3">
        <v>0.03</v>
      </c>
    </row>
    <row r="46" spans="1:7" x14ac:dyDescent="0.3">
      <c r="C46" s="5" t="s">
        <v>27</v>
      </c>
      <c r="D46" s="6" t="s">
        <v>28</v>
      </c>
      <c r="E46" s="5" t="s">
        <v>29</v>
      </c>
    </row>
    <row r="47" spans="1:7" x14ac:dyDescent="0.3">
      <c r="C47" s="5">
        <v>1</v>
      </c>
      <c r="D47" s="8">
        <f>$D$16</f>
        <v>22391039.514719259</v>
      </c>
      <c r="E47" s="8">
        <f>-PV($F$45,C47,,D47)</f>
        <v>21738873.315261416</v>
      </c>
    </row>
    <row r="48" spans="1:7" x14ac:dyDescent="0.3">
      <c r="C48" s="5">
        <v>2</v>
      </c>
      <c r="D48" s="8">
        <f t="shared" ref="D48:D49" si="11">$D$16</f>
        <v>22391039.514719259</v>
      </c>
      <c r="E48" s="8">
        <f>-PV($F$45,C48,,D48)</f>
        <v>21105702.247826617</v>
      </c>
    </row>
    <row r="49" spans="1:15" x14ac:dyDescent="0.3">
      <c r="C49" s="5">
        <v>3</v>
      </c>
      <c r="D49" s="8">
        <f t="shared" si="11"/>
        <v>22391039.514719259</v>
      </c>
      <c r="E49" s="8">
        <f>-PV($F$45,C49,,D49)</f>
        <v>20490973.056142349</v>
      </c>
    </row>
    <row r="50" spans="1:15" x14ac:dyDescent="0.3">
      <c r="C50" s="5">
        <v>4</v>
      </c>
      <c r="D50" s="8">
        <f>$F$34</f>
        <v>10727838.243731502</v>
      </c>
      <c r="E50" s="8">
        <f>-PV($F$45,C50,,D50)</f>
        <v>9531545.331690032</v>
      </c>
    </row>
    <row r="51" spans="1:15" x14ac:dyDescent="0.3">
      <c r="C51" s="5">
        <v>5</v>
      </c>
      <c r="D51" s="8">
        <f t="shared" ref="D51:D53" si="12">$F$34</f>
        <v>10727838.243731502</v>
      </c>
      <c r="E51" s="8">
        <f>-PV($F$45,C51,,D51)</f>
        <v>9253927.5064951777</v>
      </c>
    </row>
    <row r="52" spans="1:15" x14ac:dyDescent="0.3">
      <c r="C52" s="5">
        <v>6</v>
      </c>
      <c r="D52" s="8">
        <f t="shared" si="12"/>
        <v>10727838.243731502</v>
      </c>
      <c r="E52" s="8">
        <f>-PV($F$45,C52,,D52)</f>
        <v>8984395.6373739578</v>
      </c>
    </row>
    <row r="53" spans="1:15" x14ac:dyDescent="0.3">
      <c r="C53" s="5">
        <v>7</v>
      </c>
      <c r="D53" s="8">
        <f t="shared" si="12"/>
        <v>10727838.243731502</v>
      </c>
      <c r="E53" s="8">
        <f>-PV($F$45,C53,,D53)</f>
        <v>8722714.211042678</v>
      </c>
    </row>
    <row r="55" spans="1:15" x14ac:dyDescent="0.3">
      <c r="B55" s="29" t="s">
        <v>31</v>
      </c>
      <c r="C55" s="29"/>
      <c r="D55" s="29"/>
      <c r="E55" s="21">
        <f>SUM(E47:E53)</f>
        <v>99828131.305832207</v>
      </c>
    </row>
    <row r="58" spans="1:15" x14ac:dyDescent="0.3">
      <c r="A58" s="28">
        <v>2</v>
      </c>
      <c r="B58" s="2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60" spans="1:15" x14ac:dyDescent="0.3">
      <c r="A60" s="62" t="s">
        <v>8</v>
      </c>
      <c r="B60" s="64"/>
      <c r="C60" s="41" t="s">
        <v>32</v>
      </c>
      <c r="D60" s="41"/>
      <c r="E60" s="41"/>
      <c r="G60" s="41" t="s">
        <v>36</v>
      </c>
      <c r="H60" s="41"/>
      <c r="I60" s="41"/>
    </row>
    <row r="61" spans="1:15" x14ac:dyDescent="0.3">
      <c r="C61" s="1" t="s">
        <v>35</v>
      </c>
      <c r="D61" s="1"/>
      <c r="E61" s="7">
        <v>1000000</v>
      </c>
      <c r="G61" s="1" t="s">
        <v>35</v>
      </c>
      <c r="H61" s="1"/>
      <c r="I61" s="7">
        <f>1.3*E61</f>
        <v>1300000</v>
      </c>
    </row>
    <row r="62" spans="1:15" x14ac:dyDescent="0.3">
      <c r="C62" s="1" t="s">
        <v>33</v>
      </c>
      <c r="D62" s="1"/>
      <c r="E62" s="5">
        <f>45-25</f>
        <v>20</v>
      </c>
      <c r="G62" s="1" t="s">
        <v>33</v>
      </c>
      <c r="H62" s="1"/>
      <c r="I62" s="5">
        <f>65-45</f>
        <v>20</v>
      </c>
    </row>
    <row r="63" spans="1:15" x14ac:dyDescent="0.3">
      <c r="C63" s="1" t="s">
        <v>34</v>
      </c>
      <c r="D63" s="1"/>
      <c r="E63" s="5">
        <f>E62*12</f>
        <v>240</v>
      </c>
      <c r="G63" s="1" t="s">
        <v>34</v>
      </c>
      <c r="H63" s="1"/>
      <c r="I63" s="5">
        <f>I62*12</f>
        <v>240</v>
      </c>
    </row>
    <row r="64" spans="1:15" x14ac:dyDescent="0.3">
      <c r="C64" s="1" t="s">
        <v>37</v>
      </c>
      <c r="D64" s="1"/>
      <c r="E64" s="7">
        <f>E61*13%</f>
        <v>130000</v>
      </c>
      <c r="G64" s="1" t="s">
        <v>37</v>
      </c>
      <c r="H64" s="1"/>
      <c r="I64" s="7">
        <f>I61*13%</f>
        <v>169000</v>
      </c>
    </row>
    <row r="65" spans="1:11" x14ac:dyDescent="0.3">
      <c r="C65" s="1" t="s">
        <v>38</v>
      </c>
      <c r="D65" s="1"/>
      <c r="E65" s="7">
        <f>E61*7%</f>
        <v>70000</v>
      </c>
      <c r="G65" s="1" t="s">
        <v>38</v>
      </c>
      <c r="H65" s="1"/>
      <c r="I65" s="7">
        <f>I61*7%</f>
        <v>91000.000000000015</v>
      </c>
    </row>
    <row r="66" spans="1:11" x14ac:dyDescent="0.3">
      <c r="C66" s="1" t="s">
        <v>39</v>
      </c>
      <c r="D66" s="1"/>
      <c r="E66" s="7">
        <f>E61-E64-E65</f>
        <v>800000</v>
      </c>
      <c r="G66" s="1" t="s">
        <v>39</v>
      </c>
      <c r="H66" s="1"/>
      <c r="I66" s="7">
        <f>I61-I64-I65</f>
        <v>1040000</v>
      </c>
    </row>
    <row r="67" spans="1:11" x14ac:dyDescent="0.3">
      <c r="C67" s="1" t="s">
        <v>40</v>
      </c>
      <c r="D67" s="1"/>
      <c r="E67" s="7">
        <f>E66*10%</f>
        <v>80000</v>
      </c>
      <c r="G67" s="1" t="s">
        <v>40</v>
      </c>
      <c r="H67" s="1"/>
      <c r="I67" s="7">
        <f>I66*10%</f>
        <v>104000</v>
      </c>
    </row>
    <row r="68" spans="1:11" x14ac:dyDescent="0.3">
      <c r="C68" s="1" t="s">
        <v>41</v>
      </c>
      <c r="D68" s="1"/>
      <c r="E68" s="7">
        <f>E66-E67</f>
        <v>720000</v>
      </c>
      <c r="G68" s="1" t="s">
        <v>41</v>
      </c>
      <c r="H68" s="1"/>
      <c r="I68" s="7">
        <f>I66-I67</f>
        <v>936000</v>
      </c>
    </row>
    <row r="71" spans="1:11" x14ac:dyDescent="0.3">
      <c r="C71" s="1" t="s">
        <v>42</v>
      </c>
      <c r="D71" s="1"/>
      <c r="E71" s="1"/>
      <c r="H71" s="39"/>
      <c r="I71" s="39"/>
      <c r="J71" s="39"/>
      <c r="K71" s="38"/>
    </row>
    <row r="72" spans="1:11" x14ac:dyDescent="0.3">
      <c r="C72" s="1" t="s">
        <v>43</v>
      </c>
      <c r="D72" s="1"/>
      <c r="E72" s="5">
        <f>85-65</f>
        <v>20</v>
      </c>
      <c r="H72" s="39"/>
      <c r="I72" s="39"/>
      <c r="J72" s="39"/>
      <c r="K72" s="24"/>
    </row>
    <row r="73" spans="1:11" x14ac:dyDescent="0.3">
      <c r="C73" s="1" t="s">
        <v>44</v>
      </c>
      <c r="D73" s="1"/>
      <c r="E73" s="5">
        <f>12*E72</f>
        <v>240</v>
      </c>
      <c r="H73" s="39"/>
      <c r="I73" s="39"/>
      <c r="J73" s="39"/>
      <c r="K73" s="24"/>
    </row>
    <row r="74" spans="1:11" x14ac:dyDescent="0.3">
      <c r="C74" s="1" t="s">
        <v>45</v>
      </c>
      <c r="D74" s="1"/>
      <c r="E74" s="37">
        <v>1.5E-3</v>
      </c>
    </row>
    <row r="75" spans="1:11" x14ac:dyDescent="0.3">
      <c r="C75" s="1" t="s">
        <v>46</v>
      </c>
      <c r="D75" s="1"/>
      <c r="E75" s="40">
        <f>-FV(E74,E63,E64)-FV(E74,I63,I64)</f>
        <v>86299942.294132948</v>
      </c>
    </row>
    <row r="76" spans="1:11" x14ac:dyDescent="0.3">
      <c r="C76" s="29" t="s">
        <v>47</v>
      </c>
      <c r="D76" s="29"/>
      <c r="E76" s="21">
        <f>PMT(E74,E73,-E75)</f>
        <v>428449.91344123014</v>
      </c>
    </row>
    <row r="78" spans="1:11" ht="15" thickBot="1" x14ac:dyDescent="0.35">
      <c r="A78" s="62" t="s">
        <v>16</v>
      </c>
      <c r="B78" s="62"/>
      <c r="C78" t="s">
        <v>53</v>
      </c>
    </row>
    <row r="79" spans="1:11" ht="15" thickBot="1" x14ac:dyDescent="0.35">
      <c r="C79" s="48" t="s">
        <v>52</v>
      </c>
      <c r="D79" s="49"/>
      <c r="E79" s="49"/>
      <c r="F79" s="49"/>
      <c r="G79" s="49"/>
      <c r="H79" s="49"/>
      <c r="I79" s="50"/>
    </row>
    <row r="80" spans="1:11" x14ac:dyDescent="0.3">
      <c r="C80" s="43" t="s">
        <v>32</v>
      </c>
      <c r="D80" s="43"/>
      <c r="E80" s="43"/>
      <c r="G80" s="43" t="s">
        <v>49</v>
      </c>
      <c r="H80" s="43"/>
      <c r="I80" s="43"/>
    </row>
    <row r="81" spans="3:9" x14ac:dyDescent="0.3">
      <c r="C81" s="1" t="s">
        <v>35</v>
      </c>
      <c r="D81" s="1"/>
      <c r="E81" s="7">
        <v>1000000</v>
      </c>
      <c r="G81" s="1" t="s">
        <v>35</v>
      </c>
      <c r="H81" s="1"/>
      <c r="I81" s="7">
        <f>1.3*E81</f>
        <v>1300000</v>
      </c>
    </row>
    <row r="82" spans="3:9" x14ac:dyDescent="0.3">
      <c r="C82" s="1" t="s">
        <v>33</v>
      </c>
      <c r="D82" s="1"/>
      <c r="E82" s="5">
        <f>45-25</f>
        <v>20</v>
      </c>
      <c r="G82" s="1" t="s">
        <v>33</v>
      </c>
      <c r="H82" s="1"/>
      <c r="I82" s="5">
        <f>46-45</f>
        <v>1</v>
      </c>
    </row>
    <row r="83" spans="3:9" x14ac:dyDescent="0.3">
      <c r="C83" s="1" t="s">
        <v>34</v>
      </c>
      <c r="D83" s="1"/>
      <c r="E83" s="5">
        <f>E82*12</f>
        <v>240</v>
      </c>
      <c r="G83" s="1" t="s">
        <v>34</v>
      </c>
      <c r="H83" s="1"/>
      <c r="I83" s="5">
        <f>I82*12</f>
        <v>12</v>
      </c>
    </row>
    <row r="84" spans="3:9" x14ac:dyDescent="0.3">
      <c r="C84" s="1" t="s">
        <v>37</v>
      </c>
      <c r="D84" s="1"/>
      <c r="E84" s="7">
        <f>E81*13%</f>
        <v>130000</v>
      </c>
      <c r="G84" s="1" t="s">
        <v>37</v>
      </c>
      <c r="H84" s="1"/>
      <c r="I84" s="7">
        <f>I81*13%</f>
        <v>169000</v>
      </c>
    </row>
    <row r="85" spans="3:9" x14ac:dyDescent="0.3">
      <c r="C85" s="1" t="s">
        <v>38</v>
      </c>
      <c r="D85" s="1"/>
      <c r="E85" s="7">
        <f>E81*7%</f>
        <v>70000</v>
      </c>
      <c r="G85" s="1" t="s">
        <v>38</v>
      </c>
      <c r="H85" s="1"/>
      <c r="I85" s="7">
        <f>I81*7%</f>
        <v>91000.000000000015</v>
      </c>
    </row>
    <row r="86" spans="3:9" x14ac:dyDescent="0.3">
      <c r="C86" s="1" t="s">
        <v>39</v>
      </c>
      <c r="D86" s="1"/>
      <c r="E86" s="7">
        <f>E81-E84-E85</f>
        <v>800000</v>
      </c>
      <c r="G86" s="1" t="s">
        <v>39</v>
      </c>
      <c r="H86" s="1"/>
      <c r="I86" s="7">
        <f>I81-I84-I85</f>
        <v>1040000</v>
      </c>
    </row>
    <row r="87" spans="3:9" x14ac:dyDescent="0.3">
      <c r="C87" s="1" t="s">
        <v>40</v>
      </c>
      <c r="D87" s="1"/>
      <c r="E87" s="7">
        <f>E86*10%</f>
        <v>80000</v>
      </c>
      <c r="G87" s="1" t="s">
        <v>40</v>
      </c>
      <c r="H87" s="1"/>
      <c r="I87" s="7">
        <f>I86*10%</f>
        <v>104000</v>
      </c>
    </row>
    <row r="88" spans="3:9" x14ac:dyDescent="0.3">
      <c r="C88" s="1" t="s">
        <v>41</v>
      </c>
      <c r="D88" s="1"/>
      <c r="E88" s="7">
        <f>E86-E87</f>
        <v>720000</v>
      </c>
      <c r="G88" s="1" t="s">
        <v>41</v>
      </c>
      <c r="H88" s="1"/>
      <c r="I88" s="7">
        <f>I86-I87</f>
        <v>936000</v>
      </c>
    </row>
    <row r="90" spans="3:9" x14ac:dyDescent="0.3">
      <c r="E90" s="1" t="s">
        <v>45</v>
      </c>
      <c r="F90" s="1"/>
      <c r="G90" s="37">
        <v>1.5E-3</v>
      </c>
    </row>
    <row r="91" spans="3:9" x14ac:dyDescent="0.3">
      <c r="E91" s="1" t="s">
        <v>46</v>
      </c>
      <c r="F91" s="1"/>
      <c r="G91" s="40">
        <f>-FV(G90,E83,E84)-FV(G90,I83,I84)</f>
        <v>39566528.978941955</v>
      </c>
    </row>
    <row r="92" spans="3:9" x14ac:dyDescent="0.3">
      <c r="E92" s="27" t="s">
        <v>48</v>
      </c>
      <c r="F92" s="27"/>
      <c r="G92" s="25">
        <v>1000000</v>
      </c>
    </row>
    <row r="93" spans="3:9" x14ac:dyDescent="0.3">
      <c r="E93" s="4" t="s">
        <v>51</v>
      </c>
      <c r="F93" s="4"/>
      <c r="G93" s="42">
        <f>G91-G92</f>
        <v>38566528.978941955</v>
      </c>
    </row>
    <row r="94" spans="3:9" x14ac:dyDescent="0.3">
      <c r="E94" s="4"/>
      <c r="F94" s="4"/>
      <c r="G94" s="42"/>
    </row>
    <row r="95" spans="3:9" x14ac:dyDescent="0.3">
      <c r="E95" s="4"/>
      <c r="F95" s="4"/>
      <c r="G95" s="42"/>
    </row>
    <row r="97" spans="3:6" ht="14.4" customHeight="1" x14ac:dyDescent="0.3"/>
    <row r="98" spans="3:6" x14ac:dyDescent="0.3">
      <c r="C98" s="1" t="s">
        <v>50</v>
      </c>
      <c r="D98" s="1"/>
      <c r="E98" s="1"/>
      <c r="F98" s="1"/>
    </row>
    <row r="100" spans="3:6" x14ac:dyDescent="0.3">
      <c r="C100" s="1" t="s">
        <v>35</v>
      </c>
      <c r="D100" s="1"/>
      <c r="E100" s="7">
        <v>1300000</v>
      </c>
    </row>
    <row r="101" spans="3:6" x14ac:dyDescent="0.3">
      <c r="C101" s="1" t="s">
        <v>33</v>
      </c>
      <c r="D101" s="1"/>
      <c r="E101" s="5">
        <f>65-46</f>
        <v>19</v>
      </c>
    </row>
    <row r="102" spans="3:6" x14ac:dyDescent="0.3">
      <c r="C102" s="1" t="s">
        <v>34</v>
      </c>
      <c r="D102" s="1"/>
      <c r="E102" s="5">
        <f>E101*12</f>
        <v>228</v>
      </c>
    </row>
    <row r="103" spans="3:6" x14ac:dyDescent="0.3">
      <c r="C103" s="1" t="s">
        <v>37</v>
      </c>
      <c r="D103" s="1"/>
      <c r="E103" s="7">
        <f>E100*13%</f>
        <v>169000</v>
      </c>
    </row>
    <row r="104" spans="3:6" x14ac:dyDescent="0.3">
      <c r="C104" s="1" t="s">
        <v>38</v>
      </c>
      <c r="D104" s="1"/>
      <c r="E104" s="7">
        <f>E100*7%</f>
        <v>91000.000000000015</v>
      </c>
    </row>
    <row r="105" spans="3:6" x14ac:dyDescent="0.3">
      <c r="C105" s="1" t="s">
        <v>39</v>
      </c>
      <c r="D105" s="1"/>
      <c r="E105" s="7">
        <f>E100-E103-E104</f>
        <v>1040000</v>
      </c>
    </row>
    <row r="106" spans="3:6" x14ac:dyDescent="0.3">
      <c r="C106" s="1" t="s">
        <v>40</v>
      </c>
      <c r="D106" s="1"/>
      <c r="E106" s="7">
        <f>E105*10%</f>
        <v>104000</v>
      </c>
    </row>
    <row r="107" spans="3:6" x14ac:dyDescent="0.3">
      <c r="C107" s="1" t="s">
        <v>41</v>
      </c>
      <c r="D107" s="1"/>
      <c r="E107" s="7">
        <f>E105-E106</f>
        <v>936000</v>
      </c>
    </row>
    <row r="109" spans="3:6" x14ac:dyDescent="0.3">
      <c r="C109" s="1" t="s">
        <v>45</v>
      </c>
      <c r="D109" s="1"/>
      <c r="E109" s="37">
        <v>1.5E-3</v>
      </c>
    </row>
    <row r="110" spans="3:6" x14ac:dyDescent="0.3">
      <c r="C110" s="1" t="s">
        <v>46</v>
      </c>
      <c r="D110" s="1"/>
      <c r="E110" s="44">
        <f>-FV(E109,E102,E103)</f>
        <v>45900356.498954922</v>
      </c>
    </row>
    <row r="113" spans="3:6" x14ac:dyDescent="0.3">
      <c r="C113" t="s">
        <v>56</v>
      </c>
    </row>
    <row r="115" spans="3:6" x14ac:dyDescent="0.3">
      <c r="C115" s="45" t="s">
        <v>54</v>
      </c>
      <c r="D115" s="45"/>
      <c r="E115" s="45"/>
      <c r="F115" s="46">
        <f>G93+E110</f>
        <v>84466885.477896869</v>
      </c>
    </row>
    <row r="116" spans="3:6" x14ac:dyDescent="0.3">
      <c r="C116" s="45"/>
      <c r="D116" s="45"/>
      <c r="E116" s="45"/>
      <c r="F116" s="47"/>
    </row>
    <row r="117" spans="3:6" x14ac:dyDescent="0.3">
      <c r="C117" s="45"/>
      <c r="D117" s="45"/>
      <c r="E117" s="45"/>
      <c r="F117" s="47"/>
    </row>
    <row r="118" spans="3:6" x14ac:dyDescent="0.3">
      <c r="C118" s="1" t="s">
        <v>42</v>
      </c>
      <c r="D118" s="1"/>
      <c r="E118" s="1"/>
    </row>
    <row r="119" spans="3:6" x14ac:dyDescent="0.3">
      <c r="C119" s="1" t="s">
        <v>43</v>
      </c>
      <c r="D119" s="1"/>
      <c r="E119" s="5">
        <f>85-65</f>
        <v>20</v>
      </c>
    </row>
    <row r="120" spans="3:6" x14ac:dyDescent="0.3">
      <c r="C120" s="1" t="s">
        <v>44</v>
      </c>
      <c r="D120" s="1"/>
      <c r="E120" s="5">
        <f>12*E119</f>
        <v>240</v>
      </c>
    </row>
    <row r="121" spans="3:6" x14ac:dyDescent="0.3">
      <c r="C121" s="1" t="s">
        <v>45</v>
      </c>
      <c r="D121" s="1"/>
      <c r="E121" s="37">
        <v>1.5E-3</v>
      </c>
    </row>
    <row r="122" spans="3:6" x14ac:dyDescent="0.3">
      <c r="C122" s="1" t="s">
        <v>46</v>
      </c>
      <c r="D122" s="1"/>
      <c r="E122" s="40">
        <f>F115</f>
        <v>84466885.477896869</v>
      </c>
    </row>
    <row r="123" spans="3:6" x14ac:dyDescent="0.3">
      <c r="C123" s="29" t="s">
        <v>47</v>
      </c>
      <c r="D123" s="29"/>
      <c r="E123" s="21">
        <f>PMT(E121,E120,-E122)</f>
        <v>419349.40869729361</v>
      </c>
    </row>
    <row r="124" spans="3:6" ht="15" thickBot="1" x14ac:dyDescent="0.35"/>
    <row r="125" spans="3:6" x14ac:dyDescent="0.3">
      <c r="C125" s="52" t="s">
        <v>58</v>
      </c>
      <c r="D125" s="53"/>
      <c r="E125" s="53"/>
      <c r="F125" s="54">
        <f>E76</f>
        <v>428449.91344123014</v>
      </c>
    </row>
    <row r="126" spans="3:6" x14ac:dyDescent="0.3">
      <c r="C126" s="14" t="s">
        <v>57</v>
      </c>
      <c r="D126" s="5"/>
      <c r="E126" s="5"/>
      <c r="F126" s="16">
        <f>E123</f>
        <v>419349.40869729361</v>
      </c>
    </row>
    <row r="127" spans="3:6" x14ac:dyDescent="0.3">
      <c r="C127" s="55" t="s">
        <v>55</v>
      </c>
      <c r="D127" s="51"/>
      <c r="E127" s="51"/>
      <c r="F127" s="56">
        <f>E123-E76</f>
        <v>-9100.5047439365298</v>
      </c>
    </row>
    <row r="128" spans="3:6" x14ac:dyDescent="0.3">
      <c r="C128" s="55"/>
      <c r="D128" s="51"/>
      <c r="E128" s="51"/>
      <c r="F128" s="56"/>
    </row>
    <row r="129" spans="3:6" ht="15" thickBot="1" x14ac:dyDescent="0.35">
      <c r="C129" s="57"/>
      <c r="D129" s="58"/>
      <c r="E129" s="58"/>
      <c r="F129" s="59"/>
    </row>
  </sheetData>
  <mergeCells count="96">
    <mergeCell ref="A78:B78"/>
    <mergeCell ref="C123:D123"/>
    <mergeCell ref="C79:I79"/>
    <mergeCell ref="C127:E129"/>
    <mergeCell ref="F127:F129"/>
    <mergeCell ref="A17:B17"/>
    <mergeCell ref="A27:B27"/>
    <mergeCell ref="A44:B44"/>
    <mergeCell ref="A60:B60"/>
    <mergeCell ref="A58:B58"/>
    <mergeCell ref="C118:E118"/>
    <mergeCell ref="C119:D119"/>
    <mergeCell ref="C120:D120"/>
    <mergeCell ref="C121:D121"/>
    <mergeCell ref="C122:D122"/>
    <mergeCell ref="C109:D109"/>
    <mergeCell ref="C110:D110"/>
    <mergeCell ref="C115:E117"/>
    <mergeCell ref="F115:F117"/>
    <mergeCell ref="C104:D104"/>
    <mergeCell ref="C105:D105"/>
    <mergeCell ref="C106:D106"/>
    <mergeCell ref="C107:D107"/>
    <mergeCell ref="C98:F98"/>
    <mergeCell ref="C100:D100"/>
    <mergeCell ref="C101:D101"/>
    <mergeCell ref="C102:D102"/>
    <mergeCell ref="C103:D103"/>
    <mergeCell ref="G85:H85"/>
    <mergeCell ref="G86:H86"/>
    <mergeCell ref="G87:H87"/>
    <mergeCell ref="G88:H88"/>
    <mergeCell ref="E93:F95"/>
    <mergeCell ref="G93:G95"/>
    <mergeCell ref="E90:F90"/>
    <mergeCell ref="E91:F91"/>
    <mergeCell ref="E92:F92"/>
    <mergeCell ref="G80:I80"/>
    <mergeCell ref="G81:H81"/>
    <mergeCell ref="G82:H82"/>
    <mergeCell ref="G83:H83"/>
    <mergeCell ref="G84:H84"/>
    <mergeCell ref="C84:D84"/>
    <mergeCell ref="C85:D85"/>
    <mergeCell ref="C86:D86"/>
    <mergeCell ref="C87:D87"/>
    <mergeCell ref="C88:D88"/>
    <mergeCell ref="C76:D76"/>
    <mergeCell ref="C80:E80"/>
    <mergeCell ref="C81:D81"/>
    <mergeCell ref="C82:D82"/>
    <mergeCell ref="C83:D83"/>
    <mergeCell ref="C75:D75"/>
    <mergeCell ref="C74:D74"/>
    <mergeCell ref="C73:D73"/>
    <mergeCell ref="C72:D72"/>
    <mergeCell ref="C71:E71"/>
    <mergeCell ref="C64:D64"/>
    <mergeCell ref="C65:D65"/>
    <mergeCell ref="C66:D66"/>
    <mergeCell ref="C67:D67"/>
    <mergeCell ref="C68:D68"/>
    <mergeCell ref="G64:H64"/>
    <mergeCell ref="G65:H65"/>
    <mergeCell ref="G66:H66"/>
    <mergeCell ref="G67:H67"/>
    <mergeCell ref="G68:H68"/>
    <mergeCell ref="B55:D55"/>
    <mergeCell ref="C61:D61"/>
    <mergeCell ref="C60:E60"/>
    <mergeCell ref="G60:I60"/>
    <mergeCell ref="G61:H61"/>
    <mergeCell ref="C63:D63"/>
    <mergeCell ref="C62:D62"/>
    <mergeCell ref="G62:H62"/>
    <mergeCell ref="G63:H63"/>
    <mergeCell ref="C30:D30"/>
    <mergeCell ref="C29:D29"/>
    <mergeCell ref="C36:F37"/>
    <mergeCell ref="G29:H29"/>
    <mergeCell ref="G31:H31"/>
    <mergeCell ref="C33:E33"/>
    <mergeCell ref="G32:H32"/>
    <mergeCell ref="C34:E34"/>
    <mergeCell ref="G36:G37"/>
    <mergeCell ref="A11:C11"/>
    <mergeCell ref="A13:C13"/>
    <mergeCell ref="A14:C14"/>
    <mergeCell ref="C18:F19"/>
    <mergeCell ref="A16:C16"/>
    <mergeCell ref="A15:C15"/>
    <mergeCell ref="B4:E4"/>
    <mergeCell ref="B5:E5"/>
    <mergeCell ref="B6:E6"/>
    <mergeCell ref="A12:C1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2024-08-29T19:53:55Z</dcterms:created>
  <dcterms:modified xsi:type="dcterms:W3CDTF">2024-08-29T21:11:21Z</dcterms:modified>
</cp:coreProperties>
</file>