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1A2D754C-F3B8-42CF-ADCE-FDBB33240441}" xr6:coauthVersionLast="47" xr6:coauthVersionMax="47" xr10:uidLastSave="{00000000-0000-0000-0000-000000000000}"/>
  <bookViews>
    <workbookView xWindow="-120" yWindow="-120" windowWidth="29040" windowHeight="15840" activeTab="5" xr2:uid="{530EB95B-E520-4ACD-8D25-ED5422C92AD6}"/>
  </bookViews>
  <sheets>
    <sheet name="Beta Holding" sheetId="2" r:id="rId1"/>
    <sheet name="Beta Holding Plantilla" sheetId="3" r:id="rId2"/>
    <sheet name="Beneficio Costo" sheetId="4" r:id="rId3"/>
    <sheet name="VAN Con Opciones Plantilla" sheetId="5" r:id="rId4"/>
    <sheet name="VAN Ajustado" sheetId="6" r:id="rId5"/>
    <sheet name="VAN Ajustado Plantill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22" i="7"/>
  <c r="H10" i="7" s="1"/>
  <c r="K18" i="7"/>
  <c r="K17" i="7"/>
  <c r="K11" i="7"/>
  <c r="K16" i="7" s="1"/>
  <c r="J11" i="7"/>
  <c r="J16" i="7" s="1"/>
  <c r="I11" i="7"/>
  <c r="I16" i="7" s="1"/>
  <c r="H11" i="7"/>
  <c r="H16" i="7" s="1"/>
  <c r="G11" i="7"/>
  <c r="G16" i="7" s="1"/>
  <c r="B11" i="7"/>
  <c r="B13" i="7" s="1"/>
  <c r="B14" i="7" s="1"/>
  <c r="F18" i="7" s="1"/>
  <c r="G9" i="7"/>
  <c r="F19" i="7" s="1"/>
  <c r="G4" i="7"/>
  <c r="G6" i="7" s="1"/>
  <c r="G7" i="7" s="1"/>
  <c r="H3" i="7"/>
  <c r="I3" i="7" s="1"/>
  <c r="J3" i="7" s="1"/>
  <c r="K3" i="7" s="1"/>
  <c r="H2" i="7"/>
  <c r="I2" i="7" s="1"/>
  <c r="O28" i="6"/>
  <c r="O27" i="6"/>
  <c r="O26" i="6"/>
  <c r="N24" i="6"/>
  <c r="W15" i="6"/>
  <c r="Y21" i="6" s="1"/>
  <c r="W12" i="6"/>
  <c r="AA18" i="6" s="1"/>
  <c r="W19" i="6" s="1"/>
  <c r="J10" i="7" l="1"/>
  <c r="K10" i="7"/>
  <c r="I10" i="7"/>
  <c r="H4" i="7"/>
  <c r="H6" i="7" s="1"/>
  <c r="H7" i="7" s="1"/>
  <c r="J2" i="7"/>
  <c r="I9" i="7"/>
  <c r="I4" i="7"/>
  <c r="I6" i="7" s="1"/>
  <c r="I7" i="7" s="1"/>
  <c r="H12" i="7"/>
  <c r="G12" i="7"/>
  <c r="G13" i="7" s="1"/>
  <c r="J12" i="7"/>
  <c r="I12" i="7"/>
  <c r="H9" i="7"/>
  <c r="G19" i="7" s="1"/>
  <c r="F17" i="7"/>
  <c r="G10" i="7"/>
  <c r="X19" i="6"/>
  <c r="AB18" i="6"/>
  <c r="Y19" i="6"/>
  <c r="Z19" i="6" s="1"/>
  <c r="Y22" i="6"/>
  <c r="Y20" i="6"/>
  <c r="G14" i="7" l="1"/>
  <c r="G15" i="7" s="1"/>
  <c r="G21" i="7" s="1"/>
  <c r="H13" i="7"/>
  <c r="H19" i="7"/>
  <c r="I13" i="7"/>
  <c r="F21" i="7"/>
  <c r="N10" i="7"/>
  <c r="J9" i="7"/>
  <c r="I19" i="7" s="1"/>
  <c r="K2" i="7"/>
  <c r="J4" i="7"/>
  <c r="J6" i="7" s="1"/>
  <c r="J7" i="7" s="1"/>
  <c r="J13" i="7" s="1"/>
  <c r="AA19" i="6"/>
  <c r="AB19" i="6"/>
  <c r="K9" i="7" l="1"/>
  <c r="J19" i="7" s="1"/>
  <c r="K19" i="7" s="1"/>
  <c r="K4" i="7"/>
  <c r="K6" i="7" s="1"/>
  <c r="K7" i="7" s="1"/>
  <c r="K13" i="7" s="1"/>
  <c r="J14" i="7"/>
  <c r="J15" i="7" s="1"/>
  <c r="J21" i="7" s="1"/>
  <c r="H14" i="7"/>
  <c r="H15" i="7" s="1"/>
  <c r="H21" i="7" s="1"/>
  <c r="N13" i="7"/>
  <c r="R16" i="7"/>
  <c r="I14" i="7"/>
  <c r="I15" i="7" s="1"/>
  <c r="I21" i="7" s="1"/>
  <c r="W20" i="6"/>
  <c r="Z20" i="6" s="1"/>
  <c r="AB20" i="6" s="1"/>
  <c r="AA20" i="6"/>
  <c r="W21" i="6" s="1"/>
  <c r="Z21" i="6" s="1"/>
  <c r="N17" i="7" l="1"/>
  <c r="O17" i="7" s="1"/>
  <c r="S16" i="7"/>
  <c r="P17" i="7"/>
  <c r="Q17" i="7" s="1"/>
  <c r="P20" i="7"/>
  <c r="P18" i="7"/>
  <c r="P19" i="7"/>
  <c r="K14" i="7"/>
  <c r="K15" i="7" s="1"/>
  <c r="K21" i="7" s="1"/>
  <c r="F22" i="7" s="1"/>
  <c r="G24" i="7" s="1"/>
  <c r="AA21" i="6"/>
  <c r="AB21" i="6"/>
  <c r="S17" i="7" l="1"/>
  <c r="R17" i="7"/>
  <c r="W22" i="6"/>
  <c r="Z22" i="6" s="1"/>
  <c r="AB22" i="6" s="1"/>
  <c r="Z25" i="6" s="1"/>
  <c r="N18" i="7" l="1"/>
  <c r="AA22" i="6"/>
  <c r="Q18" i="7" l="1"/>
  <c r="R18" i="7" s="1"/>
  <c r="O18" i="7"/>
  <c r="S21" i="6"/>
  <c r="P14" i="6"/>
  <c r="Q14" i="6"/>
  <c r="R14" i="6"/>
  <c r="O14" i="6"/>
  <c r="J34" i="6"/>
  <c r="J35" i="6" s="1"/>
  <c r="N23" i="6"/>
  <c r="S19" i="6"/>
  <c r="S20" i="6"/>
  <c r="O18" i="6"/>
  <c r="O15" i="6"/>
  <c r="O16" i="6" s="1"/>
  <c r="O17" i="6" s="1"/>
  <c r="O23" i="6" s="1"/>
  <c r="P13" i="6"/>
  <c r="P18" i="6" s="1"/>
  <c r="Q13" i="6"/>
  <c r="Q18" i="6" s="1"/>
  <c r="R13" i="6"/>
  <c r="R18" i="6" s="1"/>
  <c r="S13" i="6"/>
  <c r="S15" i="6" s="1"/>
  <c r="O13" i="6"/>
  <c r="O21" i="6"/>
  <c r="P21" i="6" s="1"/>
  <c r="N21" i="6"/>
  <c r="N20" i="6"/>
  <c r="N19" i="6"/>
  <c r="J16" i="6"/>
  <c r="J24" i="6"/>
  <c r="S12" i="6" s="1"/>
  <c r="P11" i="6"/>
  <c r="Q11" i="6"/>
  <c r="O11" i="6"/>
  <c r="J13" i="6"/>
  <c r="J15" i="6" s="1"/>
  <c r="O6" i="6"/>
  <c r="P5" i="6"/>
  <c r="Q5" i="6" s="1"/>
  <c r="R5" i="6" s="1"/>
  <c r="S5" i="6" s="1"/>
  <c r="P4" i="6"/>
  <c r="Q4" i="6" s="1"/>
  <c r="C3" i="5"/>
  <c r="S18" i="7" l="1"/>
  <c r="N19" i="7"/>
  <c r="S16" i="6"/>
  <c r="S17" i="6" s="1"/>
  <c r="S23" i="6" s="1"/>
  <c r="S18" i="6"/>
  <c r="R15" i="6"/>
  <c r="Q15" i="6"/>
  <c r="Q21" i="6"/>
  <c r="R21" i="6" s="1"/>
  <c r="P15" i="6"/>
  <c r="O8" i="6"/>
  <c r="O9" i="6" s="1"/>
  <c r="Q12" i="6"/>
  <c r="O12" i="6"/>
  <c r="P12" i="6"/>
  <c r="R12" i="6"/>
  <c r="R4" i="6"/>
  <c r="R11" i="6" s="1"/>
  <c r="Q6" i="6"/>
  <c r="Q8" i="6" s="1"/>
  <c r="Q9" i="6" s="1"/>
  <c r="P6" i="6"/>
  <c r="P8" i="6" s="1"/>
  <c r="P9" i="6" s="1"/>
  <c r="C4" i="5"/>
  <c r="Q19" i="7" l="1"/>
  <c r="O19" i="7"/>
  <c r="R19" i="7"/>
  <c r="R16" i="6"/>
  <c r="R17" i="6"/>
  <c r="R23" i="6" s="1"/>
  <c r="P16" i="6"/>
  <c r="P17" i="6" s="1"/>
  <c r="P23" i="6" s="1"/>
  <c r="Q16" i="6"/>
  <c r="Q17" i="6" s="1"/>
  <c r="Q23" i="6" s="1"/>
  <c r="S4" i="6"/>
  <c r="R6" i="6"/>
  <c r="R8" i="6" s="1"/>
  <c r="R9" i="6" s="1"/>
  <c r="C6" i="5"/>
  <c r="C10" i="5" s="1"/>
  <c r="A13" i="5" s="1"/>
  <c r="A15" i="5" s="1"/>
  <c r="S19" i="7" l="1"/>
  <c r="N20" i="7"/>
  <c r="S6" i="6"/>
  <c r="S8" i="6" s="1"/>
  <c r="S9" i="6" s="1"/>
  <c r="S11" i="6"/>
  <c r="C11" i="5"/>
  <c r="C13" i="5"/>
  <c r="C15" i="5" s="1"/>
  <c r="G25" i="4"/>
  <c r="E31" i="4" s="1"/>
  <c r="G24" i="4"/>
  <c r="E30" i="4" s="1"/>
  <c r="G13" i="4"/>
  <c r="F13" i="4"/>
  <c r="E13" i="4"/>
  <c r="G5" i="4"/>
  <c r="G7" i="4" s="1"/>
  <c r="G10" i="4" s="1"/>
  <c r="F5" i="4"/>
  <c r="F7" i="4" s="1"/>
  <c r="F10" i="4" s="1"/>
  <c r="E5" i="4"/>
  <c r="E7" i="4" s="1"/>
  <c r="E10" i="4" s="1"/>
  <c r="Q20" i="7" l="1"/>
  <c r="O20" i="7"/>
  <c r="R20" i="7"/>
  <c r="E15" i="4"/>
  <c r="G15" i="4"/>
  <c r="F15" i="4"/>
  <c r="S20" i="7" l="1"/>
  <c r="Q23" i="7" s="1"/>
  <c r="G25" i="7" s="1"/>
  <c r="G26" i="7" s="1"/>
  <c r="C29" i="3"/>
  <c r="B29" i="3"/>
  <c r="F28" i="3"/>
  <c r="G28" i="3" s="1"/>
  <c r="H28" i="3" s="1"/>
  <c r="C28" i="3"/>
  <c r="B28" i="3"/>
  <c r="D28" i="3" s="1"/>
  <c r="G27" i="3"/>
  <c r="H27" i="3" s="1"/>
  <c r="D27" i="3"/>
  <c r="D26" i="3"/>
  <c r="B22" i="3"/>
  <c r="I18" i="3"/>
  <c r="H18" i="3"/>
  <c r="G17" i="3"/>
  <c r="D17" i="3"/>
  <c r="B17" i="3"/>
  <c r="F3" i="3"/>
  <c r="H2" i="3" s="1"/>
  <c r="B3" i="3"/>
  <c r="F2" i="3"/>
  <c r="E1" i="3"/>
  <c r="I28" i="3" l="1"/>
  <c r="F26" i="3"/>
  <c r="G26" i="3"/>
  <c r="H26" i="3" s="1"/>
  <c r="I26" i="3" s="1"/>
  <c r="D29" i="3"/>
  <c r="E29" i="3" s="1"/>
  <c r="I27" i="3"/>
  <c r="E28" i="3" l="1"/>
  <c r="E26" i="3"/>
  <c r="F29" i="3" s="1"/>
  <c r="G29" i="3" s="1"/>
  <c r="H29" i="3" s="1"/>
  <c r="I29" i="3" s="1"/>
  <c r="E27" i="3"/>
  <c r="C28" i="2" l="1"/>
  <c r="C29" i="2" s="1"/>
  <c r="B28" i="2"/>
  <c r="B29" i="2" s="1"/>
  <c r="F27" i="2"/>
  <c r="D27" i="2"/>
  <c r="D26" i="2"/>
  <c r="B22" i="2"/>
  <c r="H27" i="2" s="1"/>
  <c r="I27" i="2" s="1"/>
  <c r="I18" i="2"/>
  <c r="H18" i="2"/>
  <c r="F28" i="2" s="1"/>
  <c r="G28" i="2" s="1"/>
  <c r="H28" i="2" s="1"/>
  <c r="G17" i="2"/>
  <c r="D17" i="2"/>
  <c r="B17" i="2"/>
  <c r="F3" i="2"/>
  <c r="B3" i="2"/>
  <c r="F2" i="2"/>
  <c r="H2" i="2" s="1"/>
  <c r="E1" i="2"/>
  <c r="D29" i="2" l="1"/>
  <c r="G26" i="2"/>
  <c r="H26" i="2" s="1"/>
  <c r="I26" i="2" s="1"/>
  <c r="F26" i="2"/>
  <c r="E26" i="2"/>
  <c r="D28" i="2"/>
  <c r="E28" i="2" s="1"/>
  <c r="I28" i="2"/>
  <c r="E29" i="2" l="1"/>
  <c r="E27" i="2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<sst xmlns="http://schemas.openxmlformats.org/spreadsheetml/2006/main" count="354" uniqueCount="130">
  <si>
    <t>Rf</t>
  </si>
  <si>
    <t>Rm</t>
  </si>
  <si>
    <t>Beta</t>
  </si>
  <si>
    <t>IMPUESTO</t>
  </si>
  <si>
    <t>FLUJO</t>
  </si>
  <si>
    <t>COPEC</t>
  </si>
  <si>
    <t>Ri</t>
  </si>
  <si>
    <t>% VARIAC</t>
  </si>
  <si>
    <t>COVARIANZA</t>
  </si>
  <si>
    <t>BETA LEVERAGE</t>
  </si>
  <si>
    <t>Año</t>
  </si>
  <si>
    <t>MERCADO</t>
  </si>
  <si>
    <t>VARIANZA</t>
  </si>
  <si>
    <t>ESTADO FINANCIERO EPERVA</t>
  </si>
  <si>
    <t>EMPRESAS QUE COMPONEN LA INDUSTRIA DE ?</t>
  </si>
  <si>
    <t>ACTIVO</t>
  </si>
  <si>
    <t>PASIVO</t>
  </si>
  <si>
    <t xml:space="preserve"> EMPRESAS</t>
  </si>
  <si>
    <t> BETA LEVERAGE</t>
  </si>
  <si>
    <t>DEUDA</t>
  </si>
  <si>
    <t>PATRIMONIO</t>
  </si>
  <si>
    <t xml:space="preserve">CAJA </t>
  </si>
  <si>
    <t>BANCOS C.P</t>
  </si>
  <si>
    <t>LLOYD</t>
  </si>
  <si>
    <t>CTAS POR COBRAR</t>
  </si>
  <si>
    <t>BANCOS L.P</t>
  </si>
  <si>
    <t>PUERTO MONTT</t>
  </si>
  <si>
    <t>ACTIVO FIJO</t>
  </si>
  <si>
    <t>PESQUERA NILALHUE</t>
  </si>
  <si>
    <t>TOTAL</t>
  </si>
  <si>
    <t>BETA LEVERAGE INDUSTRIA</t>
  </si>
  <si>
    <t>Rm-Rf</t>
  </si>
  <si>
    <t>TASA DE DEUDA EFECTIVA</t>
  </si>
  <si>
    <t>PONDERACIÓN</t>
  </si>
  <si>
    <t>BETA UNLEVERAGE</t>
  </si>
  <si>
    <t>CAPM</t>
  </si>
  <si>
    <t>WACC</t>
  </si>
  <si>
    <t>CELCO</t>
  </si>
  <si>
    <t>EPERVA</t>
  </si>
  <si>
    <t>HOLDING</t>
  </si>
  <si>
    <t>EMPRESAS QUE COMPONEN LA INDUSTRIA DE EPERVA</t>
  </si>
  <si>
    <t>?</t>
  </si>
  <si>
    <t>ESTADO FINANCIERO ?</t>
  </si>
  <si>
    <t>EJERCICIO 1</t>
  </si>
  <si>
    <t>ALTERNATIVA</t>
  </si>
  <si>
    <t>A</t>
  </si>
  <si>
    <t>B</t>
  </si>
  <si>
    <t>C</t>
  </si>
  <si>
    <t>INVERSIÓN NUEVO PROCESO T=0</t>
  </si>
  <si>
    <t>RECUPERADO EN T=8</t>
  </si>
  <si>
    <t>INVERSIÓN EN TERRENO Y GALPÓN</t>
  </si>
  <si>
    <t>INVERSIÓN INICIAL</t>
  </si>
  <si>
    <t>TASA INTERÉS ANUAL</t>
  </si>
  <si>
    <t>PERIODO (AÑOS)</t>
  </si>
  <si>
    <t>INVERSIÓN ANUALIZADA</t>
  </si>
  <si>
    <t>BENEFICIO NEGATIVO</t>
  </si>
  <si>
    <t>BENEFICIO POSITIVO</t>
  </si>
  <si>
    <t>BENEFICIO NETO</t>
  </si>
  <si>
    <t>MANTENCIÓN</t>
  </si>
  <si>
    <t>BENEFICIO/COSTO</t>
  </si>
  <si>
    <t>POR LO TANTO LA ALTERNATIVA MÁS APROPIADA CONSIDERANDO UNA VIDA ÚTIL DE 8 AÑOS ES LA ALTERNATIVA B</t>
  </si>
  <si>
    <t>EJERCICIO 2</t>
  </si>
  <si>
    <t>RENTABILIDAD EMPRESA</t>
  </si>
  <si>
    <t>DISPONIBLE PARA INVERSIÓN</t>
  </si>
  <si>
    <t>PERIODOS</t>
  </si>
  <si>
    <t>TIR</t>
  </si>
  <si>
    <t>PROYECTO A</t>
  </si>
  <si>
    <t>PROYECTO B</t>
  </si>
  <si>
    <t>INVERSIÓN</t>
  </si>
  <si>
    <t>RENTABILIDAD TOTAL</t>
  </si>
  <si>
    <t>SE ESCOGE EL PROYECTO B YA QUE POSEE MAYOR RENTABILIDAD TOTAL</t>
  </si>
  <si>
    <t>CANTIDAD DE OPCIONES</t>
  </si>
  <si>
    <t>t=</t>
  </si>
  <si>
    <t>Tasa wacc</t>
  </si>
  <si>
    <t>VAN</t>
  </si>
  <si>
    <t>VALOR ACTUAL (S)</t>
  </si>
  <si>
    <t>*ESTO LO PUEDEN DAR O SE CALCULA CON EL FLUJO DE CAJA</t>
  </si>
  <si>
    <t>VALOR EJECUCIÓN OPCIÓN (X)</t>
  </si>
  <si>
    <t>D1</t>
  </si>
  <si>
    <t>VOLATILIDAD (SIGMA)</t>
  </si>
  <si>
    <t>TASA LIBRE DE RIESGO (r)</t>
  </si>
  <si>
    <t>TIEMPO EN AÑOS (T)</t>
  </si>
  <si>
    <t>D2</t>
  </si>
  <si>
    <t>OPCIÓN</t>
  </si>
  <si>
    <t>OPCIÓN VENTA</t>
  </si>
  <si>
    <t>OPCION COMPRA</t>
  </si>
  <si>
    <t>VAN CON OPCION VENTA</t>
  </si>
  <si>
    <t>VAN CON OPCION COMPRA</t>
  </si>
  <si>
    <t>Cantidad</t>
  </si>
  <si>
    <t>Precio</t>
  </si>
  <si>
    <t>Ingreso</t>
  </si>
  <si>
    <t>Incobrable</t>
  </si>
  <si>
    <t>Factoring</t>
  </si>
  <si>
    <t>Contado</t>
  </si>
  <si>
    <t>Días</t>
  </si>
  <si>
    <t>Tasa Factoring</t>
  </si>
  <si>
    <t>Rm - Rf</t>
  </si>
  <si>
    <t>Costos Variables</t>
  </si>
  <si>
    <t>Desde</t>
  </si>
  <si>
    <t>Costos Fijos</t>
  </si>
  <si>
    <t>Mensual</t>
  </si>
  <si>
    <t>Anual</t>
  </si>
  <si>
    <t>Depreciación</t>
  </si>
  <si>
    <t>Leasing</t>
  </si>
  <si>
    <t>Utilidad</t>
  </si>
  <si>
    <t>Impuesto</t>
  </si>
  <si>
    <t>Utilidad Despues Impuesto</t>
  </si>
  <si>
    <t>Terreno</t>
  </si>
  <si>
    <t>Capital De Trabajo</t>
  </si>
  <si>
    <t>CAPM (Año)</t>
  </si>
  <si>
    <t>CAPM (Mes)</t>
  </si>
  <si>
    <t>Inversiones</t>
  </si>
  <si>
    <t>Monto</t>
  </si>
  <si>
    <t>Meses</t>
  </si>
  <si>
    <t>Galpón</t>
  </si>
  <si>
    <t>Años</t>
  </si>
  <si>
    <t>Tasa</t>
  </si>
  <si>
    <t>Cuota</t>
  </si>
  <si>
    <t>Crédito</t>
  </si>
  <si>
    <t>Valor</t>
  </si>
  <si>
    <t>Interés</t>
  </si>
  <si>
    <t>Periodos</t>
  </si>
  <si>
    <t>Periodo</t>
  </si>
  <si>
    <t>Interés dsps impto</t>
  </si>
  <si>
    <t>Amortización</t>
  </si>
  <si>
    <t>Saldo</t>
  </si>
  <si>
    <t>Tasa VAN:</t>
  </si>
  <si>
    <t>VAN AJUSTADO</t>
  </si>
  <si>
    <t>VAN FLUJO</t>
  </si>
  <si>
    <t>VAN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</si>
</sst>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164" formatCode="0.0000"/>
    <numFmt numFmtId="168" formatCode="0.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2" fontId="0" fillId="0" borderId="1" xfId="0" applyNumberForma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42" fontId="0" fillId="0" borderId="1" xfId="0" applyNumberFormat="1" applyBorder="1"/>
    <xf numFmtId="8" fontId="0" fillId="0" borderId="1" xfId="0" applyNumberFormat="1" applyBorder="1"/>
    <xf numFmtId="4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6" fontId="0" fillId="0" borderId="1" xfId="0" applyNumberFormat="1" applyBorder="1" applyAlignment="1">
      <alignment vertical="center"/>
    </xf>
    <xf numFmtId="168" fontId="0" fillId="0" borderId="1" xfId="0" applyNumberFormat="1" applyBorder="1" applyAlignment="1">
      <alignment vertical="center"/>
    </xf>
    <xf numFmtId="168" fontId="0" fillId="2" borderId="1" xfId="0" applyNumberFormat="1" applyFill="1" applyBorder="1" applyAlignment="1">
      <alignment vertical="center"/>
    </xf>
    <xf numFmtId="0" fontId="3" fillId="0" borderId="0" xfId="0" applyFont="1"/>
    <xf numFmtId="42" fontId="0" fillId="0" borderId="0" xfId="0" applyNumberFormat="1"/>
    <xf numFmtId="0" fontId="0" fillId="2" borderId="0" xfId="0" applyFill="1"/>
    <xf numFmtId="0" fontId="0" fillId="0" borderId="1" xfId="0" applyBorder="1"/>
    <xf numFmtId="9" fontId="0" fillId="0" borderId="1" xfId="0" applyNumberFormat="1" applyBorder="1"/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NumberFormat="1" applyFill="1" applyBorder="1"/>
    <xf numFmtId="10" fontId="0" fillId="0" borderId="1" xfId="0" applyNumberFormat="1" applyBorder="1"/>
    <xf numFmtId="42" fontId="0" fillId="0" borderId="0" xfId="1" applyFont="1"/>
    <xf numFmtId="42" fontId="0" fillId="0" borderId="1" xfId="1" applyFont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1" xfId="0" applyFont="1" applyBorder="1"/>
    <xf numFmtId="42" fontId="0" fillId="0" borderId="1" xfId="1" applyNumberFormat="1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0" fillId="0" borderId="1" xfId="0" applyNumberForma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600575" cy="5153025"/>
    <xdr:pic>
      <xdr:nvPicPr>
        <xdr:cNvPr id="2" name="image19.png" title="Imagen">
          <a:extLst>
            <a:ext uri="{FF2B5EF4-FFF2-40B4-BE49-F238E27FC236}">
              <a16:creationId xmlns:a16="http://schemas.microsoft.com/office/drawing/2014/main" id="{AC54A576-1153-4C5B-9028-5E56094BE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00575" cy="5153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23F-94C6-47C3-B467-D5DC472B7A3D}">
  <dimension ref="A1:I29"/>
  <sheetViews>
    <sheetView workbookViewId="0">
      <selection activeCell="G35" sqref="G35"/>
    </sheetView>
  </sheetViews>
  <sheetFormatPr baseColWidth="10" defaultRowHeight="15" x14ac:dyDescent="0.25"/>
  <cols>
    <col min="1" max="1" width="24.5703125" bestFit="1" customWidth="1"/>
    <col min="2" max="2" width="9.7109375" bestFit="1" customWidth="1"/>
    <col min="3" max="3" width="12.5703125" bestFit="1" customWidth="1"/>
    <col min="4" max="4" width="8.42578125" bestFit="1" customWidth="1"/>
    <col min="5" max="5" width="14.85546875" bestFit="1" customWidth="1"/>
    <col min="6" max="6" width="25.85546875" bestFit="1" customWidth="1"/>
    <col min="7" max="7" width="15.7109375" bestFit="1" customWidth="1"/>
    <col min="8" max="8" width="12" bestFit="1" customWidth="1"/>
    <col min="9" max="9" width="12.5703125" bestFit="1" customWidth="1"/>
  </cols>
  <sheetData>
    <row r="1" spans="1:9" x14ac:dyDescent="0.25">
      <c r="A1" s="1" t="s">
        <v>5</v>
      </c>
      <c r="B1" s="2" t="s">
        <v>6</v>
      </c>
      <c r="C1" s="2" t="s">
        <v>1</v>
      </c>
      <c r="D1" s="3"/>
      <c r="E1" s="4" t="str">
        <f>A1</f>
        <v>COPEC</v>
      </c>
      <c r="F1" s="4"/>
      <c r="G1" s="4"/>
      <c r="H1" s="4"/>
    </row>
    <row r="2" spans="1:9" x14ac:dyDescent="0.25">
      <c r="A2" s="1"/>
      <c r="B2" s="2" t="s">
        <v>7</v>
      </c>
      <c r="C2" s="2" t="s">
        <v>7</v>
      </c>
      <c r="D2" s="3"/>
      <c r="E2" s="2" t="s">
        <v>8</v>
      </c>
      <c r="F2" s="5">
        <f>_xlfn.COVARIANCE.P(B4:B10,C4:C10)</f>
        <v>3.3673469387755089E-4</v>
      </c>
      <c r="G2" s="6" t="s">
        <v>9</v>
      </c>
      <c r="H2" s="1">
        <f>F2/F3</f>
        <v>0.29963680387409108</v>
      </c>
    </row>
    <row r="3" spans="1:9" x14ac:dyDescent="0.25">
      <c r="A3" s="2" t="s">
        <v>10</v>
      </c>
      <c r="B3" s="2" t="str">
        <f>A1</f>
        <v>COPEC</v>
      </c>
      <c r="C3" s="2" t="s">
        <v>11</v>
      </c>
      <c r="D3" s="3"/>
      <c r="E3" s="2" t="s">
        <v>12</v>
      </c>
      <c r="F3" s="5">
        <f>_xlfn.VAR.S(C4:C10)</f>
        <v>1.1238095238095269E-3</v>
      </c>
      <c r="G3" s="6"/>
      <c r="H3" s="1"/>
    </row>
    <row r="4" spans="1:9" x14ac:dyDescent="0.25">
      <c r="A4" s="5">
        <v>2013</v>
      </c>
      <c r="B4" s="5">
        <v>0.02</v>
      </c>
      <c r="C4" s="5">
        <v>0.09</v>
      </c>
      <c r="D4" s="3"/>
      <c r="E4" s="3"/>
      <c r="F4" s="3"/>
    </row>
    <row r="5" spans="1:9" x14ac:dyDescent="0.25">
      <c r="A5" s="5">
        <v>2014</v>
      </c>
      <c r="B5" s="5">
        <v>0.06</v>
      </c>
      <c r="C5" s="5">
        <v>0.08</v>
      </c>
      <c r="D5" s="3"/>
      <c r="E5" s="3"/>
      <c r="F5" s="3"/>
    </row>
    <row r="6" spans="1:9" x14ac:dyDescent="0.25">
      <c r="A6" s="5">
        <v>2015</v>
      </c>
      <c r="B6" s="5">
        <v>7.0000000000000007E-2</v>
      </c>
      <c r="C6" s="5">
        <v>0.12</v>
      </c>
      <c r="D6" s="3"/>
      <c r="E6" s="3"/>
      <c r="F6" s="3"/>
    </row>
    <row r="7" spans="1:9" x14ac:dyDescent="0.25">
      <c r="A7" s="5">
        <v>2016</v>
      </c>
      <c r="B7" s="5">
        <v>0.04</v>
      </c>
      <c r="C7" s="5">
        <v>0.13</v>
      </c>
      <c r="D7" s="3"/>
      <c r="E7" s="3"/>
      <c r="F7" s="3"/>
    </row>
    <row r="8" spans="1:9" x14ac:dyDescent="0.25">
      <c r="A8" s="5">
        <v>2017</v>
      </c>
      <c r="B8" s="5">
        <v>0.12</v>
      </c>
      <c r="C8" s="5">
        <v>0.15</v>
      </c>
      <c r="D8" s="3"/>
      <c r="E8" s="3"/>
      <c r="F8" s="3"/>
    </row>
    <row r="9" spans="1:9" x14ac:dyDescent="0.25">
      <c r="A9" s="5">
        <v>2018</v>
      </c>
      <c r="B9" s="5">
        <v>0.09</v>
      </c>
      <c r="C9" s="5">
        <v>0.1</v>
      </c>
      <c r="D9" s="3"/>
      <c r="E9" s="3"/>
      <c r="F9" s="3"/>
    </row>
    <row r="10" spans="1:9" x14ac:dyDescent="0.25">
      <c r="A10" s="5">
        <v>2019</v>
      </c>
      <c r="B10" s="5">
        <v>7.0000000000000007E-2</v>
      </c>
      <c r="C10" s="5">
        <v>0.05</v>
      </c>
      <c r="D10" s="3"/>
      <c r="E10" s="3"/>
      <c r="F10" s="3"/>
    </row>
    <row r="11" spans="1:9" x14ac:dyDescent="0.25">
      <c r="A11" s="3"/>
      <c r="B11" s="3"/>
      <c r="C11" s="3"/>
      <c r="D11" s="3"/>
      <c r="E11" s="3"/>
      <c r="F11" s="3"/>
    </row>
    <row r="12" spans="1:9" x14ac:dyDescent="0.25">
      <c r="A12" s="4" t="s">
        <v>13</v>
      </c>
      <c r="B12" s="4"/>
      <c r="C12" s="4"/>
      <c r="D12" s="4"/>
      <c r="E12" s="3"/>
      <c r="F12" s="4" t="s">
        <v>40</v>
      </c>
      <c r="G12" s="4"/>
      <c r="H12" s="4"/>
      <c r="I12" s="4"/>
    </row>
    <row r="13" spans="1:9" x14ac:dyDescent="0.25">
      <c r="A13" s="4" t="s">
        <v>15</v>
      </c>
      <c r="B13" s="4"/>
      <c r="C13" s="4" t="s">
        <v>16</v>
      </c>
      <c r="D13" s="4"/>
      <c r="E13" s="3"/>
      <c r="F13" s="2" t="s">
        <v>17</v>
      </c>
      <c r="G13" s="2" t="s">
        <v>18</v>
      </c>
      <c r="H13" s="2" t="s">
        <v>19</v>
      </c>
      <c r="I13" s="2" t="s">
        <v>20</v>
      </c>
    </row>
    <row r="14" spans="1:9" x14ac:dyDescent="0.25">
      <c r="A14" s="2" t="s">
        <v>21</v>
      </c>
      <c r="B14" s="7">
        <v>16500</v>
      </c>
      <c r="C14" s="2" t="s">
        <v>22</v>
      </c>
      <c r="D14" s="7">
        <v>3800</v>
      </c>
      <c r="E14" s="3"/>
      <c r="F14" s="2" t="s">
        <v>23</v>
      </c>
      <c r="G14" s="5">
        <v>1.2</v>
      </c>
      <c r="H14" s="7">
        <v>5300</v>
      </c>
      <c r="I14" s="7">
        <v>4000</v>
      </c>
    </row>
    <row r="15" spans="1:9" x14ac:dyDescent="0.25">
      <c r="A15" s="2" t="s">
        <v>24</v>
      </c>
      <c r="B15" s="7">
        <v>300</v>
      </c>
      <c r="C15" s="2" t="s">
        <v>25</v>
      </c>
      <c r="D15" s="7">
        <v>3900</v>
      </c>
      <c r="E15" s="3"/>
      <c r="F15" s="2" t="s">
        <v>26</v>
      </c>
      <c r="G15" s="5">
        <v>1.9</v>
      </c>
      <c r="H15" s="7">
        <v>7000</v>
      </c>
      <c r="I15" s="7">
        <v>3500</v>
      </c>
    </row>
    <row r="16" spans="1:9" x14ac:dyDescent="0.25">
      <c r="A16" s="2" t="s">
        <v>27</v>
      </c>
      <c r="B16" s="7">
        <v>3200</v>
      </c>
      <c r="C16" s="2" t="s">
        <v>20</v>
      </c>
      <c r="D16" s="7">
        <v>12300</v>
      </c>
      <c r="E16" s="3"/>
      <c r="F16" s="2" t="s">
        <v>28</v>
      </c>
      <c r="G16" s="5">
        <v>1.7</v>
      </c>
      <c r="H16" s="7">
        <v>6000</v>
      </c>
      <c r="I16" s="7">
        <v>4000</v>
      </c>
    </row>
    <row r="17" spans="1:9" x14ac:dyDescent="0.25">
      <c r="A17" s="2" t="s">
        <v>29</v>
      </c>
      <c r="B17" s="8">
        <f>SUM(B14:B16)</f>
        <v>20000</v>
      </c>
      <c r="C17" s="2" t="s">
        <v>29</v>
      </c>
      <c r="D17" s="8">
        <f>SUM(D14:D16)</f>
        <v>20000</v>
      </c>
      <c r="E17" s="3"/>
      <c r="F17" s="2" t="s">
        <v>30</v>
      </c>
      <c r="G17" s="5">
        <f>AVERAGE(G14:G16)</f>
        <v>1.5999999999999999</v>
      </c>
      <c r="H17" s="5"/>
      <c r="I17" s="5"/>
    </row>
    <row r="18" spans="1:9" x14ac:dyDescent="0.25">
      <c r="A18" s="3"/>
      <c r="B18" s="3"/>
      <c r="C18" s="3"/>
      <c r="D18" s="3"/>
      <c r="E18" s="3"/>
      <c r="F18" s="3"/>
      <c r="G18" s="2" t="s">
        <v>29</v>
      </c>
      <c r="H18" s="7">
        <f>SUM(H14:H16)</f>
        <v>18300</v>
      </c>
      <c r="I18" s="7">
        <f>SUM(I14:I16)</f>
        <v>11500</v>
      </c>
    </row>
    <row r="19" spans="1:9" x14ac:dyDescent="0.25">
      <c r="A19" s="2" t="s">
        <v>3</v>
      </c>
      <c r="B19" s="9">
        <v>0.25</v>
      </c>
      <c r="C19" s="3"/>
      <c r="D19" s="3"/>
      <c r="E19" s="3"/>
      <c r="F19" s="3"/>
    </row>
    <row r="20" spans="1:9" x14ac:dyDescent="0.25">
      <c r="A20" s="2" t="s">
        <v>0</v>
      </c>
      <c r="B20" s="9">
        <v>0.02</v>
      </c>
      <c r="C20" s="3"/>
      <c r="D20" s="3"/>
      <c r="E20" s="3"/>
      <c r="F20" s="3"/>
    </row>
    <row r="21" spans="1:9" x14ac:dyDescent="0.25">
      <c r="A21" s="2" t="s">
        <v>1</v>
      </c>
      <c r="B21" s="9">
        <v>0.13</v>
      </c>
      <c r="C21" s="3"/>
      <c r="D21" s="3"/>
      <c r="E21" s="3"/>
      <c r="F21" s="3"/>
    </row>
    <row r="22" spans="1:9" x14ac:dyDescent="0.25">
      <c r="A22" s="2" t="s">
        <v>31</v>
      </c>
      <c r="B22" s="9">
        <f>B21-B20</f>
        <v>0.11</v>
      </c>
      <c r="C22" s="3"/>
      <c r="D22" s="3"/>
      <c r="E22" s="3"/>
      <c r="F22" s="3"/>
    </row>
    <row r="23" spans="1:9" x14ac:dyDescent="0.25">
      <c r="A23" s="2" t="s">
        <v>32</v>
      </c>
      <c r="B23" s="9">
        <v>7.8E-2</v>
      </c>
      <c r="C23" s="3"/>
      <c r="D23" s="3"/>
      <c r="E23" s="3"/>
      <c r="F23" s="3"/>
    </row>
    <row r="24" spans="1:9" x14ac:dyDescent="0.25">
      <c r="A24" s="3"/>
      <c r="B24" s="3"/>
      <c r="C24" s="3"/>
      <c r="D24" s="3"/>
      <c r="E24" s="3"/>
      <c r="F24" s="3"/>
    </row>
    <row r="25" spans="1:9" x14ac:dyDescent="0.25">
      <c r="A25" s="5"/>
      <c r="B25" s="2" t="s">
        <v>19</v>
      </c>
      <c r="C25" s="2" t="s">
        <v>20</v>
      </c>
      <c r="D25" s="2" t="s">
        <v>29</v>
      </c>
      <c r="E25" s="2" t="s">
        <v>33</v>
      </c>
      <c r="F25" s="2" t="s">
        <v>34</v>
      </c>
      <c r="G25" s="2" t="s">
        <v>9</v>
      </c>
      <c r="H25" s="10" t="s">
        <v>35</v>
      </c>
      <c r="I25" s="10" t="s">
        <v>36</v>
      </c>
    </row>
    <row r="26" spans="1:9" x14ac:dyDescent="0.25">
      <c r="A26" s="2" t="s">
        <v>5</v>
      </c>
      <c r="B26" s="7">
        <v>3845</v>
      </c>
      <c r="C26" s="7">
        <v>17980</v>
      </c>
      <c r="D26" s="7">
        <f>B26+C26</f>
        <v>21825</v>
      </c>
      <c r="E26" s="5">
        <f>D26/D29</f>
        <v>0.26785714285714285</v>
      </c>
      <c r="F26" s="5">
        <f>H2/(1+(1-B19)*(B26/C26))</f>
        <v>0.25822154376160361</v>
      </c>
      <c r="G26" s="5">
        <f>H2</f>
        <v>0.29963680387409108</v>
      </c>
      <c r="H26" s="11">
        <f>B20+G26*B22</f>
        <v>5.2960048426150014E-2</v>
      </c>
      <c r="I26" s="11">
        <f>(B26/D26)*(1-B19)*B23+(C26/D26)*H26</f>
        <v>5.3936044476617512E-2</v>
      </c>
    </row>
    <row r="27" spans="1:9" x14ac:dyDescent="0.25">
      <c r="A27" s="2" t="s">
        <v>37</v>
      </c>
      <c r="B27" s="7">
        <v>3975</v>
      </c>
      <c r="C27" s="7">
        <v>35680</v>
      </c>
      <c r="D27" s="7">
        <f t="shared" ref="D27:D29" si="0">B27+C27</f>
        <v>39655</v>
      </c>
      <c r="E27" s="5">
        <f>D27/D29</f>
        <v>0.48668384879725085</v>
      </c>
      <c r="F27" s="5">
        <f>G27/(1+(1-B19)*(B27/C27))</f>
        <v>1.7904025348378543</v>
      </c>
      <c r="G27" s="12">
        <v>1.94</v>
      </c>
      <c r="H27" s="11">
        <f>B20+G27*B22</f>
        <v>0.2334</v>
      </c>
      <c r="I27" s="11">
        <f>(B27/D27)*(1-B19)*B23+(C27/D27)*H27</f>
        <v>0.21586809986130373</v>
      </c>
    </row>
    <row r="28" spans="1:9" x14ac:dyDescent="0.25">
      <c r="A28" s="2" t="s">
        <v>38</v>
      </c>
      <c r="B28" s="7">
        <f>SUM(D14:D15)</f>
        <v>7700</v>
      </c>
      <c r="C28" s="7">
        <f>D16</f>
        <v>12300</v>
      </c>
      <c r="D28" s="7">
        <f t="shared" si="0"/>
        <v>20000</v>
      </c>
      <c r="E28" s="5">
        <f>D28/D29</f>
        <v>0.24545900834560627</v>
      </c>
      <c r="F28" s="5">
        <f>G17/(1+(1-B19)*(H18/I18))</f>
        <v>0.72943508424182368</v>
      </c>
      <c r="G28" s="5">
        <f>F28*(1+(1-B19)*(B28/C28))</f>
        <v>1.0719137518431676</v>
      </c>
      <c r="H28" s="11">
        <f>B20+G28*B22</f>
        <v>0.13791051270274843</v>
      </c>
      <c r="I28" s="11">
        <f>(B28/D28)*(1-B19)*B23+(C28/D28)*H28</f>
        <v>0.10733746531219028</v>
      </c>
    </row>
    <row r="29" spans="1:9" x14ac:dyDescent="0.25">
      <c r="A29" s="2" t="s">
        <v>39</v>
      </c>
      <c r="B29" s="7">
        <f>SUM(B26:B28)</f>
        <v>15520</v>
      </c>
      <c r="C29" s="7">
        <f>SUM(C26:C28)</f>
        <v>65960</v>
      </c>
      <c r="D29" s="7">
        <f t="shared" si="0"/>
        <v>81480</v>
      </c>
      <c r="E29" s="5">
        <f>D29/D29</f>
        <v>1</v>
      </c>
      <c r="F29" s="5">
        <f>F26*E26+F27*E27+F28*E28</f>
        <v>1.1195728939178766</v>
      </c>
      <c r="G29" s="5">
        <f>F29*(1+(1-B19)*(B29/C29))</f>
        <v>1.317144581079855</v>
      </c>
      <c r="H29" s="11">
        <f>B20+G29*B22</f>
        <v>0.16488590391878405</v>
      </c>
      <c r="I29" s="11">
        <f>(B29/D29)*(1-B19)*B23+(C29/D29)*H29</f>
        <v>0.14462192221996806</v>
      </c>
    </row>
  </sheetData>
  <mergeCells count="8">
    <mergeCell ref="A13:B13"/>
    <mergeCell ref="C13:D13"/>
    <mergeCell ref="A1:A2"/>
    <mergeCell ref="E1:H1"/>
    <mergeCell ref="G2:G3"/>
    <mergeCell ref="H2:H3"/>
    <mergeCell ref="A12:D12"/>
    <mergeCell ref="F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D614-F2F0-47D1-A079-F50F04B83A5F}">
  <dimension ref="A1:I29"/>
  <sheetViews>
    <sheetView workbookViewId="0">
      <selection activeCell="A37" sqref="A37"/>
    </sheetView>
  </sheetViews>
  <sheetFormatPr baseColWidth="10" defaultRowHeight="15" x14ac:dyDescent="0.25"/>
  <cols>
    <col min="1" max="1" width="24.5703125" bestFit="1" customWidth="1"/>
    <col min="2" max="2" width="9.7109375" bestFit="1" customWidth="1"/>
    <col min="3" max="3" width="12.5703125" bestFit="1" customWidth="1"/>
    <col min="4" max="4" width="9.140625" bestFit="1" customWidth="1"/>
    <col min="5" max="5" width="14.85546875" bestFit="1" customWidth="1"/>
    <col min="6" max="6" width="25.85546875" bestFit="1" customWidth="1"/>
    <col min="7" max="7" width="15.7109375" bestFit="1" customWidth="1"/>
    <col min="8" max="8" width="9.140625" bestFit="1" customWidth="1"/>
    <col min="9" max="9" width="12.5703125" bestFit="1" customWidth="1"/>
  </cols>
  <sheetData>
    <row r="1" spans="1:9" x14ac:dyDescent="0.25">
      <c r="A1" s="1" t="s">
        <v>41</v>
      </c>
      <c r="B1" s="2" t="s">
        <v>6</v>
      </c>
      <c r="C1" s="2" t="s">
        <v>1</v>
      </c>
      <c r="D1" s="3"/>
      <c r="E1" s="4" t="str">
        <f>A1</f>
        <v>?</v>
      </c>
      <c r="F1" s="4"/>
      <c r="G1" s="4"/>
      <c r="H1" s="4"/>
    </row>
    <row r="2" spans="1:9" x14ac:dyDescent="0.25">
      <c r="A2" s="1"/>
      <c r="B2" s="2" t="s">
        <v>7</v>
      </c>
      <c r="C2" s="2" t="s">
        <v>7</v>
      </c>
      <c r="D2" s="3"/>
      <c r="E2" s="2" t="s">
        <v>8</v>
      </c>
      <c r="F2" s="5" t="e">
        <f>_xlfn.COVARIANCE.P(B4:B10,C4:C10)</f>
        <v>#DIV/0!</v>
      </c>
      <c r="G2" s="6" t="s">
        <v>9</v>
      </c>
      <c r="H2" s="1" t="e">
        <f>F2/F3</f>
        <v>#DIV/0!</v>
      </c>
    </row>
    <row r="3" spans="1:9" x14ac:dyDescent="0.25">
      <c r="A3" s="2" t="s">
        <v>10</v>
      </c>
      <c r="B3" s="2" t="str">
        <f>A1</f>
        <v>?</v>
      </c>
      <c r="C3" s="2" t="s">
        <v>11</v>
      </c>
      <c r="D3" s="3"/>
      <c r="E3" s="2" t="s">
        <v>12</v>
      </c>
      <c r="F3" s="5" t="e">
        <f>_xlfn.VAR.S(C4:C10)</f>
        <v>#DIV/0!</v>
      </c>
      <c r="G3" s="6"/>
      <c r="H3" s="1"/>
    </row>
    <row r="4" spans="1:9" x14ac:dyDescent="0.25">
      <c r="A4" s="5">
        <v>2013</v>
      </c>
      <c r="B4" s="5" t="s">
        <v>41</v>
      </c>
      <c r="C4" s="5" t="s">
        <v>41</v>
      </c>
      <c r="D4" s="3"/>
      <c r="E4" s="3"/>
      <c r="F4" s="3"/>
    </row>
    <row r="5" spans="1:9" x14ac:dyDescent="0.25">
      <c r="A5" s="5">
        <v>2014</v>
      </c>
      <c r="B5" s="5" t="s">
        <v>41</v>
      </c>
      <c r="C5" s="5" t="s">
        <v>41</v>
      </c>
      <c r="D5" s="3"/>
      <c r="E5" s="3"/>
      <c r="F5" s="3"/>
    </row>
    <row r="6" spans="1:9" x14ac:dyDescent="0.25">
      <c r="A6" s="5">
        <v>2015</v>
      </c>
      <c r="B6" s="5" t="s">
        <v>41</v>
      </c>
      <c r="C6" s="5" t="s">
        <v>41</v>
      </c>
      <c r="D6" s="3"/>
      <c r="E6" s="3"/>
      <c r="F6" s="3"/>
    </row>
    <row r="7" spans="1:9" x14ac:dyDescent="0.25">
      <c r="A7" s="5">
        <v>2016</v>
      </c>
      <c r="B7" s="5" t="s">
        <v>41</v>
      </c>
      <c r="C7" s="5" t="s">
        <v>41</v>
      </c>
      <c r="D7" s="3"/>
      <c r="E7" s="3"/>
      <c r="F7" s="3"/>
    </row>
    <row r="8" spans="1:9" x14ac:dyDescent="0.25">
      <c r="A8" s="5">
        <v>2017</v>
      </c>
      <c r="B8" s="5" t="s">
        <v>41</v>
      </c>
      <c r="C8" s="5" t="s">
        <v>41</v>
      </c>
      <c r="D8" s="3"/>
      <c r="E8" s="3"/>
      <c r="F8" s="3"/>
    </row>
    <row r="9" spans="1:9" x14ac:dyDescent="0.25">
      <c r="A9" s="5">
        <v>2018</v>
      </c>
      <c r="B9" s="5" t="s">
        <v>41</v>
      </c>
      <c r="C9" s="5" t="s">
        <v>41</v>
      </c>
      <c r="D9" s="3"/>
      <c r="E9" s="3"/>
      <c r="F9" s="3"/>
    </row>
    <row r="10" spans="1:9" x14ac:dyDescent="0.25">
      <c r="A10" s="5">
        <v>2019</v>
      </c>
      <c r="B10" s="5" t="s">
        <v>41</v>
      </c>
      <c r="C10" s="5" t="s">
        <v>41</v>
      </c>
      <c r="D10" s="3"/>
      <c r="E10" s="3"/>
      <c r="F10" s="3"/>
    </row>
    <row r="11" spans="1:9" x14ac:dyDescent="0.25">
      <c r="A11" s="3"/>
      <c r="B11" s="3"/>
      <c r="C11" s="3"/>
      <c r="D11" s="3"/>
      <c r="E11" s="3"/>
      <c r="F11" s="3"/>
    </row>
    <row r="12" spans="1:9" x14ac:dyDescent="0.25">
      <c r="A12" s="4" t="s">
        <v>42</v>
      </c>
      <c r="B12" s="4"/>
      <c r="C12" s="4"/>
      <c r="D12" s="4"/>
      <c r="E12" s="3"/>
      <c r="F12" s="4" t="s">
        <v>14</v>
      </c>
      <c r="G12" s="4"/>
      <c r="H12" s="4"/>
      <c r="I12" s="4"/>
    </row>
    <row r="13" spans="1:9" x14ac:dyDescent="0.25">
      <c r="A13" s="4" t="s">
        <v>15</v>
      </c>
      <c r="B13" s="4"/>
      <c r="C13" s="4" t="s">
        <v>16</v>
      </c>
      <c r="D13" s="4"/>
      <c r="E13" s="3"/>
      <c r="F13" s="2" t="s">
        <v>17</v>
      </c>
      <c r="G13" s="2" t="s">
        <v>18</v>
      </c>
      <c r="H13" s="2" t="s">
        <v>19</v>
      </c>
      <c r="I13" s="2" t="s">
        <v>20</v>
      </c>
    </row>
    <row r="14" spans="1:9" x14ac:dyDescent="0.25">
      <c r="A14" s="2" t="s">
        <v>21</v>
      </c>
      <c r="B14" s="7" t="s">
        <v>41</v>
      </c>
      <c r="C14" s="2" t="s">
        <v>22</v>
      </c>
      <c r="D14" s="7" t="s">
        <v>41</v>
      </c>
      <c r="E14" s="3"/>
      <c r="F14" s="2" t="s">
        <v>41</v>
      </c>
      <c r="G14" s="5" t="s">
        <v>41</v>
      </c>
      <c r="H14" s="7" t="s">
        <v>41</v>
      </c>
      <c r="I14" s="7" t="s">
        <v>41</v>
      </c>
    </row>
    <row r="15" spans="1:9" x14ac:dyDescent="0.25">
      <c r="A15" s="2" t="s">
        <v>24</v>
      </c>
      <c r="B15" s="7" t="s">
        <v>41</v>
      </c>
      <c r="C15" s="2" t="s">
        <v>25</v>
      </c>
      <c r="D15" s="7" t="s">
        <v>41</v>
      </c>
      <c r="E15" s="3"/>
      <c r="F15" s="2" t="s">
        <v>41</v>
      </c>
      <c r="G15" s="5" t="s">
        <v>41</v>
      </c>
      <c r="H15" s="7" t="s">
        <v>41</v>
      </c>
      <c r="I15" s="7" t="s">
        <v>41</v>
      </c>
    </row>
    <row r="16" spans="1:9" x14ac:dyDescent="0.25">
      <c r="A16" s="2" t="s">
        <v>27</v>
      </c>
      <c r="B16" s="7" t="s">
        <v>41</v>
      </c>
      <c r="C16" s="2" t="s">
        <v>20</v>
      </c>
      <c r="D16" s="7" t="s">
        <v>41</v>
      </c>
      <c r="E16" s="3"/>
      <c r="F16" s="2" t="s">
        <v>41</v>
      </c>
      <c r="G16" s="5" t="s">
        <v>41</v>
      </c>
      <c r="H16" s="7" t="s">
        <v>41</v>
      </c>
      <c r="I16" s="7" t="s">
        <v>41</v>
      </c>
    </row>
    <row r="17" spans="1:9" x14ac:dyDescent="0.25">
      <c r="A17" s="2" t="s">
        <v>29</v>
      </c>
      <c r="B17" s="8">
        <f>SUM(B14:B16)</f>
        <v>0</v>
      </c>
      <c r="C17" s="2" t="s">
        <v>29</v>
      </c>
      <c r="D17" s="8">
        <f>SUM(D14:D16)</f>
        <v>0</v>
      </c>
      <c r="E17" s="3"/>
      <c r="F17" s="2" t="s">
        <v>30</v>
      </c>
      <c r="G17" s="5" t="e">
        <f>AVERAGE(G14:G16)</f>
        <v>#DIV/0!</v>
      </c>
      <c r="H17" s="5"/>
      <c r="I17" s="5"/>
    </row>
    <row r="18" spans="1:9" x14ac:dyDescent="0.25">
      <c r="A18" s="3"/>
      <c r="B18" s="3"/>
      <c r="C18" s="3"/>
      <c r="D18" s="3"/>
      <c r="E18" s="3"/>
      <c r="F18" s="3"/>
      <c r="G18" s="2" t="s">
        <v>29</v>
      </c>
      <c r="H18" s="7">
        <f>SUM(H14:H16)</f>
        <v>0</v>
      </c>
      <c r="I18" s="7">
        <f>SUM(I14:I16)</f>
        <v>0</v>
      </c>
    </row>
    <row r="19" spans="1:9" x14ac:dyDescent="0.25">
      <c r="A19" s="2" t="s">
        <v>3</v>
      </c>
      <c r="B19" s="9" t="s">
        <v>41</v>
      </c>
      <c r="C19" s="3"/>
      <c r="D19" s="3"/>
      <c r="E19" s="3"/>
      <c r="F19" s="3"/>
    </row>
    <row r="20" spans="1:9" x14ac:dyDescent="0.25">
      <c r="A20" s="2" t="s">
        <v>0</v>
      </c>
      <c r="B20" s="9" t="s">
        <v>41</v>
      </c>
      <c r="C20" s="3"/>
      <c r="D20" s="3"/>
      <c r="E20" s="3"/>
      <c r="F20" s="3"/>
    </row>
    <row r="21" spans="1:9" x14ac:dyDescent="0.25">
      <c r="A21" s="2" t="s">
        <v>1</v>
      </c>
      <c r="B21" s="9" t="s">
        <v>41</v>
      </c>
      <c r="C21" s="3"/>
      <c r="D21" s="3"/>
      <c r="E21" s="3"/>
      <c r="F21" s="3"/>
    </row>
    <row r="22" spans="1:9" x14ac:dyDescent="0.25">
      <c r="A22" s="2" t="s">
        <v>31</v>
      </c>
      <c r="B22" s="9" t="e">
        <f>B21-B20</f>
        <v>#VALUE!</v>
      </c>
      <c r="C22" s="3"/>
      <c r="D22" s="3"/>
      <c r="E22" s="3"/>
      <c r="F22" s="3"/>
    </row>
    <row r="23" spans="1:9" x14ac:dyDescent="0.25">
      <c r="A23" s="2" t="s">
        <v>32</v>
      </c>
      <c r="B23" s="9" t="s">
        <v>41</v>
      </c>
      <c r="C23" s="3"/>
      <c r="D23" s="3"/>
      <c r="E23" s="3"/>
      <c r="F23" s="3"/>
    </row>
    <row r="24" spans="1:9" x14ac:dyDescent="0.25">
      <c r="A24" s="3"/>
      <c r="B24" s="3"/>
      <c r="C24" s="3"/>
      <c r="D24" s="3"/>
      <c r="E24" s="3"/>
      <c r="F24" s="3"/>
    </row>
    <row r="25" spans="1:9" x14ac:dyDescent="0.25">
      <c r="A25" s="5"/>
      <c r="B25" s="2" t="s">
        <v>19</v>
      </c>
      <c r="C25" s="2" t="s">
        <v>20</v>
      </c>
      <c r="D25" s="2" t="s">
        <v>29</v>
      </c>
      <c r="E25" s="2" t="s">
        <v>33</v>
      </c>
      <c r="F25" s="2" t="s">
        <v>34</v>
      </c>
      <c r="G25" s="2" t="s">
        <v>9</v>
      </c>
      <c r="H25" s="2" t="s">
        <v>35</v>
      </c>
      <c r="I25" s="2" t="s">
        <v>36</v>
      </c>
    </row>
    <row r="26" spans="1:9" x14ac:dyDescent="0.25">
      <c r="A26" s="2" t="s">
        <v>41</v>
      </c>
      <c r="B26" s="7" t="s">
        <v>41</v>
      </c>
      <c r="C26" s="7" t="s">
        <v>41</v>
      </c>
      <c r="D26" s="7" t="e">
        <f>B26+C26</f>
        <v>#VALUE!</v>
      </c>
      <c r="E26" s="5" t="e">
        <f>D26/D29</f>
        <v>#VALUE!</v>
      </c>
      <c r="F26" s="5" t="e">
        <f>H2/(1+(1-B19)*(B26/C26))</f>
        <v>#DIV/0!</v>
      </c>
      <c r="G26" s="5" t="e">
        <f>H2</f>
        <v>#DIV/0!</v>
      </c>
      <c r="H26" s="5" t="e">
        <f>B20+G26*B22</f>
        <v>#VALUE!</v>
      </c>
      <c r="I26" s="11" t="e">
        <f>(B26/D26)*(1-B19)*B23+(C26/D26)*H26</f>
        <v>#VALUE!</v>
      </c>
    </row>
    <row r="27" spans="1:9" x14ac:dyDescent="0.25">
      <c r="A27" s="2" t="s">
        <v>41</v>
      </c>
      <c r="B27" s="7" t="s">
        <v>41</v>
      </c>
      <c r="C27" s="7" t="s">
        <v>41</v>
      </c>
      <c r="D27" s="7" t="e">
        <f t="shared" ref="D27:D29" si="0">B27+C27</f>
        <v>#VALUE!</v>
      </c>
      <c r="E27" s="5" t="e">
        <f>D27/D29</f>
        <v>#VALUE!</v>
      </c>
      <c r="F27" s="5" t="s">
        <v>41</v>
      </c>
      <c r="G27" s="5" t="e">
        <f>F27*(1+(1-B19)*(B27/C27))</f>
        <v>#VALUE!</v>
      </c>
      <c r="H27" s="5" t="e">
        <f>B20+G27*B22</f>
        <v>#VALUE!</v>
      </c>
      <c r="I27" s="11" t="e">
        <f>(B27/D27)*(1-B19)*B23+(C27/D27)*H27</f>
        <v>#VALUE!</v>
      </c>
    </row>
    <row r="28" spans="1:9" x14ac:dyDescent="0.25">
      <c r="A28" s="2" t="s">
        <v>41</v>
      </c>
      <c r="B28" s="7">
        <f>SUM(D14:D15)</f>
        <v>0</v>
      </c>
      <c r="C28" s="7" t="str">
        <f>D16</f>
        <v>?</v>
      </c>
      <c r="D28" s="7" t="e">
        <f t="shared" si="0"/>
        <v>#VALUE!</v>
      </c>
      <c r="E28" s="5" t="e">
        <f>D28/D29</f>
        <v>#VALUE!</v>
      </c>
      <c r="F28" s="5" t="e">
        <f>G17/(1+(1-B19)*(H18/I18))</f>
        <v>#DIV/0!</v>
      </c>
      <c r="G28" s="5" t="e">
        <f>F28*(1+(1-B19)*(B28/C28))</f>
        <v>#DIV/0!</v>
      </c>
      <c r="H28" s="5" t="e">
        <f>B20+G28*B22</f>
        <v>#VALUE!</v>
      </c>
      <c r="I28" s="11" t="e">
        <f>(B28/D28)*(1-B19)*B23+(C28/D28)*H28</f>
        <v>#VALUE!</v>
      </c>
    </row>
    <row r="29" spans="1:9" x14ac:dyDescent="0.25">
      <c r="A29" s="2" t="s">
        <v>39</v>
      </c>
      <c r="B29" s="7">
        <f>SUM(B26:B28)</f>
        <v>0</v>
      </c>
      <c r="C29" s="7">
        <f>SUM(C26:C28)</f>
        <v>0</v>
      </c>
      <c r="D29" s="7">
        <f t="shared" si="0"/>
        <v>0</v>
      </c>
      <c r="E29" s="5" t="e">
        <f>D29/D29</f>
        <v>#DIV/0!</v>
      </c>
      <c r="F29" s="5" t="e">
        <f>F26*E26+F27*E27+F28*E28</f>
        <v>#DIV/0!</v>
      </c>
      <c r="G29" s="5" t="e">
        <f>F29*(1+(1-B19)*(B29/C29))</f>
        <v>#DIV/0!</v>
      </c>
      <c r="H29" s="5" t="e">
        <f>B20+G29*B22</f>
        <v>#VALUE!</v>
      </c>
      <c r="I29" s="11" t="e">
        <f>(B29/D29)*(1-B19)*B23+(C29/D29)*H29</f>
        <v>#DIV/0!</v>
      </c>
    </row>
  </sheetData>
  <mergeCells count="8">
    <mergeCell ref="A13:B13"/>
    <mergeCell ref="C13:D13"/>
    <mergeCell ref="A1:A2"/>
    <mergeCell ref="E1:H1"/>
    <mergeCell ref="G2:G3"/>
    <mergeCell ref="H2:H3"/>
    <mergeCell ref="A12:D12"/>
    <mergeCell ref="F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1320-C0A8-44E1-BA7E-FE56EDC3C8C2}">
  <dimension ref="A1:K33"/>
  <sheetViews>
    <sheetView workbookViewId="0">
      <selection activeCell="H35" sqref="H35"/>
    </sheetView>
  </sheetViews>
  <sheetFormatPr baseColWidth="10" defaultRowHeight="15" x14ac:dyDescent="0.25"/>
  <sheetData>
    <row r="1" spans="1:11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x14ac:dyDescent="0.25">
      <c r="C3" s="14" t="s">
        <v>44</v>
      </c>
      <c r="D3" s="15"/>
      <c r="E3" s="5" t="s">
        <v>45</v>
      </c>
      <c r="F3" s="16" t="s">
        <v>46</v>
      </c>
      <c r="G3" s="17" t="s">
        <v>47</v>
      </c>
    </row>
    <row r="4" spans="1:11" x14ac:dyDescent="0.25">
      <c r="C4" s="14" t="s">
        <v>48</v>
      </c>
      <c r="D4" s="15"/>
      <c r="E4" s="17">
        <v>5000</v>
      </c>
      <c r="F4" s="17">
        <v>8000</v>
      </c>
      <c r="G4" s="17">
        <v>4000</v>
      </c>
    </row>
    <row r="5" spans="1:11" x14ac:dyDescent="0.25">
      <c r="C5" s="14" t="s">
        <v>49</v>
      </c>
      <c r="D5" s="15"/>
      <c r="E5" s="18">
        <f>PV(E8,E9,,E4)</f>
        <v>-2019.4161398968456</v>
      </c>
      <c r="F5" s="18">
        <f>PV(F8,F9,,F4)</f>
        <v>-3231.0658238349529</v>
      </c>
      <c r="G5" s="18">
        <f>PV(G8,G9,,G4)</f>
        <v>-1615.5329119174764</v>
      </c>
    </row>
    <row r="6" spans="1:11" x14ac:dyDescent="0.25">
      <c r="C6" s="14" t="s">
        <v>50</v>
      </c>
      <c r="D6" s="15"/>
      <c r="E6" s="19">
        <v>150000</v>
      </c>
      <c r="F6" s="17">
        <v>180000</v>
      </c>
      <c r="G6" s="17">
        <v>350000</v>
      </c>
    </row>
    <row r="7" spans="1:11" x14ac:dyDescent="0.25">
      <c r="C7" s="20" t="s">
        <v>51</v>
      </c>
      <c r="D7" s="21"/>
      <c r="E7" s="17">
        <f>SUM(E4:E6)</f>
        <v>152980.58386010316</v>
      </c>
      <c r="F7" s="17">
        <f t="shared" ref="F7:G7" si="0">SUM(F4:F6)</f>
        <v>184768.93417616506</v>
      </c>
      <c r="G7" s="17">
        <f t="shared" si="0"/>
        <v>352384.46708808251</v>
      </c>
    </row>
    <row r="8" spans="1:11" x14ac:dyDescent="0.25">
      <c r="C8" s="20" t="s">
        <v>52</v>
      </c>
      <c r="D8" s="21"/>
      <c r="E8" s="22">
        <v>0.12</v>
      </c>
      <c r="F8" s="22">
        <v>0.12</v>
      </c>
      <c r="G8" s="22">
        <v>0.12</v>
      </c>
    </row>
    <row r="9" spans="1:11" x14ac:dyDescent="0.25">
      <c r="C9" s="20" t="s">
        <v>53</v>
      </c>
      <c r="D9" s="21"/>
      <c r="E9" s="23">
        <v>8</v>
      </c>
      <c r="F9" s="16">
        <v>8</v>
      </c>
      <c r="G9" s="17">
        <v>8</v>
      </c>
    </row>
    <row r="10" spans="1:11" x14ac:dyDescent="0.25">
      <c r="C10" s="20" t="s">
        <v>54</v>
      </c>
      <c r="D10" s="21"/>
      <c r="E10" s="24">
        <f>-PMT(E8,E9,E7)</f>
        <v>30795.426206490043</v>
      </c>
      <c r="F10" s="24">
        <f t="shared" ref="F10:G10" si="1">-PMT(F8,F9,F7)</f>
        <v>37194.511447788049</v>
      </c>
      <c r="G10" s="24">
        <f t="shared" si="1"/>
        <v>70935.994481810092</v>
      </c>
    </row>
    <row r="11" spans="1:11" x14ac:dyDescent="0.25">
      <c r="C11" s="20" t="s">
        <v>55</v>
      </c>
      <c r="D11" s="21"/>
      <c r="E11" s="19">
        <v>12000</v>
      </c>
      <c r="F11" s="17">
        <v>15000</v>
      </c>
      <c r="G11" s="17">
        <v>25000</v>
      </c>
    </row>
    <row r="12" spans="1:11" x14ac:dyDescent="0.25">
      <c r="C12" s="20" t="s">
        <v>56</v>
      </c>
      <c r="D12" s="21"/>
      <c r="E12" s="17">
        <v>49000</v>
      </c>
      <c r="F12" s="17">
        <v>63000</v>
      </c>
      <c r="G12" s="17">
        <v>98000</v>
      </c>
    </row>
    <row r="13" spans="1:11" x14ac:dyDescent="0.25">
      <c r="C13" s="20" t="s">
        <v>57</v>
      </c>
      <c r="D13" s="21"/>
      <c r="E13" s="17">
        <f>E12-E11</f>
        <v>37000</v>
      </c>
      <c r="F13" s="17">
        <f t="shared" ref="F13:G13" si="2">F12-F11</f>
        <v>48000</v>
      </c>
      <c r="G13" s="17">
        <f t="shared" si="2"/>
        <v>73000</v>
      </c>
    </row>
    <row r="14" spans="1:11" x14ac:dyDescent="0.25">
      <c r="C14" s="20" t="s">
        <v>58</v>
      </c>
      <c r="D14" s="21"/>
      <c r="E14" s="19">
        <v>5000</v>
      </c>
      <c r="F14" s="16">
        <v>7000</v>
      </c>
      <c r="G14" s="17">
        <v>9000</v>
      </c>
    </row>
    <row r="15" spans="1:11" x14ac:dyDescent="0.25">
      <c r="C15" s="20" t="s">
        <v>59</v>
      </c>
      <c r="D15" s="21"/>
      <c r="E15" s="25">
        <f>E13/(E10+E14)</f>
        <v>1.0336516119842025</v>
      </c>
      <c r="F15" s="26">
        <f t="shared" ref="F15:G15" si="3">F13/(F10+F14)</f>
        <v>1.0861077185276231</v>
      </c>
      <c r="G15" s="25">
        <f t="shared" si="3"/>
        <v>0.91323064751025995</v>
      </c>
    </row>
    <row r="17" spans="1:11" x14ac:dyDescent="0.25">
      <c r="C17" s="27" t="s">
        <v>60</v>
      </c>
      <c r="H17" s="28"/>
      <c r="I17" s="28"/>
      <c r="J17" s="28"/>
      <c r="K17" s="28"/>
    </row>
    <row r="18" spans="1:11" x14ac:dyDescent="0.25">
      <c r="A18" s="13" t="s">
        <v>61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20" spans="1:11" x14ac:dyDescent="0.25">
      <c r="C20" s="30" t="s">
        <v>62</v>
      </c>
      <c r="D20" s="30"/>
      <c r="E20" s="31">
        <v>0.18</v>
      </c>
    </row>
    <row r="21" spans="1:11" x14ac:dyDescent="0.25">
      <c r="C21" s="30" t="s">
        <v>63</v>
      </c>
      <c r="D21" s="30"/>
      <c r="E21" s="17">
        <v>1000</v>
      </c>
    </row>
    <row r="23" spans="1:11" x14ac:dyDescent="0.25">
      <c r="C23" s="5" t="s">
        <v>64</v>
      </c>
      <c r="D23" s="5">
        <v>0</v>
      </c>
      <c r="E23" s="5">
        <v>1</v>
      </c>
      <c r="F23" s="5">
        <v>2</v>
      </c>
      <c r="G23" s="5" t="s">
        <v>65</v>
      </c>
    </row>
    <row r="24" spans="1:11" x14ac:dyDescent="0.25">
      <c r="C24" s="5" t="s">
        <v>66</v>
      </c>
      <c r="D24" s="7">
        <v>-500</v>
      </c>
      <c r="E24" s="7">
        <v>350</v>
      </c>
      <c r="F24" s="7">
        <v>460</v>
      </c>
      <c r="G24" s="9">
        <f>IRR(D24:F24)</f>
        <v>0.3710288928330967</v>
      </c>
    </row>
    <row r="25" spans="1:11" x14ac:dyDescent="0.25">
      <c r="C25" s="5" t="s">
        <v>67</v>
      </c>
      <c r="D25" s="7">
        <v>-800</v>
      </c>
      <c r="E25" s="7">
        <v>940</v>
      </c>
      <c r="F25" s="7">
        <v>130</v>
      </c>
      <c r="G25" s="9">
        <f>IRR(D25:F25)</f>
        <v>0.29999999999994342</v>
      </c>
    </row>
    <row r="26" spans="1:11" x14ac:dyDescent="0.25">
      <c r="C26" s="3"/>
      <c r="D26" s="3"/>
      <c r="E26" s="3"/>
      <c r="F26" s="3"/>
      <c r="G26" s="32"/>
    </row>
    <row r="27" spans="1:11" x14ac:dyDescent="0.25">
      <c r="D27" s="5" t="s">
        <v>66</v>
      </c>
      <c r="E27" s="5" t="s">
        <v>67</v>
      </c>
      <c r="F27" s="3"/>
      <c r="G27" s="32"/>
    </row>
    <row r="28" spans="1:11" x14ac:dyDescent="0.25">
      <c r="C28" s="5" t="s">
        <v>68</v>
      </c>
      <c r="D28" s="7">
        <v>500</v>
      </c>
      <c r="E28" s="7">
        <v>800</v>
      </c>
      <c r="F28" s="3"/>
      <c r="G28" s="32"/>
    </row>
    <row r="30" spans="1:11" x14ac:dyDescent="0.25">
      <c r="C30" s="33" t="s">
        <v>69</v>
      </c>
      <c r="D30" s="16" t="s">
        <v>66</v>
      </c>
      <c r="E30" s="34">
        <f>(D28*G24+(E21-D28)*E20)/E21</f>
        <v>0.27551444641654838</v>
      </c>
    </row>
    <row r="31" spans="1:11" x14ac:dyDescent="0.25">
      <c r="C31" s="33"/>
      <c r="D31" s="16" t="s">
        <v>67</v>
      </c>
      <c r="E31" s="35">
        <f>(E28*G25+(E21-E28)*E20)/E21</f>
        <v>0.27599999999995473</v>
      </c>
    </row>
    <row r="33" spans="3:3" x14ac:dyDescent="0.25">
      <c r="C33" s="27" t="s">
        <v>70</v>
      </c>
    </row>
  </sheetData>
  <mergeCells count="16">
    <mergeCell ref="C15:D15"/>
    <mergeCell ref="C20:D20"/>
    <mergeCell ref="C21:D21"/>
    <mergeCell ref="C30:C31"/>
    <mergeCell ref="C9:D9"/>
    <mergeCell ref="C10:D10"/>
    <mergeCell ref="C11:D11"/>
    <mergeCell ref="C12:D12"/>
    <mergeCell ref="C13:D13"/>
    <mergeCell ref="C14:D14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E082-8D0E-41E6-84F4-33B5A2D3085F}">
  <dimension ref="A1:L15"/>
  <sheetViews>
    <sheetView workbookViewId="0">
      <selection activeCell="D13" sqref="D13"/>
    </sheetView>
  </sheetViews>
  <sheetFormatPr baseColWidth="10" defaultRowHeight="15" x14ac:dyDescent="0.25"/>
  <cols>
    <col min="3" max="3" width="25" bestFit="1" customWidth="1"/>
    <col min="4" max="4" width="53.85546875" bestFit="1" customWidth="1"/>
    <col min="6" max="6" width="2.5703125" bestFit="1" customWidth="1"/>
    <col min="7" max="12" width="2" bestFit="1" customWidth="1"/>
  </cols>
  <sheetData>
    <row r="1" spans="1:12" x14ac:dyDescent="0.25">
      <c r="A1" s="36" t="s">
        <v>71</v>
      </c>
      <c r="B1" s="37"/>
      <c r="C1" s="5" t="s">
        <v>41</v>
      </c>
      <c r="F1" s="16" t="s">
        <v>72</v>
      </c>
      <c r="G1" s="16">
        <v>0</v>
      </c>
      <c r="H1" s="16">
        <v>1</v>
      </c>
      <c r="I1" s="16">
        <v>2</v>
      </c>
      <c r="J1" s="16">
        <v>3</v>
      </c>
      <c r="K1" s="16">
        <v>4</v>
      </c>
      <c r="L1" s="16">
        <v>5</v>
      </c>
    </row>
    <row r="2" spans="1:12" x14ac:dyDescent="0.25">
      <c r="A2" s="36" t="s">
        <v>73</v>
      </c>
      <c r="B2" s="37"/>
      <c r="C2" s="9" t="s">
        <v>41</v>
      </c>
      <c r="F2" s="16"/>
      <c r="G2" s="16" t="s">
        <v>41</v>
      </c>
      <c r="H2" s="16" t="s">
        <v>41</v>
      </c>
      <c r="I2" s="16" t="s">
        <v>41</v>
      </c>
      <c r="J2" s="16" t="s">
        <v>41</v>
      </c>
      <c r="K2" s="16" t="s">
        <v>41</v>
      </c>
      <c r="L2" s="16" t="s">
        <v>41</v>
      </c>
    </row>
    <row r="3" spans="1:12" x14ac:dyDescent="0.25">
      <c r="A3" s="36" t="s">
        <v>74</v>
      </c>
      <c r="B3" s="37"/>
      <c r="C3" s="5" t="e">
        <f>NPV(C2,H2:L2)+G2</f>
        <v>#VALUE!</v>
      </c>
    </row>
    <row r="4" spans="1:12" x14ac:dyDescent="0.25">
      <c r="A4" s="36" t="s">
        <v>75</v>
      </c>
      <c r="B4" s="37"/>
      <c r="C4" s="7" t="e">
        <f>C3-G2</f>
        <v>#VALUE!</v>
      </c>
      <c r="D4" t="s">
        <v>76</v>
      </c>
    </row>
    <row r="5" spans="1:12" x14ac:dyDescent="0.25">
      <c r="A5" s="36" t="s">
        <v>77</v>
      </c>
      <c r="B5" s="37"/>
      <c r="C5" s="7" t="s">
        <v>41</v>
      </c>
    </row>
    <row r="6" spans="1:12" x14ac:dyDescent="0.25">
      <c r="A6" s="36" t="s">
        <v>78</v>
      </c>
      <c r="B6" s="37"/>
      <c r="C6" s="5" t="e">
        <f>(LN(C4/C5)+(C8+(C7^2)/2)*C9)/(C7*SQRT(C9))</f>
        <v>#VALUE!</v>
      </c>
    </row>
    <row r="7" spans="1:12" x14ac:dyDescent="0.25">
      <c r="A7" s="36" t="s">
        <v>79</v>
      </c>
      <c r="B7" s="37"/>
      <c r="C7" s="9" t="s">
        <v>41</v>
      </c>
    </row>
    <row r="8" spans="1:12" x14ac:dyDescent="0.25">
      <c r="A8" s="36" t="s">
        <v>80</v>
      </c>
      <c r="B8" s="37"/>
      <c r="C8" s="9" t="s">
        <v>41</v>
      </c>
    </row>
    <row r="9" spans="1:12" x14ac:dyDescent="0.25">
      <c r="A9" s="36" t="s">
        <v>81</v>
      </c>
      <c r="B9" s="37"/>
      <c r="C9" s="5" t="s">
        <v>41</v>
      </c>
    </row>
    <row r="10" spans="1:12" x14ac:dyDescent="0.25">
      <c r="A10" s="36" t="s">
        <v>82</v>
      </c>
      <c r="B10" s="37"/>
      <c r="C10" s="5" t="e">
        <f>C6-C7*SQRT(C9)</f>
        <v>#VALUE!</v>
      </c>
    </row>
    <row r="11" spans="1:12" x14ac:dyDescent="0.25">
      <c r="A11" s="36" t="s">
        <v>83</v>
      </c>
      <c r="B11" s="37"/>
      <c r="C11" s="5" t="e">
        <f>C4*NORMSDIST(C6) - NORMSDIST(C10)*C5*EXP(-C8*C9)</f>
        <v>#VALUE!</v>
      </c>
    </row>
    <row r="12" spans="1:12" x14ac:dyDescent="0.25">
      <c r="A12" s="38" t="s">
        <v>84</v>
      </c>
      <c r="B12" s="39"/>
      <c r="C12" s="40" t="s">
        <v>85</v>
      </c>
    </row>
    <row r="13" spans="1:12" x14ac:dyDescent="0.25">
      <c r="A13" s="41" t="e">
        <f>NORMSDIST(-C10)*C5*EXP(-C8*C9) - C4*NORMSDIST(-C6)</f>
        <v>#VALUE!</v>
      </c>
      <c r="B13" s="42"/>
      <c r="C13" s="5" t="e">
        <f>C4*NORMSDIST(C6) - NORMSDIST(C10)*C5*EXP(-C8*C9)</f>
        <v>#VALUE!</v>
      </c>
    </row>
    <row r="14" spans="1:12" x14ac:dyDescent="0.25">
      <c r="A14" s="38" t="s">
        <v>86</v>
      </c>
      <c r="B14" s="39"/>
      <c r="C14" s="40" t="s">
        <v>87</v>
      </c>
    </row>
    <row r="15" spans="1:12" x14ac:dyDescent="0.25">
      <c r="A15" s="36" t="e">
        <f>C3+C1*A13</f>
        <v>#VALUE!</v>
      </c>
      <c r="B15" s="37"/>
      <c r="C15" s="5" t="e">
        <f>C3+C1*C13</f>
        <v>#VALUE!</v>
      </c>
    </row>
  </sheetData>
  <mergeCells count="15">
    <mergeCell ref="A13:B13"/>
    <mergeCell ref="A14:B14"/>
    <mergeCell ref="A15:B15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2990-909C-46B2-AB7E-E494BD78AA3A}">
  <dimension ref="H3:AB35"/>
  <sheetViews>
    <sheetView workbookViewId="0">
      <selection activeCell="O38" sqref="O38"/>
    </sheetView>
  </sheetViews>
  <sheetFormatPr baseColWidth="10" defaultRowHeight="15" x14ac:dyDescent="0.25"/>
  <cols>
    <col min="6" max="6" width="12" bestFit="1" customWidth="1"/>
    <col min="7" max="8" width="11.5703125" bestFit="1" customWidth="1"/>
    <col min="9" max="9" width="14" bestFit="1" customWidth="1"/>
    <col min="10" max="10" width="10.5703125" bestFit="1" customWidth="1"/>
    <col min="11" max="11" width="6.5703125" bestFit="1" customWidth="1"/>
    <col min="12" max="12" width="10.140625" bestFit="1" customWidth="1"/>
    <col min="13" max="13" width="23.42578125" bestFit="1" customWidth="1"/>
    <col min="14" max="14" width="14.140625" bestFit="1" customWidth="1"/>
    <col min="15" max="19" width="11.7109375" bestFit="1" customWidth="1"/>
    <col min="20" max="20" width="4.5703125" bestFit="1" customWidth="1"/>
    <col min="22" max="22" width="8.85546875" bestFit="1" customWidth="1"/>
    <col min="23" max="23" width="11.140625" bestFit="1" customWidth="1"/>
    <col min="24" max="24" width="17.42578125" bestFit="1" customWidth="1"/>
    <col min="25" max="25" width="10" bestFit="1" customWidth="1"/>
    <col min="26" max="26" width="12.7109375" bestFit="1" customWidth="1"/>
    <col min="27" max="27" width="9.42578125" bestFit="1" customWidth="1"/>
    <col min="28" max="28" width="10.140625" bestFit="1" customWidth="1"/>
  </cols>
  <sheetData>
    <row r="3" spans="8:23" x14ac:dyDescent="0.25">
      <c r="M3" s="16" t="s">
        <v>72</v>
      </c>
      <c r="N3" s="16">
        <v>0</v>
      </c>
      <c r="O3" s="16">
        <v>1</v>
      </c>
      <c r="P3" s="16">
        <v>2</v>
      </c>
      <c r="Q3" s="16">
        <v>3</v>
      </c>
      <c r="R3" s="16">
        <v>4</v>
      </c>
      <c r="S3" s="16">
        <v>5</v>
      </c>
    </row>
    <row r="4" spans="8:23" x14ac:dyDescent="0.25">
      <c r="L4" s="43">
        <v>3.5000000000000003E-2</v>
      </c>
      <c r="M4" s="16" t="s">
        <v>88</v>
      </c>
      <c r="N4" s="16"/>
      <c r="O4" s="46">
        <v>6700</v>
      </c>
      <c r="P4" s="46">
        <f>O4*(1+$L$4)</f>
        <v>6934.4999999999991</v>
      </c>
      <c r="Q4" s="46">
        <f>P4*(1+$L$4)</f>
        <v>7177.2074999999986</v>
      </c>
      <c r="R4" s="46">
        <f>Q4*(1+$L$4)</f>
        <v>7428.4097624999977</v>
      </c>
      <c r="S4" s="46">
        <f>R4*(1+$L$4)</f>
        <v>7688.4041041874971</v>
      </c>
    </row>
    <row r="5" spans="8:23" x14ac:dyDescent="0.25">
      <c r="I5" s="48" t="s">
        <v>92</v>
      </c>
      <c r="J5" s="48"/>
      <c r="K5" s="48"/>
      <c r="L5" s="43">
        <v>8.3000000000000004E-2</v>
      </c>
      <c r="M5" s="16" t="s">
        <v>89</v>
      </c>
      <c r="N5" s="17"/>
      <c r="O5" s="17">
        <v>280</v>
      </c>
      <c r="P5" s="17">
        <f>O5*(1+$L$5)</f>
        <v>303.24</v>
      </c>
      <c r="Q5" s="17">
        <f>P5*(1+$L$5)</f>
        <v>328.40892000000002</v>
      </c>
      <c r="R5" s="17">
        <f>Q5*(1+$L$5)</f>
        <v>355.66686035999999</v>
      </c>
      <c r="S5" s="17">
        <f>R5*(1+$L$5)</f>
        <v>385.18720976987998</v>
      </c>
    </row>
    <row r="6" spans="8:23" x14ac:dyDescent="0.25">
      <c r="I6" s="16" t="s">
        <v>93</v>
      </c>
      <c r="J6" s="31">
        <v>0.5</v>
      </c>
      <c r="K6" s="16"/>
      <c r="M6" s="16" t="s">
        <v>90</v>
      </c>
      <c r="N6" s="17"/>
      <c r="O6" s="17">
        <f>O4*O5</f>
        <v>1876000</v>
      </c>
      <c r="P6" s="17">
        <f t="shared" ref="P6:S6" si="0">P4*P5</f>
        <v>2102817.7799999998</v>
      </c>
      <c r="Q6" s="17">
        <f t="shared" si="0"/>
        <v>2357058.9636908998</v>
      </c>
      <c r="R6" s="17">
        <f t="shared" si="0"/>
        <v>2642039.1776959472</v>
      </c>
      <c r="S6" s="17">
        <f t="shared" si="0"/>
        <v>2961474.9244752754</v>
      </c>
    </row>
    <row r="7" spans="8:23" x14ac:dyDescent="0.25">
      <c r="H7" s="45"/>
      <c r="I7" s="16" t="s">
        <v>95</v>
      </c>
      <c r="J7" s="31">
        <v>0.01</v>
      </c>
      <c r="K7" s="16"/>
      <c r="N7" s="28"/>
      <c r="O7" s="28"/>
      <c r="P7" s="28"/>
      <c r="Q7" s="28"/>
      <c r="R7" s="28"/>
      <c r="S7" s="28"/>
    </row>
    <row r="8" spans="8:23" x14ac:dyDescent="0.25">
      <c r="H8" s="45"/>
      <c r="I8" s="16" t="s">
        <v>94</v>
      </c>
      <c r="J8" s="16">
        <v>30</v>
      </c>
      <c r="K8" s="31">
        <v>0.25</v>
      </c>
      <c r="L8" s="43">
        <v>2.5000000000000001E-2</v>
      </c>
      <c r="M8" s="16" t="s">
        <v>91</v>
      </c>
      <c r="N8" s="17"/>
      <c r="O8" s="17">
        <f>O6*(1-$L$8)</f>
        <v>1829100</v>
      </c>
      <c r="P8" s="17">
        <f>P6*(1-$L$8)</f>
        <v>2050247.3354999998</v>
      </c>
      <c r="Q8" s="17">
        <f>Q6*(1-$L$8)</f>
        <v>2298132.4895986272</v>
      </c>
      <c r="R8" s="17">
        <f>R6*(1-$L$8)</f>
        <v>2575988.1982535487</v>
      </c>
      <c r="S8" s="17">
        <f>S6*(1-$L$8)</f>
        <v>2887438.0513633937</v>
      </c>
    </row>
    <row r="9" spans="8:23" x14ac:dyDescent="0.25">
      <c r="I9" s="16" t="s">
        <v>94</v>
      </c>
      <c r="J9" s="16">
        <v>60</v>
      </c>
      <c r="K9" s="31">
        <v>0.25</v>
      </c>
      <c r="M9" s="16" t="s">
        <v>92</v>
      </c>
      <c r="N9" s="17"/>
      <c r="O9" s="17">
        <f>O8*$J$6+(O8*$K$8)/POWER(1+$J$7,$J$8/30)+(O8*$K$9)/POWER(1+$J$7,$J$9/30)</f>
        <v>1815562.4007450251</v>
      </c>
      <c r="P9" s="17">
        <f>P8*$J$6+(P8*$K$8)/POWER(1+$J$7,$J$8/30)+(P8*$K$9)/POWER(1+$J$7,$J$9/30)</f>
        <v>2035072.9728071021</v>
      </c>
      <c r="Q9" s="17">
        <f>Q8*$J$6+(Q8*$K$8)/POWER(1+$J$7,$J$8/30)+(Q8*$K$9)/POWER(1+$J$7,$J$9/30)</f>
        <v>2281123.4705843446</v>
      </c>
      <c r="R9" s="17">
        <f>R8*$J$6+(R8*$K$8)/POWER(1+$J$7,$J$8/30)+(R8*$K$9)/POWER(1+$J$7,$J$9/30)</f>
        <v>2556922.7037953446</v>
      </c>
      <c r="S9" s="17">
        <f>S8*$J$6+(S8*$K$8)/POWER(1+$J$7,$J$8/30)+(S8*$K$9)/POWER(1+$J$7,$J$9/30)</f>
        <v>2866067.44329772</v>
      </c>
    </row>
    <row r="10" spans="8:23" x14ac:dyDescent="0.25">
      <c r="N10" s="28"/>
      <c r="O10" s="28"/>
      <c r="P10" s="28"/>
      <c r="Q10" s="28"/>
      <c r="R10" s="28"/>
      <c r="S10" s="28"/>
    </row>
    <row r="11" spans="8:23" x14ac:dyDescent="0.25">
      <c r="I11" s="16" t="s">
        <v>0</v>
      </c>
      <c r="J11" s="31">
        <v>0.02</v>
      </c>
      <c r="L11" s="28"/>
      <c r="M11" s="16" t="s">
        <v>97</v>
      </c>
      <c r="N11" s="17"/>
      <c r="O11" s="17">
        <f>-IF(O4&lt;=$J$20,O4*$K$19,O4*$K$20)</f>
        <v>-1246200</v>
      </c>
      <c r="P11" s="17">
        <f>-IF(P4&lt;=$J$20,P4*$K$19,P4*$K$20)</f>
        <v>-1289816.9999999998</v>
      </c>
      <c r="Q11" s="17">
        <f>-IF(Q4&lt;=$J$20,Q4*$K$19,Q4*$K$20)</f>
        <v>-1399555.4624999997</v>
      </c>
      <c r="R11" s="17">
        <f>-IF(R4&lt;=$J$20,R4*$K$19,R4*$K$20)</f>
        <v>-1448539.9036874995</v>
      </c>
      <c r="S11" s="17">
        <f>-IF(S4&lt;=$J$20,S4*$K$19,S4*$K$20)</f>
        <v>-1499238.8003165619</v>
      </c>
      <c r="V11" s="54" t="s">
        <v>118</v>
      </c>
      <c r="W11" s="55"/>
    </row>
    <row r="12" spans="8:23" x14ac:dyDescent="0.25">
      <c r="I12" s="16" t="s">
        <v>1</v>
      </c>
      <c r="J12" s="31">
        <v>0.1</v>
      </c>
      <c r="M12" s="16" t="s">
        <v>99</v>
      </c>
      <c r="N12" s="17"/>
      <c r="O12" s="57">
        <f>-$J$24</f>
        <v>-204000</v>
      </c>
      <c r="P12" s="57">
        <f>-$J$24</f>
        <v>-204000</v>
      </c>
      <c r="Q12" s="57">
        <f>-$J$24</f>
        <v>-204000</v>
      </c>
      <c r="R12" s="57">
        <f>-$J$24</f>
        <v>-204000</v>
      </c>
      <c r="S12" s="57">
        <f>-$J$24</f>
        <v>-204000</v>
      </c>
      <c r="V12" s="16" t="s">
        <v>119</v>
      </c>
      <c r="W12" s="17">
        <f>-0.35*SUM(N19:N21)</f>
        <v>502338.43508305645</v>
      </c>
    </row>
    <row r="13" spans="8:23" x14ac:dyDescent="0.25">
      <c r="I13" s="16" t="s">
        <v>96</v>
      </c>
      <c r="J13" s="31">
        <f>J12-J11</f>
        <v>0.08</v>
      </c>
      <c r="M13" s="56" t="s">
        <v>102</v>
      </c>
      <c r="N13" s="17"/>
      <c r="O13" s="17">
        <f>$L$20/20</f>
        <v>-35000</v>
      </c>
      <c r="P13" s="17">
        <f>$L$20/20</f>
        <v>-35000</v>
      </c>
      <c r="Q13" s="17">
        <f>$L$20/20</f>
        <v>-35000</v>
      </c>
      <c r="R13" s="17">
        <f>$L$20/20</f>
        <v>-35000</v>
      </c>
      <c r="S13" s="17">
        <f>$L$20/20</f>
        <v>-35000</v>
      </c>
      <c r="V13" s="16" t="s">
        <v>120</v>
      </c>
      <c r="W13" s="31">
        <v>7.0000000000000007E-2</v>
      </c>
    </row>
    <row r="14" spans="8:23" x14ac:dyDescent="0.25">
      <c r="I14" s="16" t="s">
        <v>2</v>
      </c>
      <c r="J14" s="49">
        <v>1.1499999999999999</v>
      </c>
      <c r="M14" s="56" t="s">
        <v>103</v>
      </c>
      <c r="N14" s="17"/>
      <c r="O14" s="17">
        <f>$J$35</f>
        <v>-26713.011422207794</v>
      </c>
      <c r="P14" s="17">
        <f t="shared" ref="P14:S14" si="1">$J$35</f>
        <v>-26713.011422207794</v>
      </c>
      <c r="Q14" s="17">
        <f t="shared" si="1"/>
        <v>-26713.011422207794</v>
      </c>
      <c r="R14" s="17">
        <f t="shared" si="1"/>
        <v>-26713.011422207794</v>
      </c>
      <c r="S14" s="17"/>
      <c r="V14" s="16" t="s">
        <v>121</v>
      </c>
      <c r="W14" s="16">
        <v>4</v>
      </c>
    </row>
    <row r="15" spans="8:23" x14ac:dyDescent="0.25">
      <c r="I15" s="16" t="s">
        <v>109</v>
      </c>
      <c r="J15" s="50">
        <f>J11+J13*J14</f>
        <v>0.112</v>
      </c>
      <c r="M15" s="56" t="s">
        <v>104</v>
      </c>
      <c r="N15" s="17"/>
      <c r="O15" s="17">
        <f>SUM(O9:O14)</f>
        <v>303649.38932281733</v>
      </c>
      <c r="P15" s="17">
        <f t="shared" ref="P15:S15" si="2">SUM(P9:P14)</f>
        <v>479542.96138489456</v>
      </c>
      <c r="Q15" s="17">
        <f t="shared" si="2"/>
        <v>615854.9966621371</v>
      </c>
      <c r="R15" s="17">
        <f t="shared" si="2"/>
        <v>842669.78868563729</v>
      </c>
      <c r="S15" s="17">
        <f t="shared" si="2"/>
        <v>1127828.6429811581</v>
      </c>
      <c r="V15" s="16" t="s">
        <v>117</v>
      </c>
      <c r="W15" s="18">
        <f>-PMT(W13,W14,W12)</f>
        <v>148304.43011915116</v>
      </c>
    </row>
    <row r="16" spans="8:23" x14ac:dyDescent="0.25">
      <c r="I16" s="16" t="s">
        <v>110</v>
      </c>
      <c r="J16" s="50">
        <f>POWER(1+J15,(1/12))-1</f>
        <v>8.8859305371316033E-3</v>
      </c>
      <c r="L16" s="44">
        <v>0.25</v>
      </c>
      <c r="M16" s="56" t="s">
        <v>105</v>
      </c>
      <c r="N16" s="17"/>
      <c r="O16" s="17">
        <f>O15*$L$16</f>
        <v>75912.347330704331</v>
      </c>
      <c r="P16" s="17">
        <f t="shared" ref="P16:S16" si="3">P15*$L$16</f>
        <v>119885.74034622364</v>
      </c>
      <c r="Q16" s="17">
        <f t="shared" si="3"/>
        <v>153963.74916553427</v>
      </c>
      <c r="R16" s="17">
        <f t="shared" si="3"/>
        <v>210667.44717140932</v>
      </c>
      <c r="S16" s="17">
        <f t="shared" si="3"/>
        <v>281957.16074528953</v>
      </c>
    </row>
    <row r="17" spans="9:28" x14ac:dyDescent="0.25">
      <c r="M17" s="56" t="s">
        <v>106</v>
      </c>
      <c r="N17" s="17"/>
      <c r="O17" s="17">
        <f>O15-O16</f>
        <v>227737.04199211299</v>
      </c>
      <c r="P17" s="17">
        <f t="shared" ref="P17:S17" si="4">P15-P16</f>
        <v>359657.22103867092</v>
      </c>
      <c r="Q17" s="17">
        <f t="shared" si="4"/>
        <v>461891.24749660282</v>
      </c>
      <c r="R17" s="17">
        <f t="shared" si="4"/>
        <v>632002.34151422791</v>
      </c>
      <c r="S17" s="17">
        <f t="shared" si="4"/>
        <v>845871.48223586858</v>
      </c>
      <c r="V17" s="16" t="s">
        <v>122</v>
      </c>
      <c r="W17" s="16" t="s">
        <v>120</v>
      </c>
      <c r="X17" s="16" t="s">
        <v>123</v>
      </c>
      <c r="Y17" s="16" t="s">
        <v>117</v>
      </c>
      <c r="Z17" s="16" t="s">
        <v>124</v>
      </c>
      <c r="AA17" s="16" t="s">
        <v>125</v>
      </c>
      <c r="AB17" s="16"/>
    </row>
    <row r="18" spans="9:28" x14ac:dyDescent="0.25">
      <c r="I18" s="53" t="s">
        <v>97</v>
      </c>
      <c r="J18" s="53"/>
      <c r="K18" s="53"/>
      <c r="M18" s="56" t="s">
        <v>102</v>
      </c>
      <c r="N18" s="17"/>
      <c r="O18" s="17">
        <f>-O13</f>
        <v>35000</v>
      </c>
      <c r="P18" s="17">
        <f t="shared" ref="P18:S18" si="5">-P13</f>
        <v>35000</v>
      </c>
      <c r="Q18" s="17">
        <f t="shared" si="5"/>
        <v>35000</v>
      </c>
      <c r="R18" s="17">
        <f t="shared" si="5"/>
        <v>35000</v>
      </c>
      <c r="S18" s="17">
        <f t="shared" si="5"/>
        <v>35000</v>
      </c>
      <c r="V18" s="16">
        <v>0</v>
      </c>
      <c r="W18" s="17"/>
      <c r="X18" s="17"/>
      <c r="Y18" s="17"/>
      <c r="Z18" s="17"/>
      <c r="AA18" s="17">
        <f>W12</f>
        <v>502338.43508305645</v>
      </c>
      <c r="AB18" s="17">
        <f>AA18</f>
        <v>502338.43508305645</v>
      </c>
    </row>
    <row r="19" spans="9:28" x14ac:dyDescent="0.25">
      <c r="I19" s="16" t="s">
        <v>98</v>
      </c>
      <c r="J19" s="16">
        <v>0</v>
      </c>
      <c r="K19" s="52">
        <v>186</v>
      </c>
      <c r="L19" s="51">
        <v>-110000</v>
      </c>
      <c r="M19" s="56" t="s">
        <v>107</v>
      </c>
      <c r="N19" s="57">
        <f>L19*POWER(1+J15,J28)</f>
        <v>-151254.06208000006</v>
      </c>
      <c r="O19" s="17"/>
      <c r="P19" s="17"/>
      <c r="Q19" s="17"/>
      <c r="R19" s="17"/>
      <c r="S19" s="17">
        <f>-L19*(T19*(1-$L$16)+1)</f>
        <v>147125</v>
      </c>
      <c r="T19" s="44">
        <v>0.45</v>
      </c>
      <c r="V19" s="16">
        <v>1</v>
      </c>
      <c r="W19" s="17">
        <f>AA18*$W$13</f>
        <v>35163.690455813958</v>
      </c>
      <c r="X19" s="17">
        <f>W19*(1-L16)</f>
        <v>26372.76784186047</v>
      </c>
      <c r="Y19" s="17">
        <f>$W$15</f>
        <v>148304.43011915116</v>
      </c>
      <c r="Z19" s="17">
        <f>Y19-W19</f>
        <v>113140.73966333721</v>
      </c>
      <c r="AA19" s="17">
        <f>AA18-Z19</f>
        <v>389197.69541971921</v>
      </c>
      <c r="AB19" s="17">
        <f>-Z19-X19</f>
        <v>-139513.50750519769</v>
      </c>
    </row>
    <row r="20" spans="9:28" x14ac:dyDescent="0.25">
      <c r="I20" s="16" t="s">
        <v>98</v>
      </c>
      <c r="J20" s="16">
        <v>7177</v>
      </c>
      <c r="K20" s="52">
        <v>195</v>
      </c>
      <c r="L20" s="51">
        <v>-700000</v>
      </c>
      <c r="M20" s="56" t="s">
        <v>114</v>
      </c>
      <c r="N20" s="57">
        <f>L20*POWER(1+J16,J29)</f>
        <v>-764748.60958587576</v>
      </c>
      <c r="O20" s="17"/>
      <c r="P20" s="17"/>
      <c r="Q20" s="17"/>
      <c r="R20" s="17"/>
      <c r="S20" s="17">
        <f>-L20*T20</f>
        <v>525000</v>
      </c>
      <c r="T20" s="44">
        <v>0.75</v>
      </c>
      <c r="V20" s="16">
        <v>2</v>
      </c>
      <c r="W20" s="17">
        <f>AA19*$W$13</f>
        <v>27243.838679380347</v>
      </c>
      <c r="X20" s="17">
        <v>20432.861312304012</v>
      </c>
      <c r="Y20" s="17">
        <f>$W$15</f>
        <v>148304.43011915116</v>
      </c>
      <c r="Z20" s="17">
        <f t="shared" ref="Z20:Z22" si="6">Y20-W20</f>
        <v>121060.59143977081</v>
      </c>
      <c r="AA20" s="17">
        <f t="shared" ref="AA20:AA22" si="7">AA19-Z20</f>
        <v>268137.10397994838</v>
      </c>
      <c r="AB20" s="17">
        <f t="shared" ref="AB20:AB22" si="8">-Z20-X20</f>
        <v>-141493.45275207481</v>
      </c>
    </row>
    <row r="21" spans="9:28" x14ac:dyDescent="0.25">
      <c r="M21" s="56" t="s">
        <v>108</v>
      </c>
      <c r="N21" s="17">
        <f>5*O11/12</f>
        <v>-519250</v>
      </c>
      <c r="O21" s="17">
        <f>5*P11/12-SUM(N21)</f>
        <v>-18173.749999999884</v>
      </c>
      <c r="P21" s="17">
        <f>5*Q11/12-SUM(N21:O21)</f>
        <v>-45724.359375</v>
      </c>
      <c r="Q21" s="17">
        <f>5*R11/12-SUM(N21:P21)</f>
        <v>-20410.183828124893</v>
      </c>
      <c r="R21" s="17">
        <f>5*S11/12-SUM(N21:Q21)</f>
        <v>-21124.540262109367</v>
      </c>
      <c r="S21" s="17">
        <f>-SUM(N21:R21)*T21</f>
        <v>562214.55011871073</v>
      </c>
      <c r="T21" s="44">
        <v>0.9</v>
      </c>
      <c r="V21" s="16">
        <v>3</v>
      </c>
      <c r="W21" s="17">
        <f>AA20*$W$13</f>
        <v>18769.59727859639</v>
      </c>
      <c r="X21" s="17">
        <v>14077.185766469298</v>
      </c>
      <c r="Y21" s="17">
        <f>$W$15</f>
        <v>148304.43011915116</v>
      </c>
      <c r="Z21" s="17">
        <f t="shared" si="6"/>
        <v>129534.83284055477</v>
      </c>
      <c r="AA21" s="17">
        <f t="shared" si="7"/>
        <v>138602.27113939362</v>
      </c>
      <c r="AB21" s="17">
        <f t="shared" si="8"/>
        <v>-143612.01860702407</v>
      </c>
    </row>
    <row r="22" spans="9:28" x14ac:dyDescent="0.25">
      <c r="I22" s="54" t="s">
        <v>99</v>
      </c>
      <c r="J22" s="55"/>
      <c r="M22" s="56"/>
      <c r="N22" s="17"/>
      <c r="O22" s="17"/>
      <c r="P22" s="17"/>
      <c r="Q22" s="17"/>
      <c r="R22" s="17"/>
      <c r="S22" s="17"/>
      <c r="V22" s="16">
        <v>4</v>
      </c>
      <c r="W22" s="17">
        <f>AA21*$W$13</f>
        <v>9702.1589797575543</v>
      </c>
      <c r="X22" s="17">
        <v>7276.6129324261583</v>
      </c>
      <c r="Y22" s="17">
        <f>$W$15</f>
        <v>148304.43011915116</v>
      </c>
      <c r="Z22" s="17">
        <f t="shared" si="6"/>
        <v>138602.27113939362</v>
      </c>
      <c r="AA22" s="17">
        <f t="shared" si="7"/>
        <v>0</v>
      </c>
      <c r="AB22" s="17">
        <f t="shared" si="8"/>
        <v>-145878.88407181978</v>
      </c>
    </row>
    <row r="23" spans="9:28" x14ac:dyDescent="0.25">
      <c r="I23" s="16" t="s">
        <v>100</v>
      </c>
      <c r="J23" s="16">
        <v>17000</v>
      </c>
      <c r="M23" s="56" t="s">
        <v>4</v>
      </c>
      <c r="N23" s="17">
        <f>SUM(N17:N22)</f>
        <v>-1435252.6716658757</v>
      </c>
      <c r="O23" s="17">
        <f t="shared" ref="O23:S23" si="9">SUM(O17:O22)</f>
        <v>244563.29199211311</v>
      </c>
      <c r="P23" s="17">
        <f t="shared" si="9"/>
        <v>348932.86166367092</v>
      </c>
      <c r="Q23" s="17">
        <f t="shared" si="9"/>
        <v>476481.06366847793</v>
      </c>
      <c r="R23" s="17">
        <f t="shared" si="9"/>
        <v>645877.80125211854</v>
      </c>
      <c r="S23" s="17">
        <f>SUM(S17:S22)</f>
        <v>2115211.0323545793</v>
      </c>
    </row>
    <row r="24" spans="9:28" x14ac:dyDescent="0.25">
      <c r="I24" s="16" t="s">
        <v>101</v>
      </c>
      <c r="J24" s="16">
        <f>J23*12</f>
        <v>204000</v>
      </c>
      <c r="M24" s="59" t="s">
        <v>74</v>
      </c>
      <c r="N24" s="17">
        <f>NPV(J15,O23:S23)+N23</f>
        <v>1079818.6521421708</v>
      </c>
      <c r="Y24" s="16" t="s">
        <v>126</v>
      </c>
      <c r="Z24" s="16">
        <v>7.0000000000000007E-2</v>
      </c>
    </row>
    <row r="25" spans="9:28" x14ac:dyDescent="0.25">
      <c r="Y25" s="16" t="s">
        <v>74</v>
      </c>
      <c r="Z25" s="17">
        <f>NPV(Z24,AB19:AB22)+AB18</f>
        <v>19845.629957813653</v>
      </c>
    </row>
    <row r="26" spans="9:28" x14ac:dyDescent="0.25">
      <c r="I26" s="53" t="s">
        <v>111</v>
      </c>
      <c r="J26" s="53"/>
      <c r="K26" s="53"/>
      <c r="N26" s="16" t="s">
        <v>128</v>
      </c>
      <c r="O26" s="17">
        <f>N24</f>
        <v>1079818.6521421708</v>
      </c>
    </row>
    <row r="27" spans="9:28" x14ac:dyDescent="0.25">
      <c r="I27" s="47" t="s">
        <v>107</v>
      </c>
      <c r="J27" s="47"/>
      <c r="K27" s="47"/>
      <c r="N27" s="16" t="s">
        <v>129</v>
      </c>
      <c r="O27" s="17">
        <f>Z25</f>
        <v>19845.629957813653</v>
      </c>
    </row>
    <row r="28" spans="9:28" x14ac:dyDescent="0.25">
      <c r="I28" s="16" t="s">
        <v>112</v>
      </c>
      <c r="J28" s="16">
        <v>3</v>
      </c>
      <c r="K28" s="16" t="s">
        <v>115</v>
      </c>
      <c r="N28" s="16" t="s">
        <v>127</v>
      </c>
      <c r="O28" s="17">
        <f>SUM(O26:O27)</f>
        <v>1099664.2820999846</v>
      </c>
    </row>
    <row r="29" spans="9:28" x14ac:dyDescent="0.25">
      <c r="I29" s="16" t="s">
        <v>114</v>
      </c>
      <c r="J29" s="16">
        <v>10</v>
      </c>
      <c r="K29" s="16" t="s">
        <v>113</v>
      </c>
    </row>
    <row r="31" spans="9:28" x14ac:dyDescent="0.25">
      <c r="I31" s="53" t="s">
        <v>103</v>
      </c>
      <c r="J31" s="53"/>
    </row>
    <row r="32" spans="9:28" x14ac:dyDescent="0.25">
      <c r="I32" s="16" t="s">
        <v>115</v>
      </c>
      <c r="J32" s="16">
        <v>4</v>
      </c>
    </row>
    <row r="33" spans="9:10" x14ac:dyDescent="0.25">
      <c r="I33" s="16" t="s">
        <v>112</v>
      </c>
      <c r="J33" s="57">
        <v>88000</v>
      </c>
    </row>
    <row r="34" spans="9:10" x14ac:dyDescent="0.25">
      <c r="I34" s="16" t="s">
        <v>116</v>
      </c>
      <c r="J34" s="58">
        <f>POWER(1+0.08/4,4)-1</f>
        <v>8.2432159999999977E-2</v>
      </c>
    </row>
    <row r="35" spans="9:10" x14ac:dyDescent="0.25">
      <c r="I35" s="16" t="s">
        <v>117</v>
      </c>
      <c r="J35" s="17">
        <f>PMT(J34,J32,J33)</f>
        <v>-26713.011422207794</v>
      </c>
    </row>
  </sheetData>
  <mergeCells count="7">
    <mergeCell ref="I31:J31"/>
    <mergeCell ref="V11:W11"/>
    <mergeCell ref="I5:K5"/>
    <mergeCell ref="I18:K18"/>
    <mergeCell ref="I22:J22"/>
    <mergeCell ref="I27:K27"/>
    <mergeCell ref="I26:K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0BF27-2A35-4329-8811-2797B59E2AFE}">
  <dimension ref="A1:S33"/>
  <sheetViews>
    <sheetView tabSelected="1" workbookViewId="0">
      <selection activeCell="O28" sqref="O28"/>
    </sheetView>
  </sheetViews>
  <sheetFormatPr baseColWidth="10" defaultRowHeight="15" x14ac:dyDescent="0.25"/>
  <cols>
    <col min="1" max="1" width="14" bestFit="1" customWidth="1"/>
    <col min="2" max="2" width="10.5703125" bestFit="1" customWidth="1"/>
    <col min="3" max="3" width="6.5703125" bestFit="1" customWidth="1"/>
    <col min="4" max="4" width="10.140625" bestFit="1" customWidth="1"/>
    <col min="5" max="5" width="23.42578125" bestFit="1" customWidth="1"/>
    <col min="6" max="6" width="14.140625" bestFit="1" customWidth="1"/>
    <col min="7" max="11" width="11.7109375" bestFit="1" customWidth="1"/>
    <col min="12" max="12" width="4.5703125" bestFit="1" customWidth="1"/>
    <col min="13" max="13" width="8.85546875" bestFit="1" customWidth="1"/>
    <col min="14" max="14" width="11.140625" bestFit="1" customWidth="1"/>
    <col min="15" max="15" width="17.42578125" bestFit="1" customWidth="1"/>
    <col min="16" max="16" width="10" bestFit="1" customWidth="1"/>
    <col min="17" max="17" width="12.7109375" bestFit="1" customWidth="1"/>
    <col min="18" max="18" width="9.42578125" bestFit="1" customWidth="1"/>
    <col min="19" max="19" width="10.140625" bestFit="1" customWidth="1"/>
  </cols>
  <sheetData>
    <row r="1" spans="1:19" x14ac:dyDescent="0.25">
      <c r="E1" s="16" t="s">
        <v>72</v>
      </c>
      <c r="F1" s="16">
        <v>0</v>
      </c>
      <c r="G1" s="16">
        <v>1</v>
      </c>
      <c r="H1" s="16">
        <v>2</v>
      </c>
      <c r="I1" s="16">
        <v>3</v>
      </c>
      <c r="J1" s="16">
        <v>4</v>
      </c>
      <c r="K1" s="16">
        <v>5</v>
      </c>
    </row>
    <row r="2" spans="1:19" x14ac:dyDescent="0.25">
      <c r="D2" s="43" t="s">
        <v>41</v>
      </c>
      <c r="E2" s="16" t="s">
        <v>88</v>
      </c>
      <c r="F2" s="16"/>
      <c r="G2" s="46" t="s">
        <v>41</v>
      </c>
      <c r="H2" s="46" t="e">
        <f>G2*(1+$D$2)</f>
        <v>#VALUE!</v>
      </c>
      <c r="I2" s="46" t="e">
        <f>H2*(1+$D$2)</f>
        <v>#VALUE!</v>
      </c>
      <c r="J2" s="46" t="e">
        <f>I2*(1+$D$2)</f>
        <v>#VALUE!</v>
      </c>
      <c r="K2" s="46" t="e">
        <f>J2*(1+$D$2)</f>
        <v>#VALUE!</v>
      </c>
    </row>
    <row r="3" spans="1:19" x14ac:dyDescent="0.25">
      <c r="A3" s="48" t="s">
        <v>92</v>
      </c>
      <c r="B3" s="48"/>
      <c r="C3" s="48"/>
      <c r="D3" s="43" t="s">
        <v>41</v>
      </c>
      <c r="E3" s="16" t="s">
        <v>89</v>
      </c>
      <c r="F3" s="17"/>
      <c r="G3" s="17" t="s">
        <v>41</v>
      </c>
      <c r="H3" s="17" t="e">
        <f>G3*(1+$D$3)</f>
        <v>#VALUE!</v>
      </c>
      <c r="I3" s="17" t="e">
        <f>H3*(1+$D$3)</f>
        <v>#VALUE!</v>
      </c>
      <c r="J3" s="17" t="e">
        <f>I3*(1+$D$3)</f>
        <v>#VALUE!</v>
      </c>
      <c r="K3" s="17" t="e">
        <f>J3*(1+$D$3)</f>
        <v>#VALUE!</v>
      </c>
    </row>
    <row r="4" spans="1:19" x14ac:dyDescent="0.25">
      <c r="A4" s="16" t="s">
        <v>93</v>
      </c>
      <c r="B4" s="31" t="s">
        <v>41</v>
      </c>
      <c r="C4" s="16"/>
      <c r="E4" s="16" t="s">
        <v>90</v>
      </c>
      <c r="F4" s="17"/>
      <c r="G4" s="17" t="e">
        <f>G2*G3</f>
        <v>#VALUE!</v>
      </c>
      <c r="H4" s="17" t="e">
        <f t="shared" ref="H4:K4" si="0">H2*H3</f>
        <v>#VALUE!</v>
      </c>
      <c r="I4" s="17" t="e">
        <f t="shared" si="0"/>
        <v>#VALUE!</v>
      </c>
      <c r="J4" s="17" t="e">
        <f t="shared" si="0"/>
        <v>#VALUE!</v>
      </c>
      <c r="K4" s="17" t="e">
        <f t="shared" si="0"/>
        <v>#VALUE!</v>
      </c>
    </row>
    <row r="5" spans="1:19" x14ac:dyDescent="0.25">
      <c r="A5" s="16" t="s">
        <v>95</v>
      </c>
      <c r="B5" s="31" t="s">
        <v>41</v>
      </c>
      <c r="C5" s="16"/>
      <c r="F5" s="28"/>
      <c r="G5" s="28"/>
      <c r="H5" s="28"/>
      <c r="I5" s="28"/>
      <c r="J5" s="28"/>
      <c r="K5" s="28"/>
    </row>
    <row r="6" spans="1:19" x14ac:dyDescent="0.25">
      <c r="A6" s="16" t="s">
        <v>94</v>
      </c>
      <c r="B6" s="16" t="s">
        <v>41</v>
      </c>
      <c r="C6" s="31" t="s">
        <v>41</v>
      </c>
      <c r="D6" s="43" t="s">
        <v>41</v>
      </c>
      <c r="E6" s="16" t="s">
        <v>91</v>
      </c>
      <c r="F6" s="17"/>
      <c r="G6" s="17" t="e">
        <f>G4*(1-$D$6)</f>
        <v>#VALUE!</v>
      </c>
      <c r="H6" s="17" t="e">
        <f>H4*(1-$D$6)</f>
        <v>#VALUE!</v>
      </c>
      <c r="I6" s="17" t="e">
        <f>I4*(1-$D$6)</f>
        <v>#VALUE!</v>
      </c>
      <c r="J6" s="17" t="e">
        <f>J4*(1-$D$6)</f>
        <v>#VALUE!</v>
      </c>
      <c r="K6" s="17" t="e">
        <f>K4*(1-$D$6)</f>
        <v>#VALUE!</v>
      </c>
    </row>
    <row r="7" spans="1:19" x14ac:dyDescent="0.25">
      <c r="A7" s="16" t="s">
        <v>94</v>
      </c>
      <c r="B7" s="16" t="s">
        <v>41</v>
      </c>
      <c r="C7" s="31" t="s">
        <v>41</v>
      </c>
      <c r="E7" s="16" t="s">
        <v>92</v>
      </c>
      <c r="F7" s="17"/>
      <c r="G7" s="17" t="e">
        <f>G6*$B$4+(G6*$C$6)/POWER(1+$B$5,$B$6/30)+(G6*$C$7)/POWER(1+$B$5,$B$7/30)</f>
        <v>#VALUE!</v>
      </c>
      <c r="H7" s="17" t="e">
        <f>H6*$B$4+(H6*$C$6)/POWER(1+$B$5,$B$6/30)+(H6*$C$7)/POWER(1+$B$5,$B$7/30)</f>
        <v>#VALUE!</v>
      </c>
      <c r="I7" s="17" t="e">
        <f>I6*$B$4+(I6*$C$6)/POWER(1+$B$5,$B$6/30)+(I6*$C$7)/POWER(1+$B$5,$B$7/30)</f>
        <v>#VALUE!</v>
      </c>
      <c r="J7" s="17" t="e">
        <f>J6*$B$4+(J6*$C$6)/POWER(1+$B$5,$B$6/30)+(J6*$C$7)/POWER(1+$B$5,$B$7/30)</f>
        <v>#VALUE!</v>
      </c>
      <c r="K7" s="17" t="e">
        <f>K6*$B$4+(K6*$C$6)/POWER(1+$B$5,$B$6/30)+(K6*$C$7)/POWER(1+$B$5,$B$7/30)</f>
        <v>#VALUE!</v>
      </c>
    </row>
    <row r="8" spans="1:19" x14ac:dyDescent="0.25">
      <c r="F8" s="28"/>
      <c r="G8" s="28"/>
      <c r="H8" s="28"/>
      <c r="I8" s="28"/>
      <c r="J8" s="28"/>
      <c r="K8" s="28"/>
    </row>
    <row r="9" spans="1:19" x14ac:dyDescent="0.25">
      <c r="A9" s="16" t="s">
        <v>0</v>
      </c>
      <c r="B9" s="31" t="s">
        <v>41</v>
      </c>
      <c r="D9" s="28"/>
      <c r="E9" s="16" t="s">
        <v>97</v>
      </c>
      <c r="F9" s="17"/>
      <c r="G9" s="17" t="e">
        <f>-IF(G2&lt;=$B$18,G2*$C$17,G2*$C$18)</f>
        <v>#VALUE!</v>
      </c>
      <c r="H9" s="17" t="e">
        <f>-IF(H2&lt;=$B$18,H2*$C$17,H2*$C$18)</f>
        <v>#VALUE!</v>
      </c>
      <c r="I9" s="17" t="e">
        <f>-IF(I2&lt;=$B$18,I2*$C$17,I2*$C$18)</f>
        <v>#VALUE!</v>
      </c>
      <c r="J9" s="17" t="e">
        <f>-IF(J2&lt;=$B$18,J2*$C$17,J2*$C$18)</f>
        <v>#VALUE!</v>
      </c>
      <c r="K9" s="17" t="e">
        <f>-IF(K2&lt;=$B$18,K2*$C$17,K2*$C$18)</f>
        <v>#VALUE!</v>
      </c>
      <c r="M9" s="54" t="s">
        <v>118</v>
      </c>
      <c r="N9" s="55"/>
    </row>
    <row r="10" spans="1:19" x14ac:dyDescent="0.25">
      <c r="A10" s="16" t="s">
        <v>1</v>
      </c>
      <c r="B10" s="31" t="s">
        <v>41</v>
      </c>
      <c r="E10" s="16" t="s">
        <v>99</v>
      </c>
      <c r="F10" s="17"/>
      <c r="G10" s="57" t="e">
        <f>-$B$22</f>
        <v>#VALUE!</v>
      </c>
      <c r="H10" s="57" t="e">
        <f>-$B$22</f>
        <v>#VALUE!</v>
      </c>
      <c r="I10" s="57" t="e">
        <f>-$B$22</f>
        <v>#VALUE!</v>
      </c>
      <c r="J10" s="57" t="e">
        <f>-$B$22</f>
        <v>#VALUE!</v>
      </c>
      <c r="K10" s="57" t="e">
        <f>-$B$22</f>
        <v>#VALUE!</v>
      </c>
      <c r="M10" s="16" t="s">
        <v>119</v>
      </c>
      <c r="N10" s="17" t="e">
        <f>-0.35*SUM(F17:F19)</f>
        <v>#VALUE!</v>
      </c>
    </row>
    <row r="11" spans="1:19" x14ac:dyDescent="0.25">
      <c r="A11" s="16" t="s">
        <v>96</v>
      </c>
      <c r="B11" s="31" t="e">
        <f>B10-B9</f>
        <v>#VALUE!</v>
      </c>
      <c r="E11" s="56" t="s">
        <v>102</v>
      </c>
      <c r="F11" s="17"/>
      <c r="G11" s="17" t="e">
        <f>$D$18/20</f>
        <v>#VALUE!</v>
      </c>
      <c r="H11" s="17" t="e">
        <f>$D$18/20</f>
        <v>#VALUE!</v>
      </c>
      <c r="I11" s="17" t="e">
        <f>$D$18/20</f>
        <v>#VALUE!</v>
      </c>
      <c r="J11" s="17" t="e">
        <f>$D$18/20</f>
        <v>#VALUE!</v>
      </c>
      <c r="K11" s="17" t="e">
        <f>$D$18/20</f>
        <v>#VALUE!</v>
      </c>
      <c r="M11" s="16" t="s">
        <v>120</v>
      </c>
      <c r="N11" s="31" t="s">
        <v>41</v>
      </c>
    </row>
    <row r="12" spans="1:19" x14ac:dyDescent="0.25">
      <c r="A12" s="16" t="s">
        <v>2</v>
      </c>
      <c r="B12" s="49" t="s">
        <v>41</v>
      </c>
      <c r="E12" s="56" t="s">
        <v>103</v>
      </c>
      <c r="F12" s="17"/>
      <c r="G12" s="17" t="e">
        <f>$B$33</f>
        <v>#VALUE!</v>
      </c>
      <c r="H12" s="17" t="e">
        <f t="shared" ref="H12:K12" si="1">$B$33</f>
        <v>#VALUE!</v>
      </c>
      <c r="I12" s="17" t="e">
        <f t="shared" si="1"/>
        <v>#VALUE!</v>
      </c>
      <c r="J12" s="17" t="e">
        <f t="shared" si="1"/>
        <v>#VALUE!</v>
      </c>
      <c r="K12" s="17"/>
      <c r="M12" s="16" t="s">
        <v>121</v>
      </c>
      <c r="N12" s="16" t="s">
        <v>41</v>
      </c>
    </row>
    <row r="13" spans="1:19" x14ac:dyDescent="0.25">
      <c r="A13" s="16" t="s">
        <v>109</v>
      </c>
      <c r="B13" s="50" t="e">
        <f>B9+B11*B12</f>
        <v>#VALUE!</v>
      </c>
      <c r="E13" s="56" t="s">
        <v>104</v>
      </c>
      <c r="F13" s="17"/>
      <c r="G13" s="17" t="e">
        <f>SUM(G7:G12)</f>
        <v>#VALUE!</v>
      </c>
      <c r="H13" s="17" t="e">
        <f t="shared" ref="H13:K13" si="2">SUM(H7:H12)</f>
        <v>#VALUE!</v>
      </c>
      <c r="I13" s="17" t="e">
        <f t="shared" si="2"/>
        <v>#VALUE!</v>
      </c>
      <c r="J13" s="17" t="e">
        <f t="shared" si="2"/>
        <v>#VALUE!</v>
      </c>
      <c r="K13" s="17" t="e">
        <f t="shared" si="2"/>
        <v>#VALUE!</v>
      </c>
      <c r="M13" s="16" t="s">
        <v>117</v>
      </c>
      <c r="N13" s="18" t="e">
        <f>-PMT(N11,N12,N10)</f>
        <v>#VALUE!</v>
      </c>
    </row>
    <row r="14" spans="1:19" x14ac:dyDescent="0.25">
      <c r="A14" s="16" t="s">
        <v>110</v>
      </c>
      <c r="B14" s="50" t="e">
        <f>POWER(1+B13,(1/12))-1</f>
        <v>#VALUE!</v>
      </c>
      <c r="D14" s="44" t="s">
        <v>41</v>
      </c>
      <c r="E14" s="56" t="s">
        <v>105</v>
      </c>
      <c r="F14" s="17"/>
      <c r="G14" s="17" t="e">
        <f>G13*$D$14</f>
        <v>#VALUE!</v>
      </c>
      <c r="H14" s="17" t="e">
        <f t="shared" ref="H14:K14" si="3">H13*$D$14</f>
        <v>#VALUE!</v>
      </c>
      <c r="I14" s="17" t="e">
        <f t="shared" si="3"/>
        <v>#VALUE!</v>
      </c>
      <c r="J14" s="17" t="e">
        <f t="shared" si="3"/>
        <v>#VALUE!</v>
      </c>
      <c r="K14" s="17" t="e">
        <f t="shared" si="3"/>
        <v>#VALUE!</v>
      </c>
    </row>
    <row r="15" spans="1:19" x14ac:dyDescent="0.25">
      <c r="E15" s="56" t="s">
        <v>106</v>
      </c>
      <c r="F15" s="17"/>
      <c r="G15" s="17" t="e">
        <f>G13-G14</f>
        <v>#VALUE!</v>
      </c>
      <c r="H15" s="17" t="e">
        <f t="shared" ref="H15:K15" si="4">H13-H14</f>
        <v>#VALUE!</v>
      </c>
      <c r="I15" s="17" t="e">
        <f t="shared" si="4"/>
        <v>#VALUE!</v>
      </c>
      <c r="J15" s="17" t="e">
        <f t="shared" si="4"/>
        <v>#VALUE!</v>
      </c>
      <c r="K15" s="17" t="e">
        <f t="shared" si="4"/>
        <v>#VALUE!</v>
      </c>
      <c r="M15" s="16" t="s">
        <v>122</v>
      </c>
      <c r="N15" s="16" t="s">
        <v>120</v>
      </c>
      <c r="O15" s="16" t="s">
        <v>123</v>
      </c>
      <c r="P15" s="16" t="s">
        <v>117</v>
      </c>
      <c r="Q15" s="16" t="s">
        <v>124</v>
      </c>
      <c r="R15" s="16" t="s">
        <v>125</v>
      </c>
      <c r="S15" s="16"/>
    </row>
    <row r="16" spans="1:19" x14ac:dyDescent="0.25">
      <c r="A16" s="53" t="s">
        <v>97</v>
      </c>
      <c r="B16" s="53"/>
      <c r="C16" s="53"/>
      <c r="E16" s="56" t="s">
        <v>102</v>
      </c>
      <c r="F16" s="17"/>
      <c r="G16" s="17" t="e">
        <f>-G11</f>
        <v>#VALUE!</v>
      </c>
      <c r="H16" s="17" t="e">
        <f t="shared" ref="H16:K16" si="5">-H11</f>
        <v>#VALUE!</v>
      </c>
      <c r="I16" s="17" t="e">
        <f t="shared" si="5"/>
        <v>#VALUE!</v>
      </c>
      <c r="J16" s="17" t="e">
        <f t="shared" si="5"/>
        <v>#VALUE!</v>
      </c>
      <c r="K16" s="17" t="e">
        <f t="shared" si="5"/>
        <v>#VALUE!</v>
      </c>
      <c r="M16" s="16">
        <v>0</v>
      </c>
      <c r="N16" s="17"/>
      <c r="O16" s="17"/>
      <c r="P16" s="17"/>
      <c r="Q16" s="17"/>
      <c r="R16" s="17" t="e">
        <f>N10</f>
        <v>#VALUE!</v>
      </c>
      <c r="S16" s="17" t="e">
        <f>R16</f>
        <v>#VALUE!</v>
      </c>
    </row>
    <row r="17" spans="1:19" x14ac:dyDescent="0.25">
      <c r="A17" s="16" t="s">
        <v>98</v>
      </c>
      <c r="B17" s="16" t="s">
        <v>41</v>
      </c>
      <c r="C17" s="52" t="s">
        <v>41</v>
      </c>
      <c r="D17" s="51" t="s">
        <v>41</v>
      </c>
      <c r="E17" s="56" t="s">
        <v>107</v>
      </c>
      <c r="F17" s="57" t="e">
        <f>D17*POWER(1+B13,B26)</f>
        <v>#VALUE!</v>
      </c>
      <c r="G17" s="17"/>
      <c r="H17" s="17"/>
      <c r="I17" s="17"/>
      <c r="J17" s="17"/>
      <c r="K17" s="17" t="e">
        <f>-D17*(L17*(1-$D$14)+1)</f>
        <v>#VALUE!</v>
      </c>
      <c r="L17" s="44" t="s">
        <v>41</v>
      </c>
      <c r="M17" s="16">
        <v>1</v>
      </c>
      <c r="N17" s="17" t="e">
        <f>R16*$N$11</f>
        <v>#VALUE!</v>
      </c>
      <c r="O17" s="60" t="e">
        <f>N17*(1-D14)</f>
        <v>#VALUE!</v>
      </c>
      <c r="P17" s="17" t="e">
        <f>$N$13</f>
        <v>#VALUE!</v>
      </c>
      <c r="Q17" s="17" t="e">
        <f>P17-N17</f>
        <v>#VALUE!</v>
      </c>
      <c r="R17" s="17" t="e">
        <f>R16-Q17</f>
        <v>#VALUE!</v>
      </c>
      <c r="S17" s="17" t="e">
        <f>-Q17-O17</f>
        <v>#VALUE!</v>
      </c>
    </row>
    <row r="18" spans="1:19" x14ac:dyDescent="0.25">
      <c r="A18" s="16" t="s">
        <v>98</v>
      </c>
      <c r="B18" s="16" t="s">
        <v>41</v>
      </c>
      <c r="C18" s="52" t="s">
        <v>41</v>
      </c>
      <c r="D18" s="51" t="s">
        <v>41</v>
      </c>
      <c r="E18" s="56" t="s">
        <v>114</v>
      </c>
      <c r="F18" s="57" t="e">
        <f>D18*POWER(1+B14,B27)</f>
        <v>#VALUE!</v>
      </c>
      <c r="G18" s="17"/>
      <c r="H18" s="17"/>
      <c r="I18" s="17"/>
      <c r="J18" s="17"/>
      <c r="K18" s="17" t="e">
        <f>-D18*L18</f>
        <v>#VALUE!</v>
      </c>
      <c r="L18" s="44" t="s">
        <v>41</v>
      </c>
      <c r="M18" s="16">
        <v>2</v>
      </c>
      <c r="N18" s="17" t="e">
        <f>R17*$N$11</f>
        <v>#VALUE!</v>
      </c>
      <c r="O18" s="60" t="e">
        <f>N18*(1-D15)</f>
        <v>#VALUE!</v>
      </c>
      <c r="P18" s="17" t="e">
        <f>$N$13</f>
        <v>#VALUE!</v>
      </c>
      <c r="Q18" s="17" t="e">
        <f t="shared" ref="Q18:Q20" si="6">P18-N18</f>
        <v>#VALUE!</v>
      </c>
      <c r="R18" s="17" t="e">
        <f t="shared" ref="R18:R20" si="7">R17-Q18</f>
        <v>#VALUE!</v>
      </c>
      <c r="S18" s="17" t="e">
        <f t="shared" ref="S18:S20" si="8">-Q18-O18</f>
        <v>#VALUE!</v>
      </c>
    </row>
    <row r="19" spans="1:19" x14ac:dyDescent="0.25">
      <c r="E19" s="56" t="s">
        <v>108</v>
      </c>
      <c r="F19" s="17" t="e">
        <f>5*G9/12</f>
        <v>#VALUE!</v>
      </c>
      <c r="G19" s="17" t="e">
        <f>5*H9/12-SUM(F19)</f>
        <v>#VALUE!</v>
      </c>
      <c r="H19" s="17" t="e">
        <f>5*I9/12-SUM(F19:G19)</f>
        <v>#VALUE!</v>
      </c>
      <c r="I19" s="17" t="e">
        <f>5*J9/12-SUM(F19:H19)</f>
        <v>#VALUE!</v>
      </c>
      <c r="J19" s="17" t="e">
        <f>5*K9/12-SUM(F19:I19)</f>
        <v>#VALUE!</v>
      </c>
      <c r="K19" s="17" t="e">
        <f>-SUM(F19:J19)*L19</f>
        <v>#VALUE!</v>
      </c>
      <c r="L19" s="44" t="s">
        <v>41</v>
      </c>
      <c r="M19" s="16">
        <v>3</v>
      </c>
      <c r="N19" s="17" t="e">
        <f>R18*$N$11</f>
        <v>#VALUE!</v>
      </c>
      <c r="O19" s="60" t="e">
        <f>N19*(1-D16)</f>
        <v>#VALUE!</v>
      </c>
      <c r="P19" s="17" t="e">
        <f>$N$13</f>
        <v>#VALUE!</v>
      </c>
      <c r="Q19" s="17" t="e">
        <f t="shared" si="6"/>
        <v>#VALUE!</v>
      </c>
      <c r="R19" s="17" t="e">
        <f t="shared" si="7"/>
        <v>#VALUE!</v>
      </c>
      <c r="S19" s="17" t="e">
        <f t="shared" si="8"/>
        <v>#VALUE!</v>
      </c>
    </row>
    <row r="20" spans="1:19" x14ac:dyDescent="0.25">
      <c r="A20" s="54" t="s">
        <v>99</v>
      </c>
      <c r="B20" s="55"/>
      <c r="E20" s="56"/>
      <c r="F20" s="17"/>
      <c r="G20" s="17"/>
      <c r="H20" s="17"/>
      <c r="I20" s="17"/>
      <c r="J20" s="17"/>
      <c r="K20" s="17"/>
      <c r="M20" s="16">
        <v>4</v>
      </c>
      <c r="N20" s="17" t="e">
        <f>R19*$N$11</f>
        <v>#VALUE!</v>
      </c>
      <c r="O20" s="60" t="e">
        <f>N20*(1-D17)</f>
        <v>#VALUE!</v>
      </c>
      <c r="P20" s="17" t="e">
        <f>$N$13</f>
        <v>#VALUE!</v>
      </c>
      <c r="Q20" s="17" t="e">
        <f t="shared" si="6"/>
        <v>#VALUE!</v>
      </c>
      <c r="R20" s="17" t="e">
        <f t="shared" si="7"/>
        <v>#VALUE!</v>
      </c>
      <c r="S20" s="17" t="e">
        <f t="shared" si="8"/>
        <v>#VALUE!</v>
      </c>
    </row>
    <row r="21" spans="1:19" x14ac:dyDescent="0.25">
      <c r="A21" s="16" t="s">
        <v>100</v>
      </c>
      <c r="B21" s="16" t="s">
        <v>41</v>
      </c>
      <c r="E21" s="56" t="s">
        <v>4</v>
      </c>
      <c r="F21" s="17" t="e">
        <f>SUM(F15:F20)</f>
        <v>#VALUE!</v>
      </c>
      <c r="G21" s="17" t="e">
        <f t="shared" ref="G21:J21" si="9">SUM(G15:G20)</f>
        <v>#VALUE!</v>
      </c>
      <c r="H21" s="17" t="e">
        <f t="shared" si="9"/>
        <v>#VALUE!</v>
      </c>
      <c r="I21" s="17" t="e">
        <f t="shared" si="9"/>
        <v>#VALUE!</v>
      </c>
      <c r="J21" s="17" t="e">
        <f t="shared" si="9"/>
        <v>#VALUE!</v>
      </c>
      <c r="K21" s="17" t="e">
        <f>SUM(K15:K20)</f>
        <v>#VALUE!</v>
      </c>
    </row>
    <row r="22" spans="1:19" x14ac:dyDescent="0.25">
      <c r="A22" s="16" t="s">
        <v>101</v>
      </c>
      <c r="B22" s="16" t="e">
        <f>B21*12</f>
        <v>#VALUE!</v>
      </c>
      <c r="E22" s="59" t="s">
        <v>74</v>
      </c>
      <c r="F22" s="17" t="e">
        <f>NPV(B13,G21:K21)+F21</f>
        <v>#VALUE!</v>
      </c>
      <c r="P22" s="16" t="s">
        <v>126</v>
      </c>
      <c r="Q22" s="16" t="s">
        <v>41</v>
      </c>
    </row>
    <row r="23" spans="1:19" x14ac:dyDescent="0.25">
      <c r="P23" s="16" t="s">
        <v>74</v>
      </c>
      <c r="Q23" s="17" t="e">
        <f>NPV(Q22,S17:S20)+S16</f>
        <v>#VALUE!</v>
      </c>
    </row>
    <row r="24" spans="1:19" x14ac:dyDescent="0.25">
      <c r="A24" s="53" t="s">
        <v>111</v>
      </c>
      <c r="B24" s="53"/>
      <c r="C24" s="53"/>
      <c r="F24" s="16" t="s">
        <v>128</v>
      </c>
      <c r="G24" s="17" t="e">
        <f>F22</f>
        <v>#VALUE!</v>
      </c>
    </row>
    <row r="25" spans="1:19" x14ac:dyDescent="0.25">
      <c r="A25" s="47" t="s">
        <v>107</v>
      </c>
      <c r="B25" s="47"/>
      <c r="C25" s="47"/>
      <c r="F25" s="16" t="s">
        <v>129</v>
      </c>
      <c r="G25" s="17" t="e">
        <f>Q23</f>
        <v>#VALUE!</v>
      </c>
    </row>
    <row r="26" spans="1:19" x14ac:dyDescent="0.25">
      <c r="A26" s="16" t="s">
        <v>112</v>
      </c>
      <c r="B26" s="16" t="s">
        <v>41</v>
      </c>
      <c r="C26" s="16" t="s">
        <v>115</v>
      </c>
      <c r="F26" s="16" t="s">
        <v>127</v>
      </c>
      <c r="G26" s="17" t="e">
        <f>SUM(G24:G25)</f>
        <v>#VALUE!</v>
      </c>
    </row>
    <row r="27" spans="1:19" x14ac:dyDescent="0.25">
      <c r="A27" s="16" t="s">
        <v>114</v>
      </c>
      <c r="B27" s="16" t="s">
        <v>41</v>
      </c>
      <c r="C27" s="16" t="s">
        <v>113</v>
      </c>
    </row>
    <row r="29" spans="1:19" x14ac:dyDescent="0.25">
      <c r="A29" s="53" t="s">
        <v>103</v>
      </c>
      <c r="B29" s="53"/>
    </row>
    <row r="30" spans="1:19" x14ac:dyDescent="0.25">
      <c r="A30" s="16" t="s">
        <v>115</v>
      </c>
      <c r="B30" s="16" t="s">
        <v>41</v>
      </c>
    </row>
    <row r="31" spans="1:19" x14ac:dyDescent="0.25">
      <c r="A31" s="16" t="s">
        <v>112</v>
      </c>
      <c r="B31" s="57" t="s">
        <v>41</v>
      </c>
    </row>
    <row r="32" spans="1:19" x14ac:dyDescent="0.25">
      <c r="A32" s="16" t="s">
        <v>116</v>
      </c>
      <c r="B32" s="58" t="s">
        <v>41</v>
      </c>
    </row>
    <row r="33" spans="1:2" x14ac:dyDescent="0.25">
      <c r="A33" s="16" t="s">
        <v>117</v>
      </c>
      <c r="B33" s="17" t="e">
        <f>PMT(B32,B30,B31)</f>
        <v>#VALUE!</v>
      </c>
    </row>
  </sheetData>
  <mergeCells count="7">
    <mergeCell ref="A29:B29"/>
    <mergeCell ref="A3:C3"/>
    <mergeCell ref="M9:N9"/>
    <mergeCell ref="A16:C16"/>
    <mergeCell ref="A20:B20"/>
    <mergeCell ref="A24:C24"/>
    <mergeCell ref="A25:C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Beta Holding</vt:lpstr>
      <vt:lpstr>Beta Holding Plantilla</vt:lpstr>
      <vt:lpstr>Beneficio Costo</vt:lpstr>
      <vt:lpstr>VAN Con Opciones Plantilla</vt:lpstr>
      <vt:lpstr>VAN Ajustado</vt:lpstr>
      <vt:lpstr>VAN Ajustado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2024-12-03T03:33:19Z</dcterms:created>
  <dcterms:modified xsi:type="dcterms:W3CDTF">2024-12-03T16:40:32Z</dcterms:modified>
</cp:coreProperties>
</file>