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aan\Desktop\git\Apuntes_2024\2024-2\Evaluación de proyectos\Excels\"/>
    </mc:Choice>
  </mc:AlternateContent>
  <xr:revisionPtr revIDLastSave="0" documentId="8_{5523D873-7E9C-4646-A154-9419C6330DD0}" xr6:coauthVersionLast="47" xr6:coauthVersionMax="47" xr10:uidLastSave="{00000000-0000-0000-0000-000000000000}"/>
  <bookViews>
    <workbookView xWindow="-108" yWindow="-108" windowWidth="23256" windowHeight="12456" xr2:uid="{CB00B170-B527-4C01-9948-FD0132835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6" i="1" l="1"/>
  <c r="G66" i="1" s="1"/>
  <c r="H66" i="1" s="1"/>
  <c r="E66" i="1"/>
  <c r="E65" i="1"/>
  <c r="F65" i="1" s="1"/>
  <c r="G65" i="1" s="1"/>
  <c r="H65" i="1" s="1"/>
  <c r="F41" i="1"/>
  <c r="G41" i="1" s="1"/>
  <c r="H41" i="1" s="1"/>
  <c r="E41" i="1"/>
  <c r="E40" i="1"/>
  <c r="F40" i="1" s="1"/>
  <c r="G40" i="1" s="1"/>
  <c r="H40" i="1" s="1"/>
  <c r="F9" i="1"/>
  <c r="G9" i="1" s="1"/>
  <c r="H9" i="1" s="1"/>
  <c r="F8" i="1"/>
  <c r="G8" i="1" s="1"/>
  <c r="H8" i="1" s="1"/>
  <c r="K74" i="1"/>
  <c r="K73" i="1"/>
  <c r="D45" i="1"/>
  <c r="C53" i="1" s="1"/>
  <c r="D28" i="1"/>
  <c r="D12" i="1"/>
  <c r="D29" i="1"/>
  <c r="E8" i="1"/>
  <c r="D13" i="1"/>
  <c r="C28" i="1"/>
  <c r="F72" i="1"/>
  <c r="G72" i="1" s="1"/>
  <c r="H72" i="1" s="1"/>
  <c r="E72" i="1"/>
  <c r="E70" i="1"/>
  <c r="D70" i="1"/>
  <c r="E69" i="1"/>
  <c r="F69" i="1" s="1"/>
  <c r="G69" i="1" s="1"/>
  <c r="H69" i="1" s="1"/>
  <c r="D69" i="1"/>
  <c r="K48" i="1"/>
  <c r="D78" i="1" l="1"/>
  <c r="H70" i="1"/>
  <c r="G70" i="1"/>
  <c r="F70" i="1"/>
  <c r="F45" i="1"/>
  <c r="E45" i="1"/>
  <c r="D53" i="1"/>
  <c r="K49" i="1"/>
  <c r="A46" i="1" s="1"/>
  <c r="D46" i="1" s="1"/>
  <c r="E46" i="1" s="1"/>
  <c r="F46" i="1" s="1"/>
  <c r="G46" i="1" s="1"/>
  <c r="H46" i="1" s="1"/>
  <c r="A14" i="1"/>
  <c r="D14" i="1" s="1"/>
  <c r="E14" i="1" s="1"/>
  <c r="E44" i="1"/>
  <c r="F44" i="1" s="1"/>
  <c r="G44" i="1" s="1"/>
  <c r="H44" i="1" s="1"/>
  <c r="D44" i="1"/>
  <c r="C27" i="1"/>
  <c r="L6" i="1" s="1"/>
  <c r="N14" i="1" s="1"/>
  <c r="F16" i="1"/>
  <c r="G16" i="1" s="1"/>
  <c r="H16" i="1" s="1"/>
  <c r="E16" i="1"/>
  <c r="F12" i="1"/>
  <c r="G12" i="1" s="1"/>
  <c r="H12" i="1" s="1"/>
  <c r="E12" i="1"/>
  <c r="E13" i="1"/>
  <c r="E9" i="1"/>
  <c r="H13" i="1"/>
  <c r="C80" i="1"/>
  <c r="A71" i="1"/>
  <c r="D71" i="1" s="1"/>
  <c r="E71" i="1" s="1"/>
  <c r="F71" i="1" s="1"/>
  <c r="G71" i="1" s="1"/>
  <c r="H71" i="1" s="1"/>
  <c r="C78" i="1"/>
  <c r="D67" i="1"/>
  <c r="C55" i="1"/>
  <c r="D42" i="1"/>
  <c r="C30" i="1"/>
  <c r="H26" i="1"/>
  <c r="H25" i="1"/>
  <c r="H24" i="1"/>
  <c r="L11" i="1"/>
  <c r="D10" i="1"/>
  <c r="E78" i="1" l="1"/>
  <c r="F78" i="1" s="1"/>
  <c r="G78" i="1" s="1"/>
  <c r="E53" i="1"/>
  <c r="H45" i="1"/>
  <c r="G45" i="1"/>
  <c r="G13" i="1"/>
  <c r="F13" i="1"/>
  <c r="E28" i="1" s="1"/>
  <c r="F28" i="1" s="1"/>
  <c r="D48" i="1"/>
  <c r="D49" i="1" s="1"/>
  <c r="D50" i="1" s="1"/>
  <c r="L12" i="1"/>
  <c r="L15" i="1" s="1"/>
  <c r="E10" i="1"/>
  <c r="C29" i="1"/>
  <c r="F14" i="1"/>
  <c r="E21" i="1"/>
  <c r="E48" i="1"/>
  <c r="C54" i="1"/>
  <c r="D73" i="1"/>
  <c r="D74" i="1" s="1"/>
  <c r="D75" i="1" s="1"/>
  <c r="K15" i="1"/>
  <c r="C79" i="1"/>
  <c r="E42" i="1"/>
  <c r="E73" i="1"/>
  <c r="E67" i="1"/>
  <c r="D21" i="1"/>
  <c r="F53" i="1" l="1"/>
  <c r="G53" i="1" s="1"/>
  <c r="G28" i="1"/>
  <c r="H28" i="1" s="1" a="1"/>
  <c r="H28" i="1" s="1"/>
  <c r="M15" i="1"/>
  <c r="N15" i="1" s="1"/>
  <c r="K16" i="1" s="1"/>
  <c r="L19" i="1"/>
  <c r="L17" i="1"/>
  <c r="L18" i="1"/>
  <c r="L16" i="1"/>
  <c r="D51" i="1"/>
  <c r="D54" i="1" s="1"/>
  <c r="E49" i="1"/>
  <c r="E50" i="1" s="1"/>
  <c r="F42" i="1"/>
  <c r="D76" i="1"/>
  <c r="D79" i="1" s="1"/>
  <c r="F67" i="1"/>
  <c r="E74" i="1"/>
  <c r="E75" i="1" s="1"/>
  <c r="F10" i="1"/>
  <c r="F21" i="1"/>
  <c r="G14" i="1"/>
  <c r="F48" i="1" l="1"/>
  <c r="F49" i="1" s="1"/>
  <c r="F50" i="1" s="1"/>
  <c r="M16" i="1"/>
  <c r="N16" i="1" s="1"/>
  <c r="E51" i="1"/>
  <c r="E54" i="1" s="1"/>
  <c r="E76" i="1"/>
  <c r="F73" i="1"/>
  <c r="F74" i="1" s="1"/>
  <c r="F75" i="1" s="1"/>
  <c r="H14" i="1"/>
  <c r="H21" i="1" s="1"/>
  <c r="G21" i="1"/>
  <c r="G42" i="1"/>
  <c r="G67" i="1"/>
  <c r="G10" i="1"/>
  <c r="F51" i="1" l="1"/>
  <c r="F54" i="1" s="1"/>
  <c r="F76" i="1"/>
  <c r="G73" i="1"/>
  <c r="G74" i="1" s="1"/>
  <c r="G75" i="1" s="1"/>
  <c r="H53" i="1" a="1"/>
  <c r="H53" i="1" s="1"/>
  <c r="H42" i="1"/>
  <c r="K17" i="1"/>
  <c r="E79" i="1"/>
  <c r="H10" i="1"/>
  <c r="H67" i="1"/>
  <c r="G48" i="1"/>
  <c r="G49" i="1" s="1"/>
  <c r="G50" i="1" s="1"/>
  <c r="F79" i="1" l="1"/>
  <c r="H48" i="1"/>
  <c r="H49" i="1" s="1"/>
  <c r="H50" i="1" s="1"/>
  <c r="H51" i="1" s="1"/>
  <c r="H54" i="1" s="1"/>
  <c r="G51" i="1"/>
  <c r="G54" i="1" s="1"/>
  <c r="G76" i="1"/>
  <c r="M17" i="1"/>
  <c r="H78" i="1" a="1"/>
  <c r="H78" i="1" s="1"/>
  <c r="H73" i="1"/>
  <c r="H74" i="1" s="1"/>
  <c r="H75" i="1" s="1"/>
  <c r="H76" i="1" s="1"/>
  <c r="H79" i="1" l="1"/>
  <c r="G79" i="1"/>
  <c r="C56" i="1"/>
  <c r="N17" i="1"/>
  <c r="C57" i="1"/>
  <c r="D110" i="1" s="1"/>
  <c r="D94" i="1" l="1"/>
  <c r="G96" i="1" s="1"/>
  <c r="D102" i="1"/>
  <c r="C81" i="1"/>
  <c r="C82" i="1"/>
  <c r="D111" i="1" s="1"/>
  <c r="K18" i="1"/>
  <c r="D103" i="1" l="1"/>
  <c r="C104" i="1" s="1"/>
  <c r="D95" i="1"/>
  <c r="M18" i="1"/>
  <c r="N18" i="1" l="1"/>
  <c r="K19" i="1" l="1"/>
  <c r="M19" i="1" l="1"/>
  <c r="D15" i="1" a="1"/>
  <c r="D15" i="1" l="1"/>
  <c r="D17" i="1" s="1"/>
  <c r="D18" i="1" s="1"/>
  <c r="D19" i="1" s="1"/>
  <c r="E17" i="1"/>
  <c r="E18" i="1" s="1"/>
  <c r="F17" i="1"/>
  <c r="F18" i="1" s="1"/>
  <c r="G17" i="1"/>
  <c r="G18" i="1" s="1"/>
  <c r="H17" i="1"/>
  <c r="H18" i="1" s="1"/>
  <c r="D22" i="1" a="1"/>
  <c r="D22" i="1" s="1"/>
  <c r="N19" i="1"/>
  <c r="D20" i="1" l="1"/>
  <c r="E19" i="1"/>
  <c r="E20" i="1" l="1"/>
  <c r="E29" i="1" s="1"/>
  <c r="F19" i="1"/>
  <c r="F20" i="1" l="1"/>
  <c r="F29" i="1" s="1"/>
  <c r="G19" i="1"/>
  <c r="G20" i="1" l="1"/>
  <c r="G29" i="1" s="1"/>
  <c r="H19" i="1"/>
  <c r="H20" i="1" s="1"/>
  <c r="H29" i="1" s="1"/>
  <c r="C32" i="1" l="1"/>
  <c r="D109" i="1" s="1"/>
  <c r="C31" i="1"/>
  <c r="D93" i="1" l="1"/>
  <c r="D1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<sst xmlns="http://schemas.openxmlformats.org/spreadsheetml/2006/main" count="121" uniqueCount="55">
  <si>
    <t>FLUJO LEASING OPERATIVO</t>
  </si>
  <si>
    <t>INGRESOS</t>
  </si>
  <si>
    <t>CANTIDAD</t>
  </si>
  <si>
    <t>PRECIO</t>
  </si>
  <si>
    <t>COSTOS</t>
  </si>
  <si>
    <t>CRÉDITO</t>
  </si>
  <si>
    <t>FIJOS</t>
  </si>
  <si>
    <t>TASA NOMINAL ANUAL COMPUESTA SEMESTRAL</t>
  </si>
  <si>
    <t>VARIABLE</t>
  </si>
  <si>
    <t>LEASING</t>
  </si>
  <si>
    <t>MANTENCIÓN</t>
  </si>
  <si>
    <t>PERIODO(AÑOS)</t>
  </si>
  <si>
    <t>TASA INTERES REAL</t>
  </si>
  <si>
    <t>UTILIDAD</t>
  </si>
  <si>
    <t>IMPUESTO</t>
  </si>
  <si>
    <t>UTILIDAD DESPUES IMPUESTO</t>
  </si>
  <si>
    <t>INVERSIONES</t>
  </si>
  <si>
    <t>CAPITAL TRABAJO</t>
  </si>
  <si>
    <t>FLUJO</t>
  </si>
  <si>
    <t>CAPM</t>
  </si>
  <si>
    <t>Rf</t>
  </si>
  <si>
    <t>VAN</t>
  </si>
  <si>
    <t>beta</t>
  </si>
  <si>
    <t>TIR</t>
  </si>
  <si>
    <t>Rm-Rf</t>
  </si>
  <si>
    <t>Iván Andrés Cáceres Satorres</t>
  </si>
  <si>
    <t>FLUJO DE CAJA</t>
  </si>
  <si>
    <t>TASA INTERES REAL EFECTIVA</t>
  </si>
  <si>
    <t>CUOTA</t>
  </si>
  <si>
    <t xml:space="preserve">CRÉDITO CON BANCO BCI </t>
  </si>
  <si>
    <t>SALDO</t>
  </si>
  <si>
    <t>DEPRECIACIÓN</t>
  </si>
  <si>
    <t>PERIODOS</t>
  </si>
  <si>
    <t>INTERESES</t>
  </si>
  <si>
    <t>AMORTIZACIÓN</t>
  </si>
  <si>
    <t>TERRENO</t>
  </si>
  <si>
    <t>EDIFICACION</t>
  </si>
  <si>
    <t>MAQUINARIA</t>
  </si>
  <si>
    <t>CREDITO</t>
  </si>
  <si>
    <t>Rf %</t>
  </si>
  <si>
    <t>Rm-Rf %</t>
  </si>
  <si>
    <t>FLUJO LEASING FINANCIERO</t>
  </si>
  <si>
    <t>TASA NOMINAL ANUAL COMPUESTA MENSUAL</t>
  </si>
  <si>
    <t>RESPUESTAS A LAS PREGUNTAS</t>
  </si>
  <si>
    <t>A</t>
  </si>
  <si>
    <t>ALTERNATIVA DE FINANCIAMIENTO</t>
  </si>
  <si>
    <t>FLUJO DE CAJA CON CRÉDITO</t>
  </si>
  <si>
    <t>FLUJO DE CAJA CON LEASING OPERATIVO</t>
  </si>
  <si>
    <t>FLUJO DE CAJA CON LEASING FINANCIERO</t>
  </si>
  <si>
    <t xml:space="preserve">Por lo tanto la alternativa de financiamiento que le conviene a la empresa purificadora de agua es la del flujo de caja con leasing operativo, ya que es la alternativa que otorga el mayor VAN con un total de </t>
  </si>
  <si>
    <t>B</t>
  </si>
  <si>
    <t>El leasing financiero otorga un VAN de</t>
  </si>
  <si>
    <t>C</t>
  </si>
  <si>
    <t>Que es menor al VAN que otorga el leasing operativo, por lo que no cambiaría de decisión si ofrecen el leasing financiero</t>
  </si>
  <si>
    <t>Tabla resumen de los TIR calculados previamente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</si>
</sst>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&quot;$&quot;\-#,##0.00"/>
    <numFmt numFmtId="42" formatCode="_ &quot;$&quot;* #,##0_ ;_ &quot;$&quot;* \-#,##0_ ;_ &quot;$&quot;* &quot;-&quot;_ ;_ @_ "/>
    <numFmt numFmtId="164" formatCode="_ &quot;$&quot;* #,##0.0000_ ;_ &quot;$&quot;* \-#,##0.0000_ ;_ &quot;$&quot;* &quot;-&quot;????_ ;_ @_ "/>
    <numFmt numFmtId="165" formatCode="&quot;$&quot;#,##0.0000;[Red]&quot;$&quot;\-#,##0.0000"/>
    <numFmt numFmtId="166" formatCode="0.000%"/>
    <numFmt numFmtId="170" formatCode="0.0000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42" fontId="0" fillId="0" borderId="1" xfId="1" applyFont="1" applyBorder="1" applyAlignment="1">
      <alignment horizontal="center" vertical="center" wrapText="1"/>
    </xf>
    <xf numFmtId="4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42" fontId="0" fillId="0" borderId="0" xfId="0" applyNumberFormat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/>
    <xf numFmtId="166" fontId="0" fillId="0" borderId="1" xfId="2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2" fontId="0" fillId="0" borderId="0" xfId="0" applyNumberFormat="1"/>
    <xf numFmtId="42" fontId="0" fillId="0" borderId="1" xfId="1" applyNumberFormat="1" applyFont="1" applyBorder="1" applyAlignment="1">
      <alignment horizontal="center" vertical="center" wrapText="1"/>
    </xf>
    <xf numFmtId="0" fontId="0" fillId="0" borderId="1" xfId="0" applyBorder="1"/>
    <xf numFmtId="42" fontId="0" fillId="0" borderId="1" xfId="0" applyNumberFormat="1" applyBorder="1"/>
    <xf numFmtId="0" fontId="0" fillId="2" borderId="1" xfId="0" applyFill="1" applyBorder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5" fillId="0" borderId="0" xfId="0" applyFont="1"/>
    <xf numFmtId="0" fontId="3" fillId="0" borderId="0" xfId="0" applyFont="1"/>
    <xf numFmtId="4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9" fontId="0" fillId="0" borderId="1" xfId="0" applyNumberFormat="1" applyBorder="1"/>
    <xf numFmtId="10" fontId="0" fillId="0" borderId="1" xfId="2" applyNumberFormat="1" applyFont="1" applyBorder="1" applyAlignment="1">
      <alignment horizontal="center" vertical="center" wrapText="1"/>
    </xf>
    <xf numFmtId="170" fontId="0" fillId="0" borderId="1" xfId="2" applyNumberFormat="1" applyFont="1" applyBorder="1" applyAlignment="1">
      <alignment horizontal="center" vertical="center" wrapText="1"/>
    </xf>
    <xf numFmtId="42" fontId="2" fillId="0" borderId="0" xfId="0" applyNumberFormat="1" applyFont="1"/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AAB6-25D0-407E-8C0F-EE6BB1F5D75C}">
  <dimension ref="A1:P112"/>
  <sheetViews>
    <sheetView tabSelected="1" zoomScale="110" zoomScaleNormal="110" workbookViewId="0">
      <selection activeCell="D13" sqref="D13"/>
    </sheetView>
  </sheetViews>
  <sheetFormatPr baseColWidth="10" defaultRowHeight="14.4" x14ac:dyDescent="0.3"/>
  <cols>
    <col min="1" max="16" width="18.21875" customWidth="1"/>
  </cols>
  <sheetData>
    <row r="1" spans="1:14" x14ac:dyDescent="0.3">
      <c r="B1" t="s">
        <v>25</v>
      </c>
    </row>
    <row r="2" spans="1:14" x14ac:dyDescent="0.3">
      <c r="B2" s="20">
        <v>45575</v>
      </c>
    </row>
    <row r="4" spans="1:14" s="1" customFormat="1" ht="18" x14ac:dyDescent="0.3">
      <c r="B4" s="19" t="s">
        <v>26</v>
      </c>
    </row>
    <row r="5" spans="1:14" s="2" customFormat="1" x14ac:dyDescent="0.3"/>
    <row r="6" spans="1:14" s="2" customFormat="1" x14ac:dyDescent="0.3">
      <c r="B6" s="3"/>
      <c r="C6" s="3"/>
      <c r="D6" s="3">
        <v>1</v>
      </c>
      <c r="E6" s="3">
        <v>2</v>
      </c>
      <c r="F6" s="3">
        <v>3</v>
      </c>
      <c r="G6" s="3">
        <v>4</v>
      </c>
      <c r="H6" s="3">
        <v>5</v>
      </c>
      <c r="J6" s="10" t="s">
        <v>5</v>
      </c>
      <c r="K6" s="10"/>
      <c r="L6" s="8">
        <f>C27</f>
        <v>308000000</v>
      </c>
    </row>
    <row r="7" spans="1:14" s="2" customFormat="1" x14ac:dyDescent="0.3">
      <c r="B7" s="4" t="s">
        <v>1</v>
      </c>
      <c r="C7" s="3"/>
      <c r="D7" s="3"/>
      <c r="E7" s="3"/>
      <c r="F7" s="3"/>
      <c r="G7" s="3"/>
      <c r="H7" s="3"/>
      <c r="J7" s="10" t="s">
        <v>7</v>
      </c>
      <c r="K7" s="10"/>
      <c r="L7" s="24">
        <v>7.85E-2</v>
      </c>
    </row>
    <row r="8" spans="1:14" s="2" customFormat="1" x14ac:dyDescent="0.3">
      <c r="B8" s="5" t="s">
        <v>2</v>
      </c>
      <c r="C8" s="3"/>
      <c r="D8" s="6">
        <v>1380000</v>
      </c>
      <c r="E8" s="6">
        <f>D8*1.143</f>
        <v>1577340</v>
      </c>
      <c r="F8" s="6">
        <f t="shared" ref="F8:H8" si="0">E8*1.143</f>
        <v>1802899.62</v>
      </c>
      <c r="G8" s="6">
        <f t="shared" si="0"/>
        <v>2060714.2656600003</v>
      </c>
      <c r="H8" s="6">
        <f t="shared" si="0"/>
        <v>2355396.4056493803</v>
      </c>
      <c r="J8" s="10"/>
      <c r="K8" s="10"/>
      <c r="L8" s="24"/>
    </row>
    <row r="9" spans="1:14" s="2" customFormat="1" x14ac:dyDescent="0.3">
      <c r="B9" s="5" t="s">
        <v>3</v>
      </c>
      <c r="C9" s="3"/>
      <c r="D9" s="7">
        <v>109</v>
      </c>
      <c r="E9" s="7">
        <f>D9*1.123</f>
        <v>122.407</v>
      </c>
      <c r="F9" s="7">
        <f t="shared" ref="F9:H9" si="1">E9*1.123</f>
        <v>137.46306099999998</v>
      </c>
      <c r="G9" s="7">
        <f t="shared" si="1"/>
        <v>154.37101750299999</v>
      </c>
      <c r="H9" s="7">
        <f t="shared" si="1"/>
        <v>173.35865265586898</v>
      </c>
      <c r="J9" s="10"/>
      <c r="K9" s="10"/>
      <c r="L9" s="24"/>
    </row>
    <row r="10" spans="1:14" s="2" customFormat="1" x14ac:dyDescent="0.3">
      <c r="B10" s="5" t="s">
        <v>1</v>
      </c>
      <c r="C10" s="3"/>
      <c r="D10" s="8">
        <f>D8*D9</f>
        <v>150420000</v>
      </c>
      <c r="E10" s="8">
        <f>E8*E9</f>
        <v>193077457.38</v>
      </c>
      <c r="F10" s="8">
        <f>F8*F9</f>
        <v>247832100.4409368</v>
      </c>
      <c r="G10" s="8">
        <f>G8*G9</f>
        <v>318114557.97288167</v>
      </c>
      <c r="H10" s="8">
        <f>H8*H9</f>
        <v>408328347.35385317</v>
      </c>
      <c r="J10" s="10" t="s">
        <v>11</v>
      </c>
      <c r="K10" s="10"/>
      <c r="L10" s="3">
        <v>5</v>
      </c>
    </row>
    <row r="11" spans="1:14" s="2" customFormat="1" x14ac:dyDescent="0.3">
      <c r="B11" s="4" t="s">
        <v>4</v>
      </c>
      <c r="C11" s="3"/>
      <c r="D11" s="3"/>
      <c r="E11" s="3"/>
      <c r="F11" s="3"/>
      <c r="G11" s="3"/>
      <c r="H11" s="3"/>
      <c r="J11" s="10" t="s">
        <v>27</v>
      </c>
      <c r="K11" s="10"/>
      <c r="L11" s="21">
        <f>POWER(1+L7/2,2)-1</f>
        <v>8.0040562500000023E-2</v>
      </c>
    </row>
    <row r="12" spans="1:14" s="2" customFormat="1" x14ac:dyDescent="0.3">
      <c r="B12" s="5" t="s">
        <v>6</v>
      </c>
      <c r="C12" s="3"/>
      <c r="D12" s="7">
        <f>(-280000-750000)*12</f>
        <v>-12360000</v>
      </c>
      <c r="E12" s="7">
        <f>D12*1.02</f>
        <v>-12607200</v>
      </c>
      <c r="F12" s="7">
        <f t="shared" ref="F12:H12" si="2">E12*1.02</f>
        <v>-12859344</v>
      </c>
      <c r="G12" s="7">
        <f t="shared" si="2"/>
        <v>-13116530.880000001</v>
      </c>
      <c r="H12" s="7">
        <f t="shared" si="2"/>
        <v>-13378861.4976</v>
      </c>
      <c r="J12" s="10" t="s">
        <v>28</v>
      </c>
      <c r="K12" s="10"/>
      <c r="L12" s="8">
        <f>-PMT(L11,L10,L6)</f>
        <v>77148835.0851046</v>
      </c>
    </row>
    <row r="13" spans="1:14" s="2" customFormat="1" x14ac:dyDescent="0.3">
      <c r="B13" s="5" t="s">
        <v>8</v>
      </c>
      <c r="C13" s="8">
        <v>-25</v>
      </c>
      <c r="D13" s="7">
        <f>$C$13*D8</f>
        <v>-34500000</v>
      </c>
      <c r="E13" s="7">
        <f t="shared" ref="E13:H13" si="3">$C$13*E8</f>
        <v>-39433500</v>
      </c>
      <c r="F13" s="7">
        <f t="shared" si="3"/>
        <v>-45072490.5</v>
      </c>
      <c r="G13" s="7">
        <f t="shared" si="3"/>
        <v>-51517856.641500004</v>
      </c>
      <c r="H13" s="7">
        <f t="shared" si="3"/>
        <v>-58884910.14123451</v>
      </c>
      <c r="J13" s="22" t="s">
        <v>29</v>
      </c>
      <c r="K13" s="22"/>
      <c r="L13" s="22"/>
      <c r="M13" s="22"/>
      <c r="N13" s="3" t="s">
        <v>30</v>
      </c>
    </row>
    <row r="14" spans="1:14" s="2" customFormat="1" ht="28.8" x14ac:dyDescent="0.3">
      <c r="A14" s="14">
        <f>C25/9+ + C26/9</f>
        <v>-30000000</v>
      </c>
      <c r="B14" s="5" t="s">
        <v>31</v>
      </c>
      <c r="C14" s="8"/>
      <c r="D14" s="8">
        <f>A14</f>
        <v>-30000000</v>
      </c>
      <c r="E14" s="8">
        <f>D14</f>
        <v>-30000000</v>
      </c>
      <c r="F14" s="8">
        <f>E14</f>
        <v>-30000000</v>
      </c>
      <c r="G14" s="8">
        <f>F14</f>
        <v>-30000000</v>
      </c>
      <c r="H14" s="8">
        <f>G14</f>
        <v>-30000000</v>
      </c>
      <c r="J14" s="3" t="s">
        <v>32</v>
      </c>
      <c r="K14" s="3" t="s">
        <v>33</v>
      </c>
      <c r="L14" s="3" t="s">
        <v>28</v>
      </c>
      <c r="M14" s="3" t="s">
        <v>34</v>
      </c>
      <c r="N14" s="8">
        <f>L6</f>
        <v>308000000</v>
      </c>
    </row>
    <row r="15" spans="1:14" s="2" customFormat="1" x14ac:dyDescent="0.3">
      <c r="B15" s="5" t="s">
        <v>33</v>
      </c>
      <c r="C15" s="3"/>
      <c r="D15" s="7" cm="1">
        <f t="array" ref="D15:H15">-TRANSPOSE(K15:K19)</f>
        <v>-24652493.250000007</v>
      </c>
      <c r="E15" s="7">
        <v>-20450656.520325951</v>
      </c>
      <c r="F15" s="7">
        <v>-15912502.415275626</v>
      </c>
      <c r="G15" s="7">
        <v>-11011111.902945384</v>
      </c>
      <c r="H15" s="7">
        <v>-5717411.33697607</v>
      </c>
      <c r="J15" s="3">
        <v>1</v>
      </c>
      <c r="K15" s="8">
        <f>N14*L11</f>
        <v>24652493.250000007</v>
      </c>
      <c r="L15" s="8">
        <f>L12</f>
        <v>77148835.0851046</v>
      </c>
      <c r="M15" s="8">
        <f>L15-K15</f>
        <v>52496341.835104592</v>
      </c>
      <c r="N15" s="8">
        <f>N14-M15</f>
        <v>255503658.16489542</v>
      </c>
    </row>
    <row r="16" spans="1:14" s="2" customFormat="1" x14ac:dyDescent="0.3">
      <c r="B16" s="5" t="s">
        <v>10</v>
      </c>
      <c r="C16" s="3"/>
      <c r="D16" s="7">
        <v>-31000000</v>
      </c>
      <c r="E16" s="7">
        <f>D16*1.02</f>
        <v>-31620000</v>
      </c>
      <c r="F16" s="7">
        <f t="shared" ref="F16:H16" si="4">E16*1.02</f>
        <v>-32252400</v>
      </c>
      <c r="G16" s="7">
        <f t="shared" si="4"/>
        <v>-32897448</v>
      </c>
      <c r="H16" s="7">
        <f t="shared" si="4"/>
        <v>-33555396.960000001</v>
      </c>
      <c r="J16" s="3">
        <v>2</v>
      </c>
      <c r="K16" s="8">
        <f>N15*L11</f>
        <v>20450656.520325951</v>
      </c>
      <c r="L16" s="8">
        <f>L12</f>
        <v>77148835.0851046</v>
      </c>
      <c r="M16" s="8">
        <f>L16-K16</f>
        <v>56698178.564778648</v>
      </c>
      <c r="N16" s="8">
        <f>N15-M16</f>
        <v>198805479.60011676</v>
      </c>
    </row>
    <row r="17" spans="1:14" s="2" customFormat="1" x14ac:dyDescent="0.3">
      <c r="B17" s="5" t="s">
        <v>4</v>
      </c>
      <c r="C17" s="3"/>
      <c r="D17" s="8">
        <f>SUM(D12:D16)</f>
        <v>-132512493.25</v>
      </c>
      <c r="E17" s="8">
        <f>SUM(E12:E16)</f>
        <v>-134111356.52032596</v>
      </c>
      <c r="F17" s="8">
        <f>SUM(F12:F16)</f>
        <v>-136096736.91527563</v>
      </c>
      <c r="G17" s="8">
        <f>SUM(G12:G16)</f>
        <v>-138542947.42444539</v>
      </c>
      <c r="H17" s="8">
        <f>SUM(H12:H16)</f>
        <v>-141536579.93581057</v>
      </c>
      <c r="J17" s="3">
        <v>3</v>
      </c>
      <c r="K17" s="8">
        <f>N16*L11</f>
        <v>15912502.415275626</v>
      </c>
      <c r="L17" s="8">
        <f>L12</f>
        <v>77148835.0851046</v>
      </c>
      <c r="M17" s="8">
        <f>L17-K17</f>
        <v>61236332.669828974</v>
      </c>
      <c r="N17" s="8">
        <f>N16-M17</f>
        <v>137569146.93028778</v>
      </c>
    </row>
    <row r="18" spans="1:14" s="2" customFormat="1" x14ac:dyDescent="0.3">
      <c r="B18" s="5" t="s">
        <v>13</v>
      </c>
      <c r="C18" s="3"/>
      <c r="D18" s="8">
        <f>D10+D17</f>
        <v>17907506.75</v>
      </c>
      <c r="E18" s="8">
        <f>E10+E17</f>
        <v>58966100.859674037</v>
      </c>
      <c r="F18" s="8">
        <f>F10+F17</f>
        <v>111735363.52566117</v>
      </c>
      <c r="G18" s="8">
        <f>G10+G17</f>
        <v>179571610.54843628</v>
      </c>
      <c r="H18" s="8">
        <f>H10+H17</f>
        <v>266791767.4180426</v>
      </c>
      <c r="J18" s="3">
        <v>4</v>
      </c>
      <c r="K18" s="8">
        <f>N17*L11</f>
        <v>11011111.902945384</v>
      </c>
      <c r="L18" s="8">
        <f>L12</f>
        <v>77148835.0851046</v>
      </c>
      <c r="M18" s="8">
        <f>L18-K18</f>
        <v>66137723.182159215</v>
      </c>
      <c r="N18" s="8">
        <f>N17-M18</f>
        <v>71431423.748128563</v>
      </c>
    </row>
    <row r="19" spans="1:14" s="2" customFormat="1" x14ac:dyDescent="0.3">
      <c r="B19" s="5" t="s">
        <v>14</v>
      </c>
      <c r="C19" s="15">
        <v>-0.25</v>
      </c>
      <c r="D19" s="7">
        <f>D18*C19</f>
        <v>-4476876.6875</v>
      </c>
      <c r="E19" s="7">
        <f>IF(D19&lt;0,E18*C19,E18*C19+D19)</f>
        <v>-14741525.214918509</v>
      </c>
      <c r="F19" s="7">
        <f>IF(E19&lt;0,F18*C19,F18*C19+E19)</f>
        <v>-27933840.881415293</v>
      </c>
      <c r="G19" s="7">
        <f>IF(F19&lt;0,G18*C19,G18*C19+F19)</f>
        <v>-44892902.637109071</v>
      </c>
      <c r="H19" s="7">
        <f>IF(G19&lt;0,H18*C19,H18*C19+G19)</f>
        <v>-66697941.85451065</v>
      </c>
      <c r="J19" s="3">
        <v>5</v>
      </c>
      <c r="K19" s="8">
        <f>N18*L11</f>
        <v>5717411.33697607</v>
      </c>
      <c r="L19" s="8">
        <f>L12</f>
        <v>77148835.0851046</v>
      </c>
      <c r="M19" s="8">
        <f>L19-K19</f>
        <v>71431423.748128533</v>
      </c>
      <c r="N19" s="8">
        <f>N18-M19</f>
        <v>0</v>
      </c>
    </row>
    <row r="20" spans="1:14" s="2" customFormat="1" ht="43.2" x14ac:dyDescent="0.3">
      <c r="B20" s="4" t="s">
        <v>15</v>
      </c>
      <c r="C20" s="3"/>
      <c r="D20" s="7">
        <f>IF(D19&gt;0,D18,D18+D19)</f>
        <v>13430630.0625</v>
      </c>
      <c r="E20" s="7">
        <f>IF(E19&gt;0,E18,E18+E19)</f>
        <v>44224575.644755527</v>
      </c>
      <c r="F20" s="7">
        <f>IF(F19&gt;0,F18,F18+F19)</f>
        <v>83801522.644245878</v>
      </c>
      <c r="G20" s="7">
        <f>IF(G19&gt;0,G18,G18+G19)</f>
        <v>134678707.91132721</v>
      </c>
      <c r="H20" s="7">
        <f>IF(H19&gt;0,H18,H18+H19)</f>
        <v>200093825.56353194</v>
      </c>
    </row>
    <row r="21" spans="1:14" s="2" customFormat="1" ht="28.8" x14ac:dyDescent="0.3">
      <c r="B21" s="5" t="s">
        <v>31</v>
      </c>
      <c r="C21" s="3"/>
      <c r="D21" s="8">
        <f>-D14</f>
        <v>30000000</v>
      </c>
      <c r="E21" s="8">
        <f>-E14</f>
        <v>30000000</v>
      </c>
      <c r="F21" s="8">
        <f>-F14</f>
        <v>30000000</v>
      </c>
      <c r="G21" s="8">
        <f>-G14</f>
        <v>30000000</v>
      </c>
      <c r="H21" s="8">
        <f>-H14</f>
        <v>30000000</v>
      </c>
    </row>
    <row r="22" spans="1:14" s="2" customFormat="1" ht="28.8" x14ac:dyDescent="0.3">
      <c r="B22" s="5" t="s">
        <v>34</v>
      </c>
      <c r="C22" s="3"/>
      <c r="D22" s="7" cm="1">
        <f t="array" ref="D22:H22">-TRANSPOSE(M15:M19)</f>
        <v>-52496341.835104592</v>
      </c>
      <c r="E22" s="7">
        <v>-56698178.564778648</v>
      </c>
      <c r="F22" s="7">
        <v>-61236332.669828974</v>
      </c>
      <c r="G22" s="7">
        <v>-66137723.182159215</v>
      </c>
      <c r="H22" s="7">
        <v>-71431423.748128533</v>
      </c>
    </row>
    <row r="23" spans="1:14" s="2" customFormat="1" ht="28.8" x14ac:dyDescent="0.3">
      <c r="B23" s="4" t="s">
        <v>16</v>
      </c>
      <c r="C23" s="3"/>
      <c r="D23" s="3"/>
      <c r="E23" s="3"/>
      <c r="F23" s="3"/>
      <c r="G23" s="3"/>
      <c r="H23" s="3"/>
    </row>
    <row r="24" spans="1:14" s="2" customFormat="1" x14ac:dyDescent="0.3">
      <c r="B24" s="5" t="s">
        <v>35</v>
      </c>
      <c r="C24" s="7">
        <v>-38000000</v>
      </c>
      <c r="D24" s="3"/>
      <c r="E24" s="3"/>
      <c r="F24" s="3"/>
      <c r="G24" s="3"/>
      <c r="H24" s="7">
        <f>C24*I24</f>
        <v>0</v>
      </c>
      <c r="I24" s="2">
        <v>0</v>
      </c>
    </row>
    <row r="25" spans="1:14" s="2" customFormat="1" ht="28.8" x14ac:dyDescent="0.3">
      <c r="B25" s="5" t="s">
        <v>36</v>
      </c>
      <c r="C25" s="7">
        <v>-90000000</v>
      </c>
      <c r="D25" s="3"/>
      <c r="E25" s="3"/>
      <c r="F25" s="3"/>
      <c r="G25" s="3"/>
      <c r="H25" s="7">
        <f>C25*I25</f>
        <v>0</v>
      </c>
      <c r="I25" s="2">
        <v>0</v>
      </c>
    </row>
    <row r="26" spans="1:14" s="2" customFormat="1" x14ac:dyDescent="0.3">
      <c r="B26" s="5" t="s">
        <v>37</v>
      </c>
      <c r="C26" s="7">
        <v>-180000000</v>
      </c>
      <c r="D26" s="3"/>
      <c r="E26" s="3"/>
      <c r="F26" s="3"/>
      <c r="G26" s="3"/>
      <c r="H26" s="7">
        <f t="shared" ref="H26" si="5">C26*I26</f>
        <v>0</v>
      </c>
      <c r="I26" s="2">
        <v>0</v>
      </c>
    </row>
    <row r="27" spans="1:14" s="2" customFormat="1" x14ac:dyDescent="0.3">
      <c r="B27" s="5" t="s">
        <v>38</v>
      </c>
      <c r="C27" s="8">
        <f>-SUM(C24:C26)</f>
        <v>308000000</v>
      </c>
      <c r="D27" s="3"/>
      <c r="E27" s="3"/>
      <c r="F27" s="3"/>
      <c r="G27" s="3"/>
      <c r="H27" s="3"/>
    </row>
    <row r="28" spans="1:14" s="2" customFormat="1" x14ac:dyDescent="0.3">
      <c r="A28" s="2">
        <v>2</v>
      </c>
      <c r="B28" s="5" t="s">
        <v>17</v>
      </c>
      <c r="C28" s="8">
        <f>A28*D13</f>
        <v>-69000000</v>
      </c>
      <c r="D28" s="8">
        <f>$A$28*E13-C28</f>
        <v>-9867000</v>
      </c>
      <c r="E28" s="8">
        <f>$A$28*F13-SUM(C28:D28)</f>
        <v>-11277981</v>
      </c>
      <c r="F28" s="8">
        <f>$A$28*G13-SUM(C28:E28)</f>
        <v>-12890732.283000007</v>
      </c>
      <c r="G28" s="8">
        <f>$A$28*H13-SUM(C28:F28)</f>
        <v>-14734106.999469012</v>
      </c>
      <c r="H28" s="8" cm="1">
        <f t="array" ref="H28">SUM(C28:G28*I28)</f>
        <v>105992838.25422212</v>
      </c>
      <c r="I28" s="2">
        <v>-0.9</v>
      </c>
    </row>
    <row r="29" spans="1:14" s="2" customFormat="1" x14ac:dyDescent="0.3">
      <c r="B29" s="5" t="s">
        <v>18</v>
      </c>
      <c r="C29" s="7">
        <f t="shared" ref="C29:H29" si="6">SUM(C20:C28)</f>
        <v>-69000000</v>
      </c>
      <c r="D29" s="7">
        <f>SUM(D20:D28)</f>
        <v>-18932711.772604592</v>
      </c>
      <c r="E29" s="7">
        <f t="shared" si="6"/>
        <v>6248416.0799768791</v>
      </c>
      <c r="F29" s="7">
        <f t="shared" si="6"/>
        <v>39674457.691416897</v>
      </c>
      <c r="G29" s="7">
        <f t="shared" si="6"/>
        <v>83806877.729698986</v>
      </c>
      <c r="H29" s="7">
        <f t="shared" si="6"/>
        <v>264655240.06962553</v>
      </c>
    </row>
    <row r="30" spans="1:14" s="2" customFormat="1" x14ac:dyDescent="0.3">
      <c r="B30" s="5" t="s">
        <v>19</v>
      </c>
      <c r="C30" s="23">
        <f>K30+K31*K32</f>
        <v>0.19600000000000001</v>
      </c>
      <c r="D30" s="3"/>
      <c r="E30" s="3"/>
      <c r="F30" s="3"/>
      <c r="G30" s="3"/>
      <c r="H30" s="3"/>
      <c r="J30" s="17" t="s">
        <v>39</v>
      </c>
      <c r="K30" s="18">
        <v>0.04</v>
      </c>
    </row>
    <row r="31" spans="1:14" s="2" customFormat="1" x14ac:dyDescent="0.3">
      <c r="B31" s="4" t="s">
        <v>21</v>
      </c>
      <c r="C31" s="8">
        <f>NPV(C30,D29:H29)+C29</f>
        <v>91838165.368224502</v>
      </c>
      <c r="D31" s="3"/>
      <c r="E31" s="3"/>
      <c r="F31" s="3"/>
      <c r="G31" s="3"/>
      <c r="H31" s="3"/>
      <c r="J31" s="17" t="s">
        <v>22</v>
      </c>
      <c r="K31" s="3">
        <v>1.3</v>
      </c>
    </row>
    <row r="32" spans="1:14" s="2" customFormat="1" x14ac:dyDescent="0.3">
      <c r="B32" s="4" t="s">
        <v>23</v>
      </c>
      <c r="C32" s="18">
        <f>IRR(C29:H29)</f>
        <v>0.42444490252206646</v>
      </c>
      <c r="D32" s="3"/>
      <c r="E32" s="3"/>
      <c r="F32" s="3"/>
      <c r="G32" s="3"/>
      <c r="H32" s="3"/>
      <c r="J32" s="17" t="s">
        <v>40</v>
      </c>
      <c r="K32" s="18">
        <v>0.12</v>
      </c>
    </row>
    <row r="35" spans="1:16" s="1" customFormat="1" ht="18" x14ac:dyDescent="0.3">
      <c r="B35" s="19" t="s">
        <v>0</v>
      </c>
    </row>
    <row r="36" spans="1:16" s="2" customFormat="1" x14ac:dyDescent="0.3"/>
    <row r="37" spans="1:16" s="2" customFormat="1" x14ac:dyDescent="0.3"/>
    <row r="38" spans="1:16" s="2" customFormat="1" x14ac:dyDescent="0.3">
      <c r="B38" s="3"/>
      <c r="C38" s="3"/>
      <c r="D38" s="3">
        <v>1</v>
      </c>
      <c r="E38" s="3">
        <v>2</v>
      </c>
      <c r="F38" s="3">
        <v>3</v>
      </c>
      <c r="G38" s="3">
        <v>4</v>
      </c>
      <c r="H38" s="3">
        <v>5</v>
      </c>
    </row>
    <row r="39" spans="1:16" s="2" customFormat="1" x14ac:dyDescent="0.3">
      <c r="B39" s="4" t="s">
        <v>1</v>
      </c>
      <c r="C39" s="3"/>
      <c r="D39" s="3"/>
      <c r="E39" s="3"/>
      <c r="F39" s="3"/>
      <c r="G39" s="3"/>
      <c r="H39" s="3"/>
    </row>
    <row r="40" spans="1:16" s="2" customFormat="1" x14ac:dyDescent="0.3">
      <c r="B40" s="5" t="s">
        <v>2</v>
      </c>
      <c r="C40" s="3"/>
      <c r="D40" s="6">
        <v>1380000</v>
      </c>
      <c r="E40" s="6">
        <f>D40*1.143</f>
        <v>1577340</v>
      </c>
      <c r="F40" s="6">
        <f t="shared" ref="F40:H40" si="7">E40*1.143</f>
        <v>1802899.62</v>
      </c>
      <c r="G40" s="6">
        <f t="shared" si="7"/>
        <v>2060714.2656600003</v>
      </c>
      <c r="H40" s="6">
        <f t="shared" si="7"/>
        <v>2355396.4056493803</v>
      </c>
    </row>
    <row r="41" spans="1:16" s="2" customFormat="1" x14ac:dyDescent="0.3">
      <c r="B41" s="5" t="s">
        <v>3</v>
      </c>
      <c r="C41" s="3"/>
      <c r="D41" s="7">
        <v>109</v>
      </c>
      <c r="E41" s="7">
        <f>D41*1.123</f>
        <v>122.407</v>
      </c>
      <c r="F41" s="7">
        <f t="shared" ref="F41:H41" si="8">E41*1.123</f>
        <v>137.46306099999998</v>
      </c>
      <c r="G41" s="7">
        <f t="shared" si="8"/>
        <v>154.37101750299999</v>
      </c>
      <c r="H41" s="7">
        <f t="shared" si="8"/>
        <v>173.35865265586898</v>
      </c>
    </row>
    <row r="42" spans="1:16" s="2" customFormat="1" x14ac:dyDescent="0.3">
      <c r="B42" s="5" t="s">
        <v>1</v>
      </c>
      <c r="C42" s="3"/>
      <c r="D42" s="8">
        <f>D40*D41</f>
        <v>150420000</v>
      </c>
      <c r="E42" s="8">
        <f>E40*E41</f>
        <v>193077457.38</v>
      </c>
      <c r="F42" s="8">
        <f>F40*F41</f>
        <v>247832100.4409368</v>
      </c>
      <c r="G42" s="8">
        <f>G40*G41</f>
        <v>318114557.97288167</v>
      </c>
      <c r="H42" s="8">
        <f>H40*H41</f>
        <v>408328347.35385317</v>
      </c>
    </row>
    <row r="43" spans="1:16" s="2" customFormat="1" x14ac:dyDescent="0.3">
      <c r="B43" s="4" t="s">
        <v>4</v>
      </c>
      <c r="C43" s="3"/>
      <c r="D43" s="3"/>
      <c r="E43" s="3"/>
      <c r="F43" s="3"/>
      <c r="G43" s="3"/>
      <c r="H43" s="3"/>
      <c r="J43" s="3" t="s">
        <v>5</v>
      </c>
      <c r="K43" s="8">
        <v>308000000</v>
      </c>
      <c r="M43" s="9"/>
      <c r="N43" s="9"/>
      <c r="O43" s="9"/>
      <c r="P43" s="9"/>
    </row>
    <row r="44" spans="1:16" s="2" customFormat="1" x14ac:dyDescent="0.3">
      <c r="B44" s="5" t="s">
        <v>6</v>
      </c>
      <c r="C44" s="3"/>
      <c r="D44" s="7">
        <f>(-280000-750000)*12</f>
        <v>-12360000</v>
      </c>
      <c r="E44" s="7">
        <f>D44*1.02</f>
        <v>-12607200</v>
      </c>
      <c r="F44" s="7">
        <f t="shared" ref="F44:H44" si="9">E44*1.02</f>
        <v>-12859344</v>
      </c>
      <c r="G44" s="7">
        <f t="shared" si="9"/>
        <v>-13116530.880000001</v>
      </c>
      <c r="H44" s="7">
        <f t="shared" si="9"/>
        <v>-13378861.4976</v>
      </c>
      <c r="J44" s="10" t="s">
        <v>42</v>
      </c>
      <c r="K44" s="24">
        <v>0.125</v>
      </c>
    </row>
    <row r="45" spans="1:16" s="2" customFormat="1" ht="15.75" customHeight="1" x14ac:dyDescent="0.3">
      <c r="B45" s="5" t="s">
        <v>8</v>
      </c>
      <c r="C45" s="8">
        <v>-25</v>
      </c>
      <c r="D45" s="7">
        <f>$C$45*D40</f>
        <v>-34500000</v>
      </c>
      <c r="E45" s="7">
        <f>$C$45*E40</f>
        <v>-39433500</v>
      </c>
      <c r="F45" s="7">
        <f t="shared" ref="E45:H45" si="10">$C$45*F40</f>
        <v>-45072490.5</v>
      </c>
      <c r="G45" s="7">
        <f t="shared" si="10"/>
        <v>-51517856.641500004</v>
      </c>
      <c r="H45" s="7">
        <f t="shared" si="10"/>
        <v>-58884910.14123451</v>
      </c>
      <c r="J45" s="10"/>
      <c r="K45" s="24"/>
      <c r="N45" s="11"/>
      <c r="O45" s="12"/>
      <c r="P45" s="13"/>
    </row>
    <row r="46" spans="1:16" s="2" customFormat="1" x14ac:dyDescent="0.3">
      <c r="A46" s="12">
        <f>K49</f>
        <v>-88085674.939184427</v>
      </c>
      <c r="B46" s="5" t="s">
        <v>9</v>
      </c>
      <c r="C46" s="8"/>
      <c r="D46" s="8">
        <f>A46</f>
        <v>-88085674.939184427</v>
      </c>
      <c r="E46" s="8">
        <f>D46</f>
        <v>-88085674.939184427</v>
      </c>
      <c r="F46" s="8">
        <f t="shared" ref="F46:H46" si="11">E46</f>
        <v>-88085674.939184427</v>
      </c>
      <c r="G46" s="8">
        <f t="shared" si="11"/>
        <v>-88085674.939184427</v>
      </c>
      <c r="H46" s="8">
        <f t="shared" si="11"/>
        <v>-88085674.939184427</v>
      </c>
      <c r="J46" s="10"/>
      <c r="K46" s="24"/>
      <c r="N46" s="11"/>
      <c r="O46" s="12"/>
    </row>
    <row r="47" spans="1:16" s="2" customFormat="1" ht="28.8" x14ac:dyDescent="0.3">
      <c r="B47" s="5" t="s">
        <v>10</v>
      </c>
      <c r="C47" s="3"/>
      <c r="D47" s="8">
        <v>0</v>
      </c>
      <c r="E47" s="8">
        <v>0</v>
      </c>
      <c r="F47" s="8">
        <v>0</v>
      </c>
      <c r="G47" s="8">
        <v>0</v>
      </c>
      <c r="H47" s="8">
        <v>0</v>
      </c>
      <c r="J47" s="3" t="s">
        <v>11</v>
      </c>
      <c r="K47" s="3">
        <v>5</v>
      </c>
      <c r="N47" s="11"/>
      <c r="O47" s="12"/>
    </row>
    <row r="48" spans="1:16" s="2" customFormat="1" x14ac:dyDescent="0.3">
      <c r="B48" s="5" t="s">
        <v>4</v>
      </c>
      <c r="C48" s="3"/>
      <c r="D48" s="8">
        <f>SUM(D44:D47)</f>
        <v>-134945674.93918443</v>
      </c>
      <c r="E48" s="8">
        <f>SUM(E44:E47)</f>
        <v>-140126374.93918443</v>
      </c>
      <c r="F48" s="8">
        <f>SUM(F44:F47)</f>
        <v>-146017509.43918443</v>
      </c>
      <c r="G48" s="8">
        <f>SUM(G44:G47)</f>
        <v>-152720062.46068442</v>
      </c>
      <c r="H48" s="8">
        <f>SUM(H44:H47)</f>
        <v>-160349446.57801893</v>
      </c>
      <c r="J48" s="3" t="s">
        <v>12</v>
      </c>
      <c r="K48" s="42">
        <f>POWER(1+K44/12,12)-1</f>
        <v>0.13241604641527593</v>
      </c>
      <c r="N48" s="11"/>
      <c r="O48" s="12"/>
    </row>
    <row r="49" spans="1:15" s="2" customFormat="1" x14ac:dyDescent="0.3">
      <c r="B49" s="5" t="s">
        <v>13</v>
      </c>
      <c r="C49" s="3"/>
      <c r="D49" s="8">
        <f>D42+D48</f>
        <v>15474325.060815573</v>
      </c>
      <c r="E49" s="8">
        <f>E42+E48</f>
        <v>52951082.440815568</v>
      </c>
      <c r="F49" s="8">
        <f>F42+F48</f>
        <v>101814591.00175238</v>
      </c>
      <c r="G49" s="8">
        <f>G42+G48</f>
        <v>165394495.51219726</v>
      </c>
      <c r="H49" s="8">
        <f>H42+H48</f>
        <v>247978900.77583423</v>
      </c>
      <c r="J49" s="3" t="s">
        <v>9</v>
      </c>
      <c r="K49" s="16">
        <f>PMT(K48,K47,K43)</f>
        <v>-88085674.939184427</v>
      </c>
      <c r="N49" s="11"/>
      <c r="O49" s="12"/>
    </row>
    <row r="50" spans="1:15" s="2" customFormat="1" x14ac:dyDescent="0.3">
      <c r="B50" s="5" t="s">
        <v>14</v>
      </c>
      <c r="C50" s="15">
        <v>-0.25</v>
      </c>
      <c r="D50" s="7">
        <f>D49*C50</f>
        <v>-3868581.2652038932</v>
      </c>
      <c r="E50" s="7">
        <f>IF(D50&lt;0,E49*C50,E49*C50+D50)</f>
        <v>-13237770.610203892</v>
      </c>
      <c r="F50" s="7">
        <f>IF(E50&lt;0,F49*C50,F49*C50+E50)</f>
        <v>-25453647.750438094</v>
      </c>
      <c r="G50" s="7">
        <f>IF(F50&lt;0,G49*C50,G49*C50+F50)</f>
        <v>-41348623.878049314</v>
      </c>
      <c r="H50" s="7">
        <f>IF(G50&lt;0,H49*C50,H49*C50+G50)</f>
        <v>-61994725.193958558</v>
      </c>
    </row>
    <row r="51" spans="1:15" s="2" customFormat="1" ht="43.2" x14ac:dyDescent="0.3">
      <c r="B51" s="4" t="s">
        <v>15</v>
      </c>
      <c r="C51" s="3"/>
      <c r="D51" s="7">
        <f>IF(D50&gt;0,D49,D49+D50)</f>
        <v>11605743.79561168</v>
      </c>
      <c r="E51" s="7">
        <f>IF(E50&gt;0,E49,E49+E50)</f>
        <v>39713311.830611676</v>
      </c>
      <c r="F51" s="7">
        <f>IF(F50&gt;0,F49,F49+F50)</f>
        <v>76360943.251314282</v>
      </c>
      <c r="G51" s="7">
        <f>IF(G50&gt;0,G49,G49+G50)</f>
        <v>124045871.63414794</v>
      </c>
      <c r="H51" s="7">
        <f>IF(H50&gt;0,H49,H49+H50)</f>
        <v>185984175.58187568</v>
      </c>
    </row>
    <row r="52" spans="1:15" s="2" customFormat="1" x14ac:dyDescent="0.3">
      <c r="B52" s="4" t="s">
        <v>16</v>
      </c>
      <c r="C52" s="3"/>
      <c r="D52" s="3"/>
      <c r="E52" s="3"/>
      <c r="F52" s="3"/>
      <c r="G52" s="3"/>
      <c r="H52" s="3"/>
    </row>
    <row r="53" spans="1:15" s="2" customFormat="1" x14ac:dyDescent="0.3">
      <c r="A53" s="2">
        <v>2</v>
      </c>
      <c r="B53" s="5" t="s">
        <v>17</v>
      </c>
      <c r="C53" s="8">
        <f>A53*D45</f>
        <v>-69000000</v>
      </c>
      <c r="D53" s="8">
        <f>$A$53*E45-C53</f>
        <v>-9867000</v>
      </c>
      <c r="E53" s="8">
        <f>$A$53*F45-SUM(C53:D53)</f>
        <v>-11277981</v>
      </c>
      <c r="F53" s="8">
        <f>$A$53*G45-SUM(C53:E53)</f>
        <v>-12890732.283000007</v>
      </c>
      <c r="G53" s="8">
        <f>$A$53*H45-SUM(C53:F53)</f>
        <v>-14734106.999469012</v>
      </c>
      <c r="H53" s="8" cm="1">
        <f t="array" ref="H53">SUM(C53:G53*I53)</f>
        <v>105992838.25422212</v>
      </c>
      <c r="I53" s="2">
        <v>-0.9</v>
      </c>
    </row>
    <row r="54" spans="1:15" s="2" customFormat="1" x14ac:dyDescent="0.3">
      <c r="B54" s="5" t="s">
        <v>18</v>
      </c>
      <c r="C54" s="7">
        <f t="shared" ref="C54:H54" si="12">SUM(C51:C53)</f>
        <v>-69000000</v>
      </c>
      <c r="D54" s="7">
        <f t="shared" si="12"/>
        <v>1738743.7956116796</v>
      </c>
      <c r="E54" s="7">
        <f t="shared" si="12"/>
        <v>28435330.830611676</v>
      </c>
      <c r="F54" s="7">
        <f t="shared" si="12"/>
        <v>63470210.968314275</v>
      </c>
      <c r="G54" s="7">
        <f t="shared" si="12"/>
        <v>109311764.63467893</v>
      </c>
      <c r="H54" s="7">
        <f t="shared" si="12"/>
        <v>291977013.83609784</v>
      </c>
    </row>
    <row r="55" spans="1:15" s="2" customFormat="1" x14ac:dyDescent="0.3">
      <c r="B55" s="5" t="s">
        <v>19</v>
      </c>
      <c r="C55" s="15">
        <f>K55+K56*K57</f>
        <v>0.19600000000000001</v>
      </c>
      <c r="D55" s="3"/>
      <c r="E55" s="3"/>
      <c r="F55" s="3"/>
      <c r="G55" s="3"/>
      <c r="H55" s="3"/>
      <c r="J55" s="17" t="s">
        <v>20</v>
      </c>
      <c r="K55" s="18">
        <v>0.04</v>
      </c>
    </row>
    <row r="56" spans="1:15" s="2" customFormat="1" x14ac:dyDescent="0.3">
      <c r="B56" s="4" t="s">
        <v>21</v>
      </c>
      <c r="C56" s="8">
        <f>NPV(C55,D54:H54)+C54</f>
        <v>162172160.7701579</v>
      </c>
      <c r="D56" s="3"/>
      <c r="E56" s="3"/>
      <c r="F56" s="3"/>
      <c r="G56" s="3"/>
      <c r="H56" s="3"/>
      <c r="J56" s="17" t="s">
        <v>22</v>
      </c>
      <c r="K56" s="3">
        <v>1.3</v>
      </c>
    </row>
    <row r="57" spans="1:15" s="2" customFormat="1" x14ac:dyDescent="0.3">
      <c r="B57" s="4" t="s">
        <v>23</v>
      </c>
      <c r="C57" s="18">
        <f>IRR(C54:H54)</f>
        <v>0.61923601268027784</v>
      </c>
      <c r="D57" s="3"/>
      <c r="E57" s="3"/>
      <c r="F57" s="3"/>
      <c r="G57" s="3"/>
      <c r="H57" s="3"/>
      <c r="J57" s="17" t="s">
        <v>24</v>
      </c>
      <c r="K57" s="18">
        <v>0.12</v>
      </c>
    </row>
    <row r="60" spans="1:15" s="25" customFormat="1" ht="18" x14ac:dyDescent="0.3">
      <c r="B60" s="19" t="s">
        <v>41</v>
      </c>
    </row>
    <row r="61" spans="1:15" s="2" customFormat="1" x14ac:dyDescent="0.3"/>
    <row r="62" spans="1:15" s="2" customFormat="1" x14ac:dyDescent="0.3"/>
    <row r="63" spans="1:15" s="2" customFormat="1" x14ac:dyDescent="0.3">
      <c r="B63" s="3"/>
      <c r="C63" s="3"/>
      <c r="D63" s="3">
        <v>1</v>
      </c>
      <c r="E63" s="3">
        <v>2</v>
      </c>
      <c r="F63" s="3">
        <v>3</v>
      </c>
      <c r="G63" s="3">
        <v>4</v>
      </c>
      <c r="H63" s="3">
        <v>5</v>
      </c>
    </row>
    <row r="64" spans="1:15" s="2" customFormat="1" x14ac:dyDescent="0.3">
      <c r="B64" s="4" t="s">
        <v>1</v>
      </c>
      <c r="C64" s="3"/>
      <c r="D64" s="3"/>
      <c r="E64" s="3"/>
      <c r="F64" s="3"/>
      <c r="G64" s="3"/>
      <c r="H64" s="3"/>
    </row>
    <row r="65" spans="1:11" s="2" customFormat="1" x14ac:dyDescent="0.3">
      <c r="B65" s="5" t="s">
        <v>2</v>
      </c>
      <c r="C65" s="3"/>
      <c r="D65" s="6">
        <v>1380000</v>
      </c>
      <c r="E65" s="6">
        <f>D65*1.143</f>
        <v>1577340</v>
      </c>
      <c r="F65" s="6">
        <f t="shared" ref="F65:H65" si="13">E65*1.143</f>
        <v>1802899.62</v>
      </c>
      <c r="G65" s="6">
        <f t="shared" si="13"/>
        <v>2060714.2656600003</v>
      </c>
      <c r="H65" s="6">
        <f t="shared" si="13"/>
        <v>2355396.4056493803</v>
      </c>
    </row>
    <row r="66" spans="1:11" s="2" customFormat="1" x14ac:dyDescent="0.3">
      <c r="B66" s="5" t="s">
        <v>3</v>
      </c>
      <c r="C66" s="3"/>
      <c r="D66" s="7">
        <v>109</v>
      </c>
      <c r="E66" s="7">
        <f>D66*1.123</f>
        <v>122.407</v>
      </c>
      <c r="F66" s="7">
        <f t="shared" ref="F66:H66" si="14">E66*1.123</f>
        <v>137.46306099999998</v>
      </c>
      <c r="G66" s="7">
        <f t="shared" si="14"/>
        <v>154.37101750299999</v>
      </c>
      <c r="H66" s="7">
        <f t="shared" si="14"/>
        <v>173.35865265586898</v>
      </c>
    </row>
    <row r="67" spans="1:11" s="2" customFormat="1" x14ac:dyDescent="0.3">
      <c r="B67" s="5" t="s">
        <v>1</v>
      </c>
      <c r="C67" s="3"/>
      <c r="D67" s="8">
        <f>D65*D66</f>
        <v>150420000</v>
      </c>
      <c r="E67" s="8">
        <f>E65*E66</f>
        <v>193077457.38</v>
      </c>
      <c r="F67" s="8">
        <f>F65*F66</f>
        <v>247832100.4409368</v>
      </c>
      <c r="G67" s="8">
        <f>G65*G66</f>
        <v>318114557.97288167</v>
      </c>
      <c r="H67" s="8">
        <f>H65*H66</f>
        <v>408328347.35385317</v>
      </c>
    </row>
    <row r="68" spans="1:11" s="2" customFormat="1" x14ac:dyDescent="0.3">
      <c r="B68" s="4" t="s">
        <v>4</v>
      </c>
      <c r="C68" s="3"/>
      <c r="D68" s="3"/>
      <c r="E68" s="3"/>
      <c r="F68" s="3"/>
      <c r="G68" s="3"/>
      <c r="H68" s="3"/>
      <c r="J68" s="3" t="s">
        <v>5</v>
      </c>
      <c r="K68" s="8">
        <v>308000000</v>
      </c>
    </row>
    <row r="69" spans="1:11" s="2" customFormat="1" x14ac:dyDescent="0.3">
      <c r="B69" s="5" t="s">
        <v>6</v>
      </c>
      <c r="C69" s="3"/>
      <c r="D69" s="7">
        <f>(-280000-750000)*12</f>
        <v>-12360000</v>
      </c>
      <c r="E69" s="7">
        <f>D69*1.02</f>
        <v>-12607200</v>
      </c>
      <c r="F69" s="7">
        <f t="shared" ref="F69:H69" si="15">E69*1.02</f>
        <v>-12859344</v>
      </c>
      <c r="G69" s="7">
        <f t="shared" si="15"/>
        <v>-13116530.880000001</v>
      </c>
      <c r="H69" s="7">
        <f t="shared" si="15"/>
        <v>-13378861.4976</v>
      </c>
      <c r="J69" s="10" t="s">
        <v>42</v>
      </c>
      <c r="K69" s="24">
        <v>0.1</v>
      </c>
    </row>
    <row r="70" spans="1:11" s="2" customFormat="1" x14ac:dyDescent="0.3">
      <c r="B70" s="5" t="s">
        <v>8</v>
      </c>
      <c r="C70" s="8">
        <v>-25</v>
      </c>
      <c r="D70" s="7">
        <f>$C$13*D65</f>
        <v>-34500000</v>
      </c>
      <c r="E70" s="7">
        <f t="shared" ref="E70:H70" si="16">$C$13*E65</f>
        <v>-39433500</v>
      </c>
      <c r="F70" s="7">
        <f t="shared" si="16"/>
        <v>-45072490.5</v>
      </c>
      <c r="G70" s="7">
        <f t="shared" si="16"/>
        <v>-51517856.641500004</v>
      </c>
      <c r="H70" s="7">
        <f t="shared" si="16"/>
        <v>-58884910.14123451</v>
      </c>
      <c r="J70" s="10"/>
      <c r="K70" s="24"/>
    </row>
    <row r="71" spans="1:11" s="2" customFormat="1" x14ac:dyDescent="0.3">
      <c r="A71" s="12">
        <f>K74</f>
        <v>-82230205.62480256</v>
      </c>
      <c r="B71" s="5" t="s">
        <v>9</v>
      </c>
      <c r="C71" s="8"/>
      <c r="D71" s="8">
        <f>A71</f>
        <v>-82230205.62480256</v>
      </c>
      <c r="E71" s="8">
        <f>D71</f>
        <v>-82230205.62480256</v>
      </c>
      <c r="F71" s="8">
        <f t="shared" ref="F71:H71" si="17">E71</f>
        <v>-82230205.62480256</v>
      </c>
      <c r="G71" s="8">
        <f t="shared" si="17"/>
        <v>-82230205.62480256</v>
      </c>
      <c r="H71" s="8">
        <f t="shared" si="17"/>
        <v>-82230205.62480256</v>
      </c>
      <c r="J71" s="10"/>
      <c r="K71" s="24"/>
    </row>
    <row r="72" spans="1:11" s="2" customFormat="1" x14ac:dyDescent="0.3">
      <c r="B72" s="5" t="s">
        <v>10</v>
      </c>
      <c r="C72" s="3"/>
      <c r="D72" s="7">
        <v>-31000000</v>
      </c>
      <c r="E72" s="7">
        <f>D72*1.02</f>
        <v>-31620000</v>
      </c>
      <c r="F72" s="7">
        <f t="shared" ref="F72:H72" si="18">E72*1.02</f>
        <v>-32252400</v>
      </c>
      <c r="G72" s="7">
        <f t="shared" si="18"/>
        <v>-32897448</v>
      </c>
      <c r="H72" s="7">
        <f t="shared" si="18"/>
        <v>-33555396.960000001</v>
      </c>
      <c r="J72" s="3" t="s">
        <v>11</v>
      </c>
      <c r="K72" s="3">
        <v>5</v>
      </c>
    </row>
    <row r="73" spans="1:11" s="2" customFormat="1" x14ac:dyDescent="0.3">
      <c r="B73" s="5" t="s">
        <v>4</v>
      </c>
      <c r="C73" s="3"/>
      <c r="D73" s="8">
        <f>SUM(D69:D72)</f>
        <v>-160090205.62480256</v>
      </c>
      <c r="E73" s="8">
        <f>SUM(E69:E72)</f>
        <v>-165890905.62480256</v>
      </c>
      <c r="F73" s="8">
        <f>SUM(F69:F72)</f>
        <v>-172414440.12480256</v>
      </c>
      <c r="G73" s="8">
        <f>SUM(G69:G72)</f>
        <v>-179762041.14630258</v>
      </c>
      <c r="H73" s="8">
        <f>SUM(H69:H72)</f>
        <v>-188049374.22363707</v>
      </c>
      <c r="J73" s="3" t="s">
        <v>12</v>
      </c>
      <c r="K73" s="41">
        <f>POWER(1+K69/12,12)-1</f>
        <v>0.10471306744129683</v>
      </c>
    </row>
    <row r="74" spans="1:11" s="2" customFormat="1" x14ac:dyDescent="0.3">
      <c r="B74" s="5" t="s">
        <v>13</v>
      </c>
      <c r="C74" s="3"/>
      <c r="D74" s="8">
        <f>D67+D73</f>
        <v>-9670205.6248025596</v>
      </c>
      <c r="E74" s="8">
        <f>E67+E73</f>
        <v>27186551.755197436</v>
      </c>
      <c r="F74" s="8">
        <f>F67+F73</f>
        <v>75417660.316134244</v>
      </c>
      <c r="G74" s="8">
        <f>G67+G73</f>
        <v>138352516.82657909</v>
      </c>
      <c r="H74" s="8">
        <f>H67+H73</f>
        <v>220278973.13021609</v>
      </c>
      <c r="J74" s="3" t="s">
        <v>9</v>
      </c>
      <c r="K74" s="16">
        <f>PMT(K73,K72,K68)</f>
        <v>-82230205.62480256</v>
      </c>
    </row>
    <row r="75" spans="1:11" s="2" customFormat="1" x14ac:dyDescent="0.3">
      <c r="B75" s="5" t="s">
        <v>14</v>
      </c>
      <c r="C75" s="15">
        <v>-0.25</v>
      </c>
      <c r="D75" s="27">
        <f>D74*C75</f>
        <v>2417551.4062006399</v>
      </c>
      <c r="E75" s="7">
        <f>IF(D75&lt;0,E74*C75,E74*C75+D75)</f>
        <v>-4379086.532598719</v>
      </c>
      <c r="F75" s="7">
        <f>IF(E75&lt;0,F74*C75,F74*C75+E75)</f>
        <v>-18854415.079033561</v>
      </c>
      <c r="G75" s="7">
        <f>IF(F75&lt;0,G74*C75,G74*C75+F75)</f>
        <v>-34588129.206644773</v>
      </c>
      <c r="H75" s="7">
        <f>IF(G75&lt;0,H74*C75,H74*C75+G75)</f>
        <v>-55069743.282554023</v>
      </c>
    </row>
    <row r="76" spans="1:11" s="2" customFormat="1" ht="43.2" x14ac:dyDescent="0.3">
      <c r="B76" s="4" t="s">
        <v>15</v>
      </c>
      <c r="C76" s="3"/>
      <c r="D76" s="7">
        <f>IF(D75&gt;0,D74,D74+D75)</f>
        <v>-9670205.6248025596</v>
      </c>
      <c r="E76" s="7">
        <f>IF(E75&gt;0,E74,E74+E75)</f>
        <v>22807465.222598717</v>
      </c>
      <c r="F76" s="7">
        <f>IF(F75&gt;0,F74,F74+F75)</f>
        <v>56563245.237100683</v>
      </c>
      <c r="G76" s="7">
        <f>IF(G75&gt;0,G74,G74+G75)</f>
        <v>103764387.61993432</v>
      </c>
      <c r="H76" s="7">
        <f>IF(H75&gt;0,H74,H74+H75)</f>
        <v>165209229.84766206</v>
      </c>
    </row>
    <row r="77" spans="1:11" s="2" customFormat="1" ht="28.8" x14ac:dyDescent="0.3">
      <c r="B77" s="4" t="s">
        <v>16</v>
      </c>
      <c r="C77" s="3"/>
      <c r="D77" s="3"/>
      <c r="E77" s="3"/>
      <c r="F77" s="3"/>
      <c r="G77" s="3"/>
      <c r="H77" s="3"/>
    </row>
    <row r="78" spans="1:11" s="2" customFormat="1" x14ac:dyDescent="0.3">
      <c r="A78" s="2">
        <v>2</v>
      </c>
      <c r="B78" s="5" t="s">
        <v>17</v>
      </c>
      <c r="C78" s="8">
        <f>A78*D70</f>
        <v>-69000000</v>
      </c>
      <c r="D78" s="8">
        <f>$A$78*E70-C78</f>
        <v>-9867000</v>
      </c>
      <c r="E78" s="8">
        <f>$A$78*F70-SUM(C78:D78)</f>
        <v>-11277981</v>
      </c>
      <c r="F78" s="8">
        <f>$A$78*G70-SUM(C78:E78)</f>
        <v>-12890732.283000007</v>
      </c>
      <c r="G78" s="8">
        <f>$A$78*H70-SUM(C78:F78)</f>
        <v>-14734106.999469012</v>
      </c>
      <c r="H78" s="8" cm="1">
        <f t="array" ref="H78">SUM(C78:G78*I78)</f>
        <v>105992838.25422212</v>
      </c>
      <c r="I78" s="2">
        <v>-0.9</v>
      </c>
    </row>
    <row r="79" spans="1:11" s="2" customFormat="1" x14ac:dyDescent="0.3">
      <c r="B79" s="5" t="s">
        <v>18</v>
      </c>
      <c r="C79" s="7">
        <f t="shared" ref="C79:H79" si="19">SUM(C76:C78)</f>
        <v>-69000000</v>
      </c>
      <c r="D79" s="7">
        <f t="shared" si="19"/>
        <v>-19537205.62480256</v>
      </c>
      <c r="E79" s="7">
        <f t="shared" si="19"/>
        <v>11529484.222598717</v>
      </c>
      <c r="F79" s="7">
        <f t="shared" si="19"/>
        <v>43672512.954100676</v>
      </c>
      <c r="G79" s="7">
        <f t="shared" si="19"/>
        <v>89030280.620465308</v>
      </c>
      <c r="H79" s="7">
        <f t="shared" si="19"/>
        <v>271202068.10188419</v>
      </c>
    </row>
    <row r="80" spans="1:11" s="2" customFormat="1" x14ac:dyDescent="0.3">
      <c r="B80" s="5" t="s">
        <v>19</v>
      </c>
      <c r="C80" s="23">
        <f>K80+K81*K82</f>
        <v>0.19600000000000001</v>
      </c>
      <c r="D80" s="3"/>
      <c r="E80" s="3"/>
      <c r="F80" s="3"/>
      <c r="G80" s="3"/>
      <c r="H80" s="3"/>
      <c r="J80" s="17" t="s">
        <v>20</v>
      </c>
      <c r="K80" s="18">
        <v>0.04</v>
      </c>
    </row>
    <row r="81" spans="1:11" s="2" customFormat="1" x14ac:dyDescent="0.3">
      <c r="B81" s="4" t="s">
        <v>21</v>
      </c>
      <c r="C81" s="8">
        <f>NPV(C80,D79:H79)+C79</f>
        <v>102589884.03740665</v>
      </c>
      <c r="D81" s="3"/>
      <c r="E81" s="3"/>
      <c r="F81" s="3"/>
      <c r="G81" s="3"/>
      <c r="H81" s="3"/>
      <c r="J81" s="17" t="s">
        <v>22</v>
      </c>
      <c r="K81" s="3">
        <v>1.3</v>
      </c>
    </row>
    <row r="82" spans="1:11" s="2" customFormat="1" x14ac:dyDescent="0.3">
      <c r="B82" s="4" t="s">
        <v>23</v>
      </c>
      <c r="C82" s="18">
        <f>IRR(C79:H79)</f>
        <v>0.44907016410332545</v>
      </c>
      <c r="D82" s="3"/>
      <c r="E82" s="3"/>
      <c r="F82" s="3"/>
      <c r="G82" s="3"/>
      <c r="H82" s="3"/>
      <c r="J82" s="17" t="s">
        <v>24</v>
      </c>
      <c r="K82" s="18">
        <v>0.12</v>
      </c>
    </row>
    <row r="85" spans="1:11" x14ac:dyDescent="0.3">
      <c r="E85" s="26"/>
      <c r="I85" s="26"/>
    </row>
    <row r="87" spans="1:11" x14ac:dyDescent="0.3">
      <c r="I87" s="26"/>
    </row>
    <row r="89" spans="1:11" ht="23.4" x14ac:dyDescent="0.45">
      <c r="A89" s="34" t="s">
        <v>43</v>
      </c>
      <c r="B89" s="32"/>
      <c r="C89" s="32"/>
    </row>
    <row r="91" spans="1:11" x14ac:dyDescent="0.3">
      <c r="A91" s="33" t="s">
        <v>44</v>
      </c>
    </row>
    <row r="92" spans="1:11" x14ac:dyDescent="0.3">
      <c r="B92" s="30" t="s">
        <v>45</v>
      </c>
      <c r="C92" s="30"/>
      <c r="D92" s="31" t="s">
        <v>21</v>
      </c>
    </row>
    <row r="93" spans="1:11" x14ac:dyDescent="0.3">
      <c r="B93" s="28" t="s">
        <v>46</v>
      </c>
      <c r="C93" s="28"/>
      <c r="D93" s="29">
        <f>C31</f>
        <v>91838165.368224502</v>
      </c>
    </row>
    <row r="94" spans="1:11" x14ac:dyDescent="0.3">
      <c r="B94" s="28" t="s">
        <v>47</v>
      </c>
      <c r="C94" s="28"/>
      <c r="D94" s="29">
        <f>C56</f>
        <v>162172160.7701579</v>
      </c>
    </row>
    <row r="95" spans="1:11" x14ac:dyDescent="0.3">
      <c r="B95" s="28" t="s">
        <v>48</v>
      </c>
      <c r="C95" s="28"/>
      <c r="D95" s="29">
        <f>C81</f>
        <v>102589884.03740665</v>
      </c>
    </row>
    <row r="96" spans="1:11" ht="18" customHeight="1" x14ac:dyDescent="0.3">
      <c r="A96" s="39" t="s">
        <v>49</v>
      </c>
      <c r="B96" s="39"/>
      <c r="C96" s="39"/>
      <c r="D96" s="39"/>
      <c r="E96" s="39"/>
      <c r="F96" s="39"/>
      <c r="G96" s="37">
        <f>D94</f>
        <v>162172160.7701579</v>
      </c>
    </row>
    <row r="97" spans="1:7" x14ac:dyDescent="0.3">
      <c r="A97" s="39"/>
      <c r="B97" s="39"/>
      <c r="C97" s="39"/>
      <c r="D97" s="39"/>
      <c r="E97" s="39"/>
      <c r="F97" s="39"/>
      <c r="G97" s="38"/>
    </row>
    <row r="99" spans="1:7" x14ac:dyDescent="0.3">
      <c r="A99" s="33" t="s">
        <v>50</v>
      </c>
    </row>
    <row r="100" spans="1:7" x14ac:dyDescent="0.3">
      <c r="B100" s="30" t="s">
        <v>45</v>
      </c>
      <c r="C100" s="30"/>
      <c r="D100" s="31" t="s">
        <v>21</v>
      </c>
    </row>
    <row r="101" spans="1:7" x14ac:dyDescent="0.3">
      <c r="B101" s="28" t="s">
        <v>46</v>
      </c>
      <c r="C101" s="28"/>
      <c r="D101" s="29">
        <f>C31</f>
        <v>91838165.368224502</v>
      </c>
    </row>
    <row r="102" spans="1:7" x14ac:dyDescent="0.3">
      <c r="B102" s="28" t="s">
        <v>47</v>
      </c>
      <c r="C102" s="28"/>
      <c r="D102" s="29">
        <f>C56</f>
        <v>162172160.7701579</v>
      </c>
    </row>
    <row r="103" spans="1:7" x14ac:dyDescent="0.3">
      <c r="B103" s="28" t="s">
        <v>48</v>
      </c>
      <c r="C103" s="28"/>
      <c r="D103" s="29">
        <f>C81</f>
        <v>102589884.03740665</v>
      </c>
    </row>
    <row r="104" spans="1:7" ht="15.6" x14ac:dyDescent="0.3">
      <c r="A104" s="35" t="s">
        <v>51</v>
      </c>
      <c r="C104" s="43">
        <f>D103</f>
        <v>102589884.03740665</v>
      </c>
    </row>
    <row r="105" spans="1:7" ht="15.6" x14ac:dyDescent="0.3">
      <c r="A105" s="35" t="s">
        <v>53</v>
      </c>
    </row>
    <row r="107" spans="1:7" x14ac:dyDescent="0.3">
      <c r="A107" s="33" t="s">
        <v>52</v>
      </c>
    </row>
    <row r="108" spans="1:7" x14ac:dyDescent="0.3">
      <c r="B108" s="30" t="s">
        <v>45</v>
      </c>
      <c r="C108" s="30"/>
      <c r="D108" s="31" t="s">
        <v>23</v>
      </c>
    </row>
    <row r="109" spans="1:7" x14ac:dyDescent="0.3">
      <c r="B109" s="28" t="s">
        <v>46</v>
      </c>
      <c r="C109" s="28"/>
      <c r="D109" s="40">
        <f>C32</f>
        <v>0.42444490252206646</v>
      </c>
    </row>
    <row r="110" spans="1:7" x14ac:dyDescent="0.3">
      <c r="B110" s="28" t="s">
        <v>47</v>
      </c>
      <c r="C110" s="28"/>
      <c r="D110" s="40">
        <f>C57</f>
        <v>0.61923601268027784</v>
      </c>
    </row>
    <row r="111" spans="1:7" x14ac:dyDescent="0.3">
      <c r="B111" s="28" t="s">
        <v>48</v>
      </c>
      <c r="C111" s="28"/>
      <c r="D111" s="40">
        <f>C82</f>
        <v>0.44907016410332545</v>
      </c>
    </row>
    <row r="112" spans="1:7" ht="18" x14ac:dyDescent="0.35">
      <c r="A112" s="36" t="s">
        <v>54</v>
      </c>
    </row>
  </sheetData>
  <mergeCells count="26">
    <mergeCell ref="B110:C110"/>
    <mergeCell ref="B111:C111"/>
    <mergeCell ref="B101:C101"/>
    <mergeCell ref="B102:C102"/>
    <mergeCell ref="B103:C103"/>
    <mergeCell ref="B108:C108"/>
    <mergeCell ref="B109:C109"/>
    <mergeCell ref="B93:C93"/>
    <mergeCell ref="B94:C94"/>
    <mergeCell ref="B95:C95"/>
    <mergeCell ref="A96:F97"/>
    <mergeCell ref="G96:G97"/>
    <mergeCell ref="B100:C100"/>
    <mergeCell ref="M43:P43"/>
    <mergeCell ref="J44:J46"/>
    <mergeCell ref="K44:K46"/>
    <mergeCell ref="J69:J71"/>
    <mergeCell ref="K69:K71"/>
    <mergeCell ref="B92:C92"/>
    <mergeCell ref="J6:K6"/>
    <mergeCell ref="J7:K9"/>
    <mergeCell ref="L7:L9"/>
    <mergeCell ref="J10:K10"/>
    <mergeCell ref="J11:K11"/>
    <mergeCell ref="J12:K12"/>
    <mergeCell ref="J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207070653</dc:creator>
  <cp:lastModifiedBy>207070653</cp:lastModifiedBy>
  <dcterms:created xsi:type="dcterms:W3CDTF">2024-10-10T18:55:29Z</dcterms:created>
  <dcterms:modified xsi:type="dcterms:W3CDTF">2024-10-10T20:09:36Z</dcterms:modified>
</cp:coreProperties>
</file>