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vaaan\Desktop\git\Apuntes_2024\2024-2\Evaluación de proyectos\Excels\"/>
    </mc:Choice>
  </mc:AlternateContent>
  <xr:revisionPtr revIDLastSave="0" documentId="13_ncr:1_{659B9E9B-8F7D-48DB-86E3-DE64616E555D}" xr6:coauthVersionLast="47" xr6:coauthVersionMax="47" xr10:uidLastSave="{00000000-0000-0000-0000-000000000000}"/>
  <bookViews>
    <workbookView xWindow="-108" yWindow="-108" windowWidth="23256" windowHeight="12456" xr2:uid="{5EF18D62-F360-4B27-9D55-BA32710D8F2E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4" i="1" l="1"/>
  <c r="L75" i="1" s="1"/>
  <c r="T67" i="1"/>
  <c r="T73" i="1" s="1"/>
  <c r="I70" i="1" s="1"/>
  <c r="M70" i="1" s="1"/>
  <c r="N71" i="1"/>
  <c r="O71" i="1" s="1"/>
  <c r="P71" i="1" s="1"/>
  <c r="M71" i="1"/>
  <c r="K79" i="1"/>
  <c r="L69" i="1"/>
  <c r="K77" i="1" s="1"/>
  <c r="O68" i="1"/>
  <c r="P68" i="1" s="1"/>
  <c r="N68" i="1"/>
  <c r="M68" i="1"/>
  <c r="L65" i="1"/>
  <c r="N64" i="1"/>
  <c r="O64" i="1" s="1"/>
  <c r="P64" i="1" s="1"/>
  <c r="M64" i="1"/>
  <c r="M63" i="1"/>
  <c r="M69" i="1" s="1"/>
  <c r="T42" i="1"/>
  <c r="T47" i="1"/>
  <c r="K54" i="1"/>
  <c r="L44" i="1"/>
  <c r="K52" i="1" s="1"/>
  <c r="P52" i="1" s="1"/>
  <c r="M43" i="1"/>
  <c r="N43" i="1" s="1"/>
  <c r="L40" i="1"/>
  <c r="M39" i="1"/>
  <c r="N39" i="1" s="1"/>
  <c r="O39" i="1" s="1"/>
  <c r="P39" i="1" s="1"/>
  <c r="M38" i="1"/>
  <c r="M40" i="1" s="1"/>
  <c r="K27" i="1"/>
  <c r="P23" i="1"/>
  <c r="P22" i="1"/>
  <c r="P21" i="1"/>
  <c r="M11" i="1"/>
  <c r="X1" i="1"/>
  <c r="I11" i="1"/>
  <c r="L11" i="1" s="1"/>
  <c r="M13" i="1"/>
  <c r="N13" i="1" s="1"/>
  <c r="O13" i="1" s="1"/>
  <c r="P13" i="1" s="1"/>
  <c r="Y6" i="1"/>
  <c r="M74" i="1" l="1"/>
  <c r="P11" i="1"/>
  <c r="O11" i="1"/>
  <c r="P70" i="1"/>
  <c r="O70" i="1"/>
  <c r="L70" i="1"/>
  <c r="L72" i="1" s="1"/>
  <c r="L73" i="1" s="1"/>
  <c r="L78" i="1" s="1"/>
  <c r="N70" i="1"/>
  <c r="K78" i="1"/>
  <c r="P77" i="1"/>
  <c r="M72" i="1"/>
  <c r="N63" i="1"/>
  <c r="M65" i="1"/>
  <c r="N11" i="1"/>
  <c r="K53" i="1"/>
  <c r="T48" i="1"/>
  <c r="O43" i="1"/>
  <c r="M44" i="1"/>
  <c r="N38" i="1"/>
  <c r="M75" i="1" l="1"/>
  <c r="N74" i="1"/>
  <c r="I45" i="1"/>
  <c r="N45" i="1" s="1"/>
  <c r="M73" i="1"/>
  <c r="N69" i="1"/>
  <c r="N72" i="1" s="1"/>
  <c r="O63" i="1"/>
  <c r="N65" i="1"/>
  <c r="N40" i="1"/>
  <c r="O38" i="1"/>
  <c r="N44" i="1"/>
  <c r="P43" i="1"/>
  <c r="N75" i="1" l="1"/>
  <c r="O74" i="1"/>
  <c r="M78" i="1"/>
  <c r="M45" i="1"/>
  <c r="M47" i="1" s="1"/>
  <c r="M48" i="1" s="1"/>
  <c r="N47" i="1"/>
  <c r="N48" i="1" s="1"/>
  <c r="P45" i="1"/>
  <c r="O45" i="1"/>
  <c r="L45" i="1"/>
  <c r="L47" i="1" s="1"/>
  <c r="L48" i="1" s="1"/>
  <c r="L49" i="1" s="1"/>
  <c r="N73" i="1"/>
  <c r="O65" i="1"/>
  <c r="P63" i="1"/>
  <c r="O69" i="1"/>
  <c r="O72" i="1" s="1"/>
  <c r="O40" i="1"/>
  <c r="O44" i="1"/>
  <c r="O47" i="1" s="1"/>
  <c r="P38" i="1"/>
  <c r="L50" i="1" l="1"/>
  <c r="M49" i="1"/>
  <c r="P74" i="1"/>
  <c r="P75" i="1" s="1"/>
  <c r="O75" i="1"/>
  <c r="O48" i="1"/>
  <c r="O73" i="1"/>
  <c r="N78" i="1"/>
  <c r="P65" i="1"/>
  <c r="P69" i="1"/>
  <c r="P72" i="1" s="1"/>
  <c r="P40" i="1"/>
  <c r="P44" i="1"/>
  <c r="P47" i="1" s="1"/>
  <c r="M50" i="1" l="1"/>
  <c r="N49" i="1"/>
  <c r="P48" i="1"/>
  <c r="P73" i="1"/>
  <c r="P78" i="1" s="1"/>
  <c r="O78" i="1"/>
  <c r="N50" i="1" l="1"/>
  <c r="O49" i="1"/>
  <c r="K80" i="1"/>
  <c r="K81" i="1"/>
  <c r="O50" i="1" l="1"/>
  <c r="P49" i="1"/>
  <c r="P50" i="1" s="1"/>
  <c r="L10" i="1" l="1"/>
  <c r="N9" i="1"/>
  <c r="O9" i="1" s="1"/>
  <c r="P9" i="1" s="1"/>
  <c r="M9" i="1"/>
  <c r="N5" i="1"/>
  <c r="O5" i="1" s="1"/>
  <c r="P5" i="1" s="1"/>
  <c r="M5" i="1"/>
  <c r="M4" i="1"/>
  <c r="N4" i="1" s="1"/>
  <c r="O4" i="1" s="1"/>
  <c r="P18" i="1"/>
  <c r="N18" i="1"/>
  <c r="M18" i="1"/>
  <c r="O18" i="1"/>
  <c r="L18" i="1"/>
  <c r="L6" i="1"/>
  <c r="M10" i="1" l="1"/>
  <c r="L53" i="1"/>
  <c r="O10" i="1"/>
  <c r="P4" i="1"/>
  <c r="P10" i="1" s="1"/>
  <c r="N10" i="1"/>
  <c r="K25" i="1"/>
  <c r="P25" i="1" s="1"/>
  <c r="N53" i="1"/>
  <c r="P53" i="1"/>
  <c r="O53" i="1"/>
  <c r="M53" i="1"/>
  <c r="Z9" i="1"/>
  <c r="Y7" i="1"/>
  <c r="K24" i="1"/>
  <c r="M6" i="1"/>
  <c r="O6" i="1"/>
  <c r="N6" i="1"/>
  <c r="K26" i="1" l="1"/>
  <c r="K55" i="1"/>
  <c r="K56" i="1"/>
  <c r="X11" i="1"/>
  <c r="X12" i="1"/>
  <c r="X13" i="1"/>
  <c r="X14" i="1"/>
  <c r="X10" i="1"/>
  <c r="W10" i="1"/>
  <c r="P6" i="1"/>
  <c r="Y10" i="1" l="1"/>
  <c r="Z10" i="1" l="1"/>
  <c r="W11" i="1" s="1"/>
  <c r="Y11" i="1" l="1"/>
  <c r="Z11" i="1" l="1"/>
  <c r="W12" i="1" s="1"/>
  <c r="Y12" i="1" l="1"/>
  <c r="Z12" i="1" l="1"/>
  <c r="W13" i="1" s="1"/>
  <c r="Y13" i="1" l="1"/>
  <c r="Z13" i="1" l="1"/>
  <c r="W14" i="1" s="1"/>
  <c r="Y14" i="1" l="1"/>
  <c r="L19" i="1" s="1" a="1"/>
  <c r="L19" i="1" s="1"/>
  <c r="L12" i="1" a="1"/>
  <c r="L12" i="1" l="1"/>
  <c r="L14" i="1" s="1"/>
  <c r="L15" i="1" s="1"/>
  <c r="L16" i="1" s="1"/>
  <c r="L17" i="1" s="1"/>
  <c r="M14" i="1"/>
  <c r="M15" i="1" s="1"/>
  <c r="N14" i="1"/>
  <c r="N15" i="1" s="1"/>
  <c r="P14" i="1"/>
  <c r="P15" i="1" s="1"/>
  <c r="O14" i="1"/>
  <c r="O15" i="1" s="1"/>
  <c r="Z14" i="1"/>
  <c r="M16" i="1" l="1"/>
  <c r="N16" i="1" s="1"/>
  <c r="O16" i="1"/>
  <c r="P16" i="1" s="1"/>
  <c r="L26" i="1"/>
  <c r="M17" i="1" l="1"/>
  <c r="M26" i="1" s="1"/>
  <c r="N17" i="1" l="1"/>
  <c r="N26" i="1" s="1"/>
  <c r="P17" i="1" l="1"/>
  <c r="P26" i="1" s="1"/>
  <c r="O17" i="1"/>
  <c r="O26" i="1" s="1"/>
  <c r="K29" i="1" l="1"/>
  <c r="K28" i="1"/>
  <c r="B6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<sst xmlns="http://schemas.openxmlformats.org/spreadsheetml/2006/main" count="102" uniqueCount="45">
  <si>
    <t>INGRESOS</t>
  </si>
  <si>
    <t>CANTIDAD</t>
  </si>
  <si>
    <t>PRECIO</t>
  </si>
  <si>
    <t>COSTOS</t>
  </si>
  <si>
    <t>FIJOS</t>
  </si>
  <si>
    <t>VARIABLE</t>
  </si>
  <si>
    <t>DEPRECIACIÓN</t>
  </si>
  <si>
    <t>INTERESES</t>
  </si>
  <si>
    <t>MANTENCIÓN</t>
  </si>
  <si>
    <t>UTILIDAD</t>
  </si>
  <si>
    <t>IMPUESTO</t>
  </si>
  <si>
    <t>UTILIDAD DESPUES IMPUESTO</t>
  </si>
  <si>
    <t>AMORTIZACIÓN</t>
  </si>
  <si>
    <t>INVERSIONES</t>
  </si>
  <si>
    <t>TERRENO</t>
  </si>
  <si>
    <t>EDIFICACION</t>
  </si>
  <si>
    <t>MAQUINARIA</t>
  </si>
  <si>
    <t>CREDITO</t>
  </si>
  <si>
    <t>CAPITAL TRABAJO</t>
  </si>
  <si>
    <t>FLUJO</t>
  </si>
  <si>
    <t>CAPM</t>
  </si>
  <si>
    <t>VAN</t>
  </si>
  <si>
    <t>TIR</t>
  </si>
  <si>
    <t>CRÉDITO</t>
  </si>
  <si>
    <t>PERIODO(AÑOS)</t>
  </si>
  <si>
    <t>TASA NOMINAL ANUAL COMPUESTA TRIMESTRAL</t>
  </si>
  <si>
    <t>CUOTA</t>
  </si>
  <si>
    <t>TASA INTERES REAL EFECTIVA</t>
  </si>
  <si>
    <t>SALDO</t>
  </si>
  <si>
    <t>PERIODOS</t>
  </si>
  <si>
    <t xml:space="preserve">CRÉDITO CON BANCO BCI </t>
  </si>
  <si>
    <t>Rf</t>
  </si>
  <si>
    <t>beta</t>
  </si>
  <si>
    <t>Rm-Rf</t>
  </si>
  <si>
    <t>FLUJO LEASING OPERATIVO</t>
  </si>
  <si>
    <t>LEASING</t>
  </si>
  <si>
    <t>TASA NOMINAL ANUAL COMPUESTA SEMESTRAL</t>
  </si>
  <si>
    <t>FLUJO LEASING FINANCIERO</t>
  </si>
  <si>
    <t>TASA INTERES</t>
  </si>
  <si>
    <t>I</t>
  </si>
  <si>
    <t>II</t>
  </si>
  <si>
    <t>III</t>
  </si>
  <si>
    <t>Flujo con crédito BCI</t>
  </si>
  <si>
    <t>Flujo Leasing Operativo</t>
  </si>
  <si>
    <t>Flujo Leasing Financiero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</si>
</sst>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;[Red]&quot;$&quot;\-#,##0.00"/>
    <numFmt numFmtId="42" formatCode="_ &quot;$&quot;* #,##0_ ;_ &quot;$&quot;* \-#,##0_ ;_ &quot;$&quot;* &quot;-&quot;_ ;_ @_ "/>
    <numFmt numFmtId="166" formatCode="_ &quot;$&quot;* #,##0.0000_ ;_ &quot;$&quot;* \-#,##0.0000_ ;_ &quot;$&quot;* &quot;-&quot;????_ ;_ @_ "/>
    <numFmt numFmtId="167" formatCode="&quot;$&quot;#,##0.0000;[Red]&quot;$&quot;\-#,##0.000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0" fillId="0" borderId="1" xfId="0" applyBorder="1"/>
    <xf numFmtId="3" fontId="0" fillId="2" borderId="1" xfId="0" applyNumberFormat="1" applyFill="1" applyBorder="1"/>
    <xf numFmtId="3" fontId="0" fillId="0" borderId="1" xfId="0" applyNumberFormat="1" applyBorder="1"/>
    <xf numFmtId="42" fontId="0" fillId="0" borderId="1" xfId="1" applyFont="1" applyBorder="1"/>
    <xf numFmtId="42" fontId="0" fillId="0" borderId="1" xfId="0" applyNumberFormat="1" applyBorder="1"/>
    <xf numFmtId="9" fontId="0" fillId="0" borderId="1" xfId="2" applyFont="1" applyBorder="1"/>
    <xf numFmtId="10" fontId="0" fillId="0" borderId="1" xfId="0" applyNumberFormat="1" applyBorder="1"/>
    <xf numFmtId="8" fontId="0" fillId="0" borderId="1" xfId="0" applyNumberFormat="1" applyBorder="1"/>
    <xf numFmtId="9" fontId="0" fillId="0" borderId="1" xfId="0" applyNumberFormat="1" applyBorder="1"/>
    <xf numFmtId="1" fontId="0" fillId="0" borderId="1" xfId="0" applyNumberFormat="1" applyBorder="1"/>
    <xf numFmtId="0" fontId="0" fillId="0" borderId="0" xfId="0" applyAlignment="1">
      <alignment horizontal="center"/>
    </xf>
    <xf numFmtId="42" fontId="0" fillId="0" borderId="0" xfId="0" applyNumberFormat="1"/>
    <xf numFmtId="8" fontId="0" fillId="0" borderId="0" xfId="0" applyNumberFormat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8" fontId="0" fillId="0" borderId="1" xfId="0" applyNumberFormat="1" applyBorder="1" applyAlignment="1">
      <alignment vertical="center"/>
    </xf>
    <xf numFmtId="166" fontId="0" fillId="0" borderId="1" xfId="0" applyNumberFormat="1" applyBorder="1" applyAlignment="1">
      <alignment vertical="center"/>
    </xf>
    <xf numFmtId="42" fontId="0" fillId="0" borderId="1" xfId="0" applyNumberFormat="1" applyBorder="1" applyAlignment="1">
      <alignment vertical="center"/>
    </xf>
    <xf numFmtId="0" fontId="0" fillId="3" borderId="1" xfId="0" applyFill="1" applyBorder="1" applyAlignment="1">
      <alignment vertical="center"/>
    </xf>
    <xf numFmtId="42" fontId="3" fillId="3" borderId="1" xfId="0" applyNumberFormat="1" applyFont="1" applyFill="1" applyBorder="1" applyAlignment="1">
      <alignment vertical="center"/>
    </xf>
    <xf numFmtId="167" fontId="0" fillId="0" borderId="1" xfId="0" applyNumberFormat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2" borderId="1" xfId="0" applyFill="1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wrapText="1"/>
    </xf>
    <xf numFmtId="9" fontId="0" fillId="0" borderId="1" xfId="0" applyNumberFormat="1" applyBorder="1" applyAlignment="1">
      <alignment horizontal="center"/>
    </xf>
    <xf numFmtId="0" fontId="2" fillId="0" borderId="0" xfId="0" applyFont="1"/>
    <xf numFmtId="0" fontId="0" fillId="0" borderId="4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42" fontId="0" fillId="0" borderId="0" xfId="0" applyNumberFormat="1" applyFill="1" applyBorder="1" applyAlignment="1">
      <alignment vertical="center"/>
    </xf>
    <xf numFmtId="166" fontId="0" fillId="0" borderId="0" xfId="0" applyNumberFormat="1" applyFill="1" applyBorder="1" applyAlignment="1">
      <alignment vertical="center"/>
    </xf>
    <xf numFmtId="8" fontId="0" fillId="0" borderId="0" xfId="0" applyNumberFormat="1" applyFill="1" applyBorder="1" applyAlignment="1">
      <alignment vertical="center"/>
    </xf>
    <xf numFmtId="167" fontId="0" fillId="0" borderId="0" xfId="0" applyNumberFormat="1" applyFill="1" applyBorder="1" applyAlignment="1">
      <alignment vertical="center"/>
    </xf>
    <xf numFmtId="42" fontId="3" fillId="0" borderId="0" xfId="0" applyNumberFormat="1" applyFont="1" applyFill="1" applyBorder="1" applyAlignment="1">
      <alignment vertical="center"/>
    </xf>
    <xf numFmtId="3" fontId="0" fillId="0" borderId="1" xfId="0" applyNumberFormat="1" applyFill="1" applyBorder="1"/>
  </cellXfs>
  <cellStyles count="3">
    <cellStyle name="Moneda [0]" xfId="1" builtinId="7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99060</xdr:colOff>
      <xdr:row>1</xdr:row>
      <xdr:rowOff>7620</xdr:rowOff>
    </xdr:from>
    <xdr:to>
      <xdr:col>7</xdr:col>
      <xdr:colOff>271723</xdr:colOff>
      <xdr:row>44</xdr:row>
      <xdr:rowOff>123074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CDB66E1-C69A-3F6E-FFDF-F248748707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60" y="190500"/>
          <a:ext cx="5782482" cy="8049748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45</xdr:row>
      <xdr:rowOff>30480</xdr:rowOff>
    </xdr:from>
    <xdr:to>
      <xdr:col>7</xdr:col>
      <xdr:colOff>296489</xdr:colOff>
      <xdr:row>58</xdr:row>
      <xdr:rowOff>116591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DB53E2-22DD-62D5-C5B7-37DD88FBAB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" y="8260080"/>
          <a:ext cx="5792008" cy="253400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320859</xdr:colOff>
      <xdr:row>40</xdr:row>
      <xdr:rowOff>1021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BF8B022-575F-5F3B-139A-8C6F38D51A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68219" cy="731622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53340</xdr:rowOff>
    </xdr:from>
    <xdr:to>
      <xdr:col>7</xdr:col>
      <xdr:colOff>187490</xdr:colOff>
      <xdr:row>46</xdr:row>
      <xdr:rowOff>99220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1B4B90-ABD9-B92F-5F4B-C8E4902F9F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368540"/>
          <a:ext cx="5734850" cy="1143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4B6BF-2ABB-40AB-8509-42E00C269F74}">
  <dimension ref="A1:Z81"/>
  <sheetViews>
    <sheetView tabSelected="1" topLeftCell="A34" zoomScale="61" workbookViewId="0">
      <selection activeCell="L57" sqref="L57"/>
    </sheetView>
  </sheetViews>
  <sheetFormatPr baseColWidth="10" defaultRowHeight="14.4" x14ac:dyDescent="0.3"/>
  <cols>
    <col min="2" max="2" width="12.44140625" bestFit="1" customWidth="1"/>
    <col min="9" max="9" width="14.109375" bestFit="1" customWidth="1"/>
    <col min="10" max="10" width="34" bestFit="1" customWidth="1"/>
    <col min="11" max="11" width="13.77734375" bestFit="1" customWidth="1"/>
    <col min="12" max="12" width="14.109375" bestFit="1" customWidth="1"/>
    <col min="13" max="14" width="14" bestFit="1" customWidth="1"/>
    <col min="15" max="15" width="14.109375" customWidth="1"/>
    <col min="16" max="16" width="14" bestFit="1" customWidth="1"/>
    <col min="19" max="19" width="20.77734375" customWidth="1"/>
    <col min="20" max="21" width="14.109375" bestFit="1" customWidth="1"/>
    <col min="22" max="22" width="12.33203125" bestFit="1" customWidth="1"/>
    <col min="23" max="23" width="16.33203125" bestFit="1" customWidth="1"/>
    <col min="24" max="24" width="22.88671875" customWidth="1"/>
    <col min="25" max="25" width="17.21875" bestFit="1" customWidth="1"/>
    <col min="26" max="26" width="15.21875" bestFit="1" customWidth="1"/>
  </cols>
  <sheetData>
    <row r="1" spans="9:26" x14ac:dyDescent="0.3">
      <c r="V1" s="14" t="s">
        <v>23</v>
      </c>
      <c r="W1" s="14"/>
      <c r="X1" s="5">
        <f>-(K21+K22+K23)</f>
        <v>4500000</v>
      </c>
    </row>
    <row r="2" spans="9:26" x14ac:dyDescent="0.3">
      <c r="J2" s="1"/>
      <c r="K2" s="1"/>
      <c r="L2" s="1">
        <v>1</v>
      </c>
      <c r="M2" s="1">
        <v>2</v>
      </c>
      <c r="N2" s="1">
        <v>3</v>
      </c>
      <c r="O2" s="1">
        <v>4</v>
      </c>
      <c r="P2" s="1">
        <v>5</v>
      </c>
      <c r="R2" s="11"/>
      <c r="S2" s="11"/>
      <c r="V2" s="26" t="s">
        <v>25</v>
      </c>
      <c r="W2" s="26"/>
      <c r="X2" s="27">
        <v>0.18</v>
      </c>
    </row>
    <row r="3" spans="9:26" x14ac:dyDescent="0.3">
      <c r="J3" s="2" t="s">
        <v>0</v>
      </c>
      <c r="K3" s="1"/>
      <c r="L3" s="1"/>
      <c r="M3" s="1"/>
      <c r="N3" s="1"/>
      <c r="O3" s="1"/>
      <c r="P3" s="1"/>
      <c r="V3" s="26"/>
      <c r="W3" s="26"/>
      <c r="X3" s="14"/>
    </row>
    <row r="4" spans="9:26" x14ac:dyDescent="0.3">
      <c r="J4" s="3" t="s">
        <v>1</v>
      </c>
      <c r="K4" s="1"/>
      <c r="L4" s="10">
        <v>1500</v>
      </c>
      <c r="M4" s="10">
        <f>L4*1.08</f>
        <v>1620</v>
      </c>
      <c r="N4" s="10">
        <f>M4*1.08</f>
        <v>1749.6000000000001</v>
      </c>
      <c r="O4" s="10">
        <f>N4*1.12</f>
        <v>1959.5520000000004</v>
      </c>
      <c r="P4" s="10">
        <f>O4*1.12</f>
        <v>2194.6982400000006</v>
      </c>
      <c r="V4" s="26"/>
      <c r="W4" s="26"/>
      <c r="X4" s="14"/>
    </row>
    <row r="5" spans="9:26" x14ac:dyDescent="0.3">
      <c r="J5" s="3" t="s">
        <v>2</v>
      </c>
      <c r="K5" s="1"/>
      <c r="L5" s="4">
        <v>8000</v>
      </c>
      <c r="M5" s="4">
        <f>L5*1.025</f>
        <v>8200</v>
      </c>
      <c r="N5" s="4">
        <f t="shared" ref="N5:P5" si="0">M5*1.025</f>
        <v>8405</v>
      </c>
      <c r="O5" s="4">
        <f t="shared" si="0"/>
        <v>8615.125</v>
      </c>
      <c r="P5" s="4">
        <f t="shared" si="0"/>
        <v>8830.5031249999993</v>
      </c>
      <c r="V5" s="14" t="s">
        <v>24</v>
      </c>
      <c r="W5" s="14"/>
      <c r="X5" s="1">
        <v>5</v>
      </c>
    </row>
    <row r="6" spans="9:26" x14ac:dyDescent="0.3">
      <c r="J6" s="3" t="s">
        <v>0</v>
      </c>
      <c r="K6" s="1"/>
      <c r="L6" s="5">
        <f>L4*L5</f>
        <v>12000000</v>
      </c>
      <c r="M6" s="5">
        <f t="shared" ref="M6:P6" si="1">M4*M5</f>
        <v>13284000</v>
      </c>
      <c r="N6" s="5">
        <f t="shared" si="1"/>
        <v>14705388.000000002</v>
      </c>
      <c r="O6" s="5">
        <f t="shared" si="1"/>
        <v>16881785.424000002</v>
      </c>
      <c r="P6" s="5">
        <f t="shared" si="1"/>
        <v>19380289.666752003</v>
      </c>
      <c r="W6" s="25" t="s">
        <v>27</v>
      </c>
      <c r="X6" s="25"/>
      <c r="Y6">
        <f>POWER(1+X2/4,4)-1</f>
        <v>0.19251860062499948</v>
      </c>
    </row>
    <row r="7" spans="9:26" x14ac:dyDescent="0.3">
      <c r="J7" s="3"/>
      <c r="K7" s="1"/>
      <c r="L7" s="1"/>
      <c r="M7" s="1"/>
      <c r="N7" s="1"/>
      <c r="O7" s="1"/>
      <c r="P7" s="1"/>
      <c r="W7" s="14" t="s">
        <v>26</v>
      </c>
      <c r="X7" s="14"/>
      <c r="Y7" s="13">
        <f>-PMT(Y6,X5,X1)</f>
        <v>1480008.7726711251</v>
      </c>
    </row>
    <row r="8" spans="9:26" x14ac:dyDescent="0.3">
      <c r="J8" s="2" t="s">
        <v>3</v>
      </c>
      <c r="K8" s="1"/>
      <c r="L8" s="1"/>
      <c r="M8" s="1"/>
      <c r="N8" s="1"/>
      <c r="O8" s="1"/>
      <c r="P8" s="1"/>
      <c r="R8" s="11"/>
      <c r="S8" s="11"/>
      <c r="V8" s="15" t="s">
        <v>30</v>
      </c>
      <c r="W8" s="15"/>
      <c r="X8" s="15"/>
      <c r="Y8" s="15"/>
      <c r="Z8" s="16" t="s">
        <v>28</v>
      </c>
    </row>
    <row r="9" spans="9:26" x14ac:dyDescent="0.3">
      <c r="J9" s="3" t="s">
        <v>4</v>
      </c>
      <c r="K9" s="1"/>
      <c r="L9" s="4">
        <v>-9000000</v>
      </c>
      <c r="M9" s="4">
        <f>L9*1.05</f>
        <v>-9450000</v>
      </c>
      <c r="N9" s="4">
        <f t="shared" ref="N9:P9" si="2">M9*1.05</f>
        <v>-9922500</v>
      </c>
      <c r="O9" s="4">
        <f t="shared" si="2"/>
        <v>-10418625</v>
      </c>
      <c r="P9" s="4">
        <f t="shared" si="2"/>
        <v>-10939556.25</v>
      </c>
      <c r="R9" s="11"/>
      <c r="S9" s="11"/>
      <c r="V9" s="16" t="s">
        <v>29</v>
      </c>
      <c r="W9" s="16" t="s">
        <v>7</v>
      </c>
      <c r="X9" s="16" t="s">
        <v>26</v>
      </c>
      <c r="Y9" s="16" t="s">
        <v>12</v>
      </c>
      <c r="Z9" s="19">
        <f>X1</f>
        <v>4500000</v>
      </c>
    </row>
    <row r="10" spans="9:26" x14ac:dyDescent="0.3">
      <c r="J10" s="3" t="s">
        <v>5</v>
      </c>
      <c r="K10" s="1">
        <v>-1000</v>
      </c>
      <c r="L10" s="4">
        <f>$K$10*L4*POWER(1.025,L2-1)</f>
        <v>-1500000</v>
      </c>
      <c r="M10" s="4">
        <f t="shared" ref="M10:P10" si="3">$K$10*M4*POWER(1.025,M2-1)</f>
        <v>-1660499.9999999998</v>
      </c>
      <c r="N10" s="4">
        <f t="shared" si="3"/>
        <v>-1838173.5</v>
      </c>
      <c r="O10" s="4">
        <f t="shared" si="3"/>
        <v>-2110223.1780000003</v>
      </c>
      <c r="P10" s="4">
        <f t="shared" si="3"/>
        <v>-2422536.2083440004</v>
      </c>
      <c r="V10" s="16">
        <v>1</v>
      </c>
      <c r="W10" s="18">
        <f>Z9*$Y$6</f>
        <v>866333.70281249762</v>
      </c>
      <c r="X10" s="17">
        <f>$Y$7</f>
        <v>1480008.7726711251</v>
      </c>
      <c r="Y10" s="22">
        <f>X10-W10</f>
        <v>613675.06985862751</v>
      </c>
      <c r="Z10" s="19">
        <f>Z9-Y10</f>
        <v>3886324.9301413726</v>
      </c>
    </row>
    <row r="11" spans="9:26" x14ac:dyDescent="0.3">
      <c r="I11" s="12">
        <f>(K22+K23)/12</f>
        <v>-291666.66666666669</v>
      </c>
      <c r="J11" s="3" t="s">
        <v>6</v>
      </c>
      <c r="K11" s="5"/>
      <c r="L11" s="5">
        <f>$I$11</f>
        <v>-291666.66666666669</v>
      </c>
      <c r="M11" s="5">
        <f t="shared" ref="M11:P11" si="4">$I$11</f>
        <v>-291666.66666666669</v>
      </c>
      <c r="N11" s="5">
        <f t="shared" si="4"/>
        <v>-291666.66666666669</v>
      </c>
      <c r="O11" s="5">
        <f t="shared" si="4"/>
        <v>-291666.66666666669</v>
      </c>
      <c r="P11" s="5">
        <f t="shared" si="4"/>
        <v>-291666.66666666669</v>
      </c>
      <c r="V11" s="16">
        <v>2</v>
      </c>
      <c r="W11" s="18">
        <f t="shared" ref="W11:W14" si="5">Z10*$Y$6</f>
        <v>748189.83712486597</v>
      </c>
      <c r="X11" s="17">
        <f t="shared" ref="X11:X14" si="6">$Y$7</f>
        <v>1480008.7726711251</v>
      </c>
      <c r="Y11" s="16">
        <f t="shared" ref="Y11:Y14" si="7">X11-W11</f>
        <v>731818.93554625916</v>
      </c>
      <c r="Z11" s="19">
        <f t="shared" ref="Z11:Z14" si="8">Z10-Y11</f>
        <v>3154505.9945951132</v>
      </c>
    </row>
    <row r="12" spans="9:26" x14ac:dyDescent="0.3">
      <c r="J12" s="3" t="s">
        <v>7</v>
      </c>
      <c r="K12" s="1"/>
      <c r="L12" s="4" cm="1">
        <f t="array" ref="L12:P12">-TRANSPOSE(W10:W14)</f>
        <v>-866333.70281249762</v>
      </c>
      <c r="M12" s="4">
        <v>-748189.83712486597</v>
      </c>
      <c r="N12" s="4">
        <v>-607301.07974262338</v>
      </c>
      <c r="O12" s="4">
        <v>-439288.61594535643</v>
      </c>
      <c r="P12" s="4">
        <v>-238930.6277302813</v>
      </c>
      <c r="V12" s="16">
        <v>3</v>
      </c>
      <c r="W12" s="18">
        <f t="shared" si="5"/>
        <v>607301.07974262338</v>
      </c>
      <c r="X12" s="17">
        <f t="shared" si="6"/>
        <v>1480008.7726711251</v>
      </c>
      <c r="Y12" s="16">
        <f t="shared" si="7"/>
        <v>872707.69292850175</v>
      </c>
      <c r="Z12" s="19">
        <f t="shared" si="8"/>
        <v>2281798.3016666113</v>
      </c>
    </row>
    <row r="13" spans="9:26" ht="18" x14ac:dyDescent="0.3">
      <c r="J13" s="3" t="s">
        <v>8</v>
      </c>
      <c r="K13" s="1"/>
      <c r="L13" s="4">
        <v>-300000</v>
      </c>
      <c r="M13" s="4">
        <f>L13*1.025</f>
        <v>-307500</v>
      </c>
      <c r="N13" s="4">
        <f t="shared" ref="N13:P13" si="9">M13*1.025</f>
        <v>-315187.5</v>
      </c>
      <c r="O13" s="4">
        <f t="shared" si="9"/>
        <v>-323067.1875</v>
      </c>
      <c r="P13" s="4">
        <f t="shared" si="9"/>
        <v>-331143.8671875</v>
      </c>
      <c r="V13" s="20">
        <v>4</v>
      </c>
      <c r="W13" s="18">
        <f t="shared" si="5"/>
        <v>439288.61594535643</v>
      </c>
      <c r="X13" s="17">
        <f t="shared" si="6"/>
        <v>1480008.7726711251</v>
      </c>
      <c r="Y13" s="20">
        <f t="shared" si="7"/>
        <v>1040720.1567257687</v>
      </c>
      <c r="Z13" s="21">
        <f t="shared" si="8"/>
        <v>1241078.1449408426</v>
      </c>
    </row>
    <row r="14" spans="9:26" ht="18" x14ac:dyDescent="0.3">
      <c r="J14" s="3" t="s">
        <v>3</v>
      </c>
      <c r="K14" s="1"/>
      <c r="L14" s="5">
        <f>SUM(L9:L13)</f>
        <v>-11958000.369479164</v>
      </c>
      <c r="M14" s="5">
        <f t="shared" ref="M14:P14" si="10">SUM(M9:M13)</f>
        <v>-12457856.503791532</v>
      </c>
      <c r="N14" s="5">
        <f t="shared" si="10"/>
        <v>-12974828.74640929</v>
      </c>
      <c r="O14" s="5">
        <f t="shared" si="10"/>
        <v>-13582870.648112021</v>
      </c>
      <c r="P14" s="5">
        <f t="shared" si="10"/>
        <v>-14223833.619928449</v>
      </c>
      <c r="V14" s="23">
        <v>5</v>
      </c>
      <c r="W14" s="18">
        <f t="shared" si="5"/>
        <v>238930.6277302813</v>
      </c>
      <c r="X14" s="17">
        <f t="shared" si="6"/>
        <v>1480008.7726711251</v>
      </c>
      <c r="Y14" s="20">
        <f t="shared" si="7"/>
        <v>1241078.1449408438</v>
      </c>
      <c r="Z14" s="21">
        <f t="shared" si="8"/>
        <v>0</v>
      </c>
    </row>
    <row r="15" spans="9:26" x14ac:dyDescent="0.3">
      <c r="J15" s="3" t="s">
        <v>9</v>
      </c>
      <c r="K15" s="1"/>
      <c r="L15" s="5">
        <f>L6+L14</f>
        <v>41999.630520835519</v>
      </c>
      <c r="M15" s="5">
        <f t="shared" ref="M15:P15" si="11">M6+M14</f>
        <v>826143.49620846845</v>
      </c>
      <c r="N15" s="5">
        <f t="shared" si="11"/>
        <v>1730559.2535907123</v>
      </c>
      <c r="O15" s="5">
        <f t="shared" si="11"/>
        <v>3298914.7758879811</v>
      </c>
      <c r="P15" s="5">
        <f t="shared" si="11"/>
        <v>5156456.0468235537</v>
      </c>
    </row>
    <row r="16" spans="9:26" x14ac:dyDescent="0.3">
      <c r="J16" s="3" t="s">
        <v>10</v>
      </c>
      <c r="K16" s="6">
        <v>-0.25</v>
      </c>
      <c r="L16" s="4">
        <f>L15*$K$16</f>
        <v>-10499.90763020888</v>
      </c>
      <c r="M16" s="4">
        <f>IF(L16&lt;0,M15*$K$16,M15*$K$16+L16)</f>
        <v>-206535.87405211711</v>
      </c>
      <c r="N16" s="4">
        <f>IF(M16&lt;0,N15*$K$16,N15*$K$16+M16)</f>
        <v>-432639.81339767808</v>
      </c>
      <c r="O16" s="4">
        <f>IF(N16&lt;0,O15*$K$16,O15*$K$16+N16)</f>
        <v>-824728.69397199526</v>
      </c>
      <c r="P16" s="4">
        <f>IF(O16&lt;0,P15*$K$16,P15*$K$16+O16)</f>
        <v>-1289114.0117058884</v>
      </c>
    </row>
    <row r="17" spans="10:19" x14ac:dyDescent="0.3">
      <c r="J17" s="2" t="s">
        <v>11</v>
      </c>
      <c r="K17" s="1"/>
      <c r="L17" s="4">
        <f>IF(L16&gt;0,L15,L15+L16)</f>
        <v>31499.722890626639</v>
      </c>
      <c r="M17" s="4">
        <f>IF(M16&gt;0,M15,M15+M16)</f>
        <v>619607.62215635134</v>
      </c>
      <c r="N17" s="4">
        <f>IF(N16&gt;0,N15,N15+N16)</f>
        <v>1297919.4401930342</v>
      </c>
      <c r="O17" s="4">
        <f>IF(O16&gt;0,O15,O15+O16)</f>
        <v>2474186.0819159858</v>
      </c>
      <c r="P17" s="4">
        <f>IF(P16&gt;0,P15,P15+P16)</f>
        <v>3867342.0351176653</v>
      </c>
    </row>
    <row r="18" spans="10:19" x14ac:dyDescent="0.3">
      <c r="J18" s="3" t="s">
        <v>6</v>
      </c>
      <c r="K18" s="1"/>
      <c r="L18" s="5">
        <f>-L11</f>
        <v>291666.66666666669</v>
      </c>
      <c r="M18" s="5">
        <f>-M11</f>
        <v>291666.66666666669</v>
      </c>
      <c r="N18" s="5">
        <f>-N11</f>
        <v>291666.66666666669</v>
      </c>
      <c r="O18" s="5">
        <f>-O11</f>
        <v>291666.66666666669</v>
      </c>
      <c r="P18" s="5">
        <f>-P11</f>
        <v>291666.66666666669</v>
      </c>
    </row>
    <row r="19" spans="10:19" x14ac:dyDescent="0.3">
      <c r="J19" s="3" t="s">
        <v>12</v>
      </c>
      <c r="K19" s="1"/>
      <c r="L19" s="4" cm="1">
        <f t="array" ref="L19:P19">-TRANSPOSE(Y10:Y14)</f>
        <v>-613675.06985862751</v>
      </c>
      <c r="M19" s="4">
        <v>-731818.93554625916</v>
      </c>
      <c r="N19" s="4">
        <v>-872707.69292850175</v>
      </c>
      <c r="O19" s="4">
        <v>-1040720.1567257687</v>
      </c>
      <c r="P19" s="4">
        <v>-1241078.1449408438</v>
      </c>
    </row>
    <row r="20" spans="10:19" x14ac:dyDescent="0.3">
      <c r="J20" s="2" t="s">
        <v>13</v>
      </c>
      <c r="K20" s="1"/>
      <c r="L20" s="1"/>
      <c r="M20" s="1"/>
      <c r="N20" s="1"/>
      <c r="O20" s="1"/>
      <c r="P20" s="1"/>
    </row>
    <row r="21" spans="10:19" x14ac:dyDescent="0.3">
      <c r="J21" s="3" t="s">
        <v>14</v>
      </c>
      <c r="K21" s="4">
        <v>-1000000</v>
      </c>
      <c r="L21" s="1"/>
      <c r="M21" s="1"/>
      <c r="N21" s="1"/>
      <c r="O21" s="1"/>
      <c r="P21" s="4">
        <f>K21*-0.7</f>
        <v>700000</v>
      </c>
    </row>
    <row r="22" spans="10:19" x14ac:dyDescent="0.3">
      <c r="J22" s="3" t="s">
        <v>15</v>
      </c>
      <c r="K22" s="4">
        <v>-1500000</v>
      </c>
      <c r="L22" s="1"/>
      <c r="M22" s="1"/>
      <c r="N22" s="1"/>
      <c r="O22" s="1"/>
      <c r="P22" s="4">
        <f>K22*-0.7</f>
        <v>1050000</v>
      </c>
    </row>
    <row r="23" spans="10:19" x14ac:dyDescent="0.3">
      <c r="J23" s="3" t="s">
        <v>16</v>
      </c>
      <c r="K23" s="4">
        <v>-2000000</v>
      </c>
      <c r="L23" s="1"/>
      <c r="M23" s="1"/>
      <c r="N23" s="1"/>
      <c r="O23" s="1"/>
      <c r="P23" s="4">
        <f>K23*-0.7</f>
        <v>1400000</v>
      </c>
    </row>
    <row r="24" spans="10:19" x14ac:dyDescent="0.3">
      <c r="J24" s="3" t="s">
        <v>17</v>
      </c>
      <c r="K24" s="3">
        <f>X1</f>
        <v>4500000</v>
      </c>
      <c r="L24" s="1"/>
      <c r="M24" s="1"/>
      <c r="N24" s="1"/>
      <c r="O24" s="1"/>
      <c r="P24" s="1"/>
    </row>
    <row r="25" spans="10:19" x14ac:dyDescent="0.3">
      <c r="J25" s="3" t="s">
        <v>18</v>
      </c>
      <c r="K25" s="5">
        <f>1.5*L10</f>
        <v>-2250000</v>
      </c>
      <c r="L25" s="1"/>
      <c r="M25" s="1"/>
      <c r="N25" s="1"/>
      <c r="O25" s="1"/>
      <c r="P25" s="5">
        <f>-0.85*K25</f>
        <v>1912500</v>
      </c>
    </row>
    <row r="26" spans="10:19" x14ac:dyDescent="0.3">
      <c r="J26" s="3" t="s">
        <v>19</v>
      </c>
      <c r="K26" s="4">
        <f>SUM(K17:K25)</f>
        <v>-2250000</v>
      </c>
      <c r="L26" s="4">
        <f>SUM(L17:L25)</f>
        <v>-290508.68030133419</v>
      </c>
      <c r="M26" s="4">
        <f t="shared" ref="M26:P26" si="12">SUM(M17:M25)</f>
        <v>179455.35327675892</v>
      </c>
      <c r="N26" s="4">
        <f t="shared" si="12"/>
        <v>716878.41393119923</v>
      </c>
      <c r="O26" s="4">
        <f t="shared" si="12"/>
        <v>1725132.5918568836</v>
      </c>
      <c r="P26" s="4">
        <f t="shared" si="12"/>
        <v>7980430.5568434875</v>
      </c>
    </row>
    <row r="27" spans="10:19" x14ac:dyDescent="0.3">
      <c r="J27" s="3" t="s">
        <v>20</v>
      </c>
      <c r="K27" s="7">
        <f>S27+S28*S29</f>
        <v>0.13999999999999999</v>
      </c>
      <c r="L27" s="1"/>
      <c r="M27" s="1"/>
      <c r="N27" s="1"/>
      <c r="O27" s="1"/>
      <c r="P27" s="1"/>
      <c r="R27" s="24" t="s">
        <v>31</v>
      </c>
      <c r="S27" s="9">
        <v>0.02</v>
      </c>
    </row>
    <row r="28" spans="10:19" x14ac:dyDescent="0.3">
      <c r="J28" s="2" t="s">
        <v>21</v>
      </c>
      <c r="K28" s="8">
        <f>NPV(K27,L26:P26)+K26</f>
        <v>3283327.9442483867</v>
      </c>
      <c r="L28" s="1"/>
      <c r="M28" s="1"/>
      <c r="N28" s="1"/>
      <c r="O28" s="1"/>
      <c r="P28" s="1"/>
      <c r="R28" s="24" t="s">
        <v>32</v>
      </c>
      <c r="S28" s="1">
        <v>1.2</v>
      </c>
    </row>
    <row r="29" spans="10:19" x14ac:dyDescent="0.3">
      <c r="J29" s="2" t="s">
        <v>22</v>
      </c>
      <c r="K29" s="9">
        <f>IRR(K26:P26)</f>
        <v>0.37700420293637382</v>
      </c>
      <c r="L29" s="1"/>
      <c r="M29" s="1"/>
      <c r="N29" s="1"/>
      <c r="O29" s="1"/>
      <c r="P29" s="1"/>
      <c r="R29" s="24" t="s">
        <v>33</v>
      </c>
      <c r="S29" s="9">
        <v>0.1</v>
      </c>
    </row>
    <row r="33" spans="9:26" x14ac:dyDescent="0.3">
      <c r="J33" s="28" t="s">
        <v>34</v>
      </c>
    </row>
    <row r="36" spans="9:26" x14ac:dyDescent="0.3">
      <c r="J36" s="1"/>
      <c r="K36" s="1"/>
      <c r="L36" s="1">
        <v>1</v>
      </c>
      <c r="M36" s="1">
        <v>2</v>
      </c>
      <c r="N36" s="1">
        <v>3</v>
      </c>
      <c r="O36" s="1">
        <v>4</v>
      </c>
      <c r="P36" s="1">
        <v>5</v>
      </c>
      <c r="R36" s="11"/>
      <c r="S36" s="11"/>
    </row>
    <row r="37" spans="9:26" x14ac:dyDescent="0.3">
      <c r="J37" s="2" t="s">
        <v>0</v>
      </c>
      <c r="K37" s="1"/>
      <c r="L37" s="1"/>
      <c r="M37" s="1"/>
      <c r="N37" s="1"/>
      <c r="O37" s="1"/>
      <c r="P37" s="1"/>
    </row>
    <row r="38" spans="9:26" x14ac:dyDescent="0.3">
      <c r="J38" s="3" t="s">
        <v>1</v>
      </c>
      <c r="K38" s="1"/>
      <c r="L38" s="10">
        <v>1500</v>
      </c>
      <c r="M38" s="10">
        <f>L38*1.08</f>
        <v>1620</v>
      </c>
      <c r="N38" s="10">
        <f>M38*1.08</f>
        <v>1749.6000000000001</v>
      </c>
      <c r="O38" s="10">
        <f>N38*1.12</f>
        <v>1959.5520000000004</v>
      </c>
      <c r="P38" s="10">
        <f>O38*1.12</f>
        <v>2194.6982400000006</v>
      </c>
    </row>
    <row r="39" spans="9:26" x14ac:dyDescent="0.3">
      <c r="J39" s="3" t="s">
        <v>2</v>
      </c>
      <c r="K39" s="1"/>
      <c r="L39" s="4">
        <v>8000</v>
      </c>
      <c r="M39" s="4">
        <f>L39*1.025</f>
        <v>8200</v>
      </c>
      <c r="N39" s="4">
        <f t="shared" ref="N39:P39" si="13">M39*1.025</f>
        <v>8405</v>
      </c>
      <c r="O39" s="4">
        <f t="shared" si="13"/>
        <v>8615.125</v>
      </c>
      <c r="P39" s="4">
        <f t="shared" si="13"/>
        <v>8830.5031249999993</v>
      </c>
    </row>
    <row r="40" spans="9:26" x14ac:dyDescent="0.3">
      <c r="J40" s="3" t="s">
        <v>0</v>
      </c>
      <c r="K40" s="1"/>
      <c r="L40" s="5">
        <f>L38*L39</f>
        <v>12000000</v>
      </c>
      <c r="M40" s="5">
        <f t="shared" ref="M40:P40" si="14">M38*M39</f>
        <v>13284000</v>
      </c>
      <c r="N40" s="5">
        <f t="shared" si="14"/>
        <v>14705388.000000002</v>
      </c>
      <c r="O40" s="5">
        <f t="shared" si="14"/>
        <v>16881785.424000002</v>
      </c>
      <c r="P40" s="5">
        <f t="shared" si="14"/>
        <v>19380289.666752003</v>
      </c>
    </row>
    <row r="41" spans="9:26" x14ac:dyDescent="0.3">
      <c r="J41" s="3"/>
      <c r="K41" s="1"/>
      <c r="L41" s="1"/>
      <c r="M41" s="1"/>
      <c r="N41" s="1"/>
      <c r="O41" s="1"/>
      <c r="P41" s="1"/>
    </row>
    <row r="42" spans="9:26" x14ac:dyDescent="0.3">
      <c r="J42" s="2" t="s">
        <v>3</v>
      </c>
      <c r="K42" s="1"/>
      <c r="L42" s="1"/>
      <c r="M42" s="1"/>
      <c r="N42" s="1"/>
      <c r="O42" s="1"/>
      <c r="P42" s="1"/>
      <c r="R42" s="14" t="s">
        <v>23</v>
      </c>
      <c r="S42" s="14"/>
      <c r="T42" s="5">
        <f>-(1000000+1500000+2000000)</f>
        <v>-4500000</v>
      </c>
      <c r="V42" s="30"/>
      <c r="W42" s="30"/>
      <c r="X42" s="30"/>
      <c r="Y42" s="30"/>
      <c r="Z42" s="31"/>
    </row>
    <row r="43" spans="9:26" x14ac:dyDescent="0.3">
      <c r="J43" s="3" t="s">
        <v>4</v>
      </c>
      <c r="K43" s="1"/>
      <c r="L43" s="4">
        <v>-9000000</v>
      </c>
      <c r="M43" s="4">
        <f>L43*1.05</f>
        <v>-9450000</v>
      </c>
      <c r="N43" s="4">
        <f t="shared" ref="N43:P43" si="15">M43*1.05</f>
        <v>-9922500</v>
      </c>
      <c r="O43" s="4">
        <f t="shared" si="15"/>
        <v>-10418625</v>
      </c>
      <c r="P43" s="4">
        <f t="shared" si="15"/>
        <v>-10939556.25</v>
      </c>
      <c r="R43" s="26" t="s">
        <v>36</v>
      </c>
      <c r="S43" s="26"/>
      <c r="T43" s="27">
        <v>0.2</v>
      </c>
      <c r="V43" s="31"/>
      <c r="W43" s="31"/>
      <c r="X43" s="31"/>
      <c r="Y43" s="31"/>
      <c r="Z43" s="32"/>
    </row>
    <row r="44" spans="9:26" x14ac:dyDescent="0.3">
      <c r="J44" s="3" t="s">
        <v>5</v>
      </c>
      <c r="K44" s="1">
        <v>-1000</v>
      </c>
      <c r="L44" s="4">
        <f>$K$10*L38*POWER(1.025,L36-1)</f>
        <v>-1500000</v>
      </c>
      <c r="M44" s="4">
        <f t="shared" ref="M44:P44" si="16">$K$10*M38*POWER(1.025,M36-1)</f>
        <v>-1660499.9999999998</v>
      </c>
      <c r="N44" s="4">
        <f t="shared" si="16"/>
        <v>-1838173.5</v>
      </c>
      <c r="O44" s="4">
        <f t="shared" si="16"/>
        <v>-2110223.1780000003</v>
      </c>
      <c r="P44" s="4">
        <f t="shared" si="16"/>
        <v>-2422536.2083440004</v>
      </c>
      <c r="R44" s="26"/>
      <c r="S44" s="26"/>
      <c r="T44" s="14"/>
      <c r="V44" s="31"/>
      <c r="W44" s="33"/>
      <c r="X44" s="34"/>
      <c r="Y44" s="35"/>
      <c r="Z44" s="32"/>
    </row>
    <row r="45" spans="9:26" x14ac:dyDescent="0.3">
      <c r="I45" s="12">
        <f>T48</f>
        <v>-1537943.9816397352</v>
      </c>
      <c r="J45" s="3" t="s">
        <v>35</v>
      </c>
      <c r="K45" s="5"/>
      <c r="L45" s="5">
        <f>$I$45</f>
        <v>-1537943.9816397352</v>
      </c>
      <c r="M45" s="5">
        <f t="shared" ref="M45:P45" si="17">$I$45</f>
        <v>-1537943.9816397352</v>
      </c>
      <c r="N45" s="5">
        <f t="shared" si="17"/>
        <v>-1537943.9816397352</v>
      </c>
      <c r="O45" s="5">
        <f t="shared" si="17"/>
        <v>-1537943.9816397352</v>
      </c>
      <c r="P45" s="5">
        <f t="shared" si="17"/>
        <v>-1537943.9816397352</v>
      </c>
      <c r="R45" s="26"/>
      <c r="S45" s="26"/>
      <c r="T45" s="14"/>
      <c r="V45" s="31"/>
      <c r="W45" s="33"/>
      <c r="X45" s="34"/>
      <c r="Y45" s="31"/>
      <c r="Z45" s="32"/>
    </row>
    <row r="46" spans="9:26" x14ac:dyDescent="0.3">
      <c r="J46" s="37" t="s">
        <v>8</v>
      </c>
      <c r="K46" s="1"/>
      <c r="L46" s="1">
        <v>0</v>
      </c>
      <c r="M46" s="1">
        <v>0</v>
      </c>
      <c r="N46" s="1">
        <v>0</v>
      </c>
      <c r="O46" s="1">
        <v>0</v>
      </c>
      <c r="P46" s="1">
        <v>0</v>
      </c>
      <c r="R46" s="14" t="s">
        <v>24</v>
      </c>
      <c r="S46" s="14"/>
      <c r="T46" s="1">
        <v>5</v>
      </c>
      <c r="V46" s="31"/>
      <c r="W46" s="33"/>
      <c r="X46" s="34"/>
      <c r="Y46" s="31"/>
      <c r="Z46" s="32"/>
    </row>
    <row r="47" spans="9:26" ht="18" x14ac:dyDescent="0.3">
      <c r="J47" s="37" t="s">
        <v>3</v>
      </c>
      <c r="K47" s="1"/>
      <c r="L47" s="5">
        <f>SUM(L43:L46)</f>
        <v>-12037943.981639735</v>
      </c>
      <c r="M47" s="5">
        <f>SUM(M43:M46)</f>
        <v>-12648443.981639735</v>
      </c>
      <c r="N47" s="5">
        <f>SUM(N43:N46)</f>
        <v>-13298617.481639735</v>
      </c>
      <c r="O47" s="5">
        <f>SUM(O43:O46)</f>
        <v>-14066792.159639735</v>
      </c>
      <c r="P47" s="5">
        <f>SUM(P43:P46)</f>
        <v>-14900036.439983737</v>
      </c>
      <c r="R47" s="25" t="s">
        <v>27</v>
      </c>
      <c r="S47" s="25"/>
      <c r="T47">
        <f>POWER(1+T43/2,2)-1</f>
        <v>0.21000000000000019</v>
      </c>
      <c r="V47" s="31"/>
      <c r="W47" s="33"/>
      <c r="X47" s="34"/>
      <c r="Y47" s="31"/>
      <c r="Z47" s="36"/>
    </row>
    <row r="48" spans="9:26" ht="18" x14ac:dyDescent="0.3">
      <c r="J48" s="3" t="s">
        <v>9</v>
      </c>
      <c r="K48" s="1"/>
      <c r="L48" s="5">
        <f>L40+L47</f>
        <v>-37943.981639735401</v>
      </c>
      <c r="M48" s="5">
        <f t="shared" ref="M48:P48" si="18">M40+M47</f>
        <v>635556.0183602646</v>
      </c>
      <c r="N48" s="5">
        <f t="shared" si="18"/>
        <v>1406770.5183602665</v>
      </c>
      <c r="O48" s="5">
        <f t="shared" si="18"/>
        <v>2814993.2643602677</v>
      </c>
      <c r="P48" s="5">
        <f t="shared" si="18"/>
        <v>4480253.2267682664</v>
      </c>
      <c r="R48" s="29" t="s">
        <v>26</v>
      </c>
      <c r="S48" s="29"/>
      <c r="T48" s="13">
        <f>-PMT(T47,T46,T42)</f>
        <v>-1537943.9816397352</v>
      </c>
      <c r="V48" s="31"/>
      <c r="W48" s="33"/>
      <c r="X48" s="34"/>
      <c r="Y48" s="31"/>
      <c r="Z48" s="36"/>
    </row>
    <row r="49" spans="1:19" x14ac:dyDescent="0.3">
      <c r="J49" s="3" t="s">
        <v>10</v>
      </c>
      <c r="K49" s="6">
        <v>-0.25</v>
      </c>
      <c r="L49" s="4">
        <f>L48*$K$16</f>
        <v>9485.9954099338502</v>
      </c>
      <c r="M49" s="4">
        <f>IF(L49&lt;0,M48*$K$16,M48*$K$16+L49)</f>
        <v>-149403.0091801323</v>
      </c>
      <c r="N49" s="4">
        <f>IF(M49&lt;0,N48*$K$16,N48*$K$16+M49)</f>
        <v>-351692.62959006662</v>
      </c>
      <c r="O49" s="4">
        <f>IF(N49&lt;0,O48*$K$16,O48*$K$16+N49)</f>
        <v>-703748.31609006692</v>
      </c>
      <c r="P49" s="4">
        <f>IF(O49&lt;0,P48*$K$16,P48*$K$16+O49)</f>
        <v>-1120063.3066920666</v>
      </c>
    </row>
    <row r="50" spans="1:19" x14ac:dyDescent="0.3">
      <c r="J50" s="2" t="s">
        <v>11</v>
      </c>
      <c r="K50" s="1"/>
      <c r="L50" s="4">
        <f>IF(L49&gt;0,L48,L48+L49)</f>
        <v>-37943.981639735401</v>
      </c>
      <c r="M50" s="4">
        <f>IF(M49&gt;0,M48,M48+M49)</f>
        <v>486153.0091801323</v>
      </c>
      <c r="N50" s="4">
        <f>IF(N49&gt;0,N48,N48+N49)</f>
        <v>1055077.8887701998</v>
      </c>
      <c r="O50" s="4">
        <f>IF(O49&gt;0,O48,O48+O49)</f>
        <v>2111244.9482702008</v>
      </c>
      <c r="P50" s="4">
        <f>IF(P49&gt;0,P48,P48+P49)</f>
        <v>3360189.9200761998</v>
      </c>
    </row>
    <row r="51" spans="1:19" x14ac:dyDescent="0.3">
      <c r="J51" s="2" t="s">
        <v>13</v>
      </c>
      <c r="K51" s="1"/>
      <c r="L51" s="1"/>
      <c r="M51" s="1"/>
      <c r="N51" s="1"/>
      <c r="O51" s="1"/>
      <c r="P51" s="1"/>
    </row>
    <row r="52" spans="1:19" x14ac:dyDescent="0.3">
      <c r="J52" s="3" t="s">
        <v>18</v>
      </c>
      <c r="K52" s="5">
        <f>1.5*L44</f>
        <v>-2250000</v>
      </c>
      <c r="L52" s="1"/>
      <c r="M52" s="1"/>
      <c r="N52" s="1"/>
      <c r="O52" s="1"/>
      <c r="P52" s="5">
        <f>-0.85*K52</f>
        <v>1912500</v>
      </c>
    </row>
    <row r="53" spans="1:19" x14ac:dyDescent="0.3">
      <c r="J53" s="3" t="s">
        <v>19</v>
      </c>
      <c r="K53" s="4">
        <f>SUM(K50:K52)</f>
        <v>-2250000</v>
      </c>
      <c r="L53" s="4">
        <f>SUM(L50:L52)</f>
        <v>-37943.981639735401</v>
      </c>
      <c r="M53" s="4">
        <f>SUM(M50:M52)</f>
        <v>486153.0091801323</v>
      </c>
      <c r="N53" s="4">
        <f>SUM(N50:N52)</f>
        <v>1055077.8887701998</v>
      </c>
      <c r="O53" s="4">
        <f>SUM(O50:O52)</f>
        <v>2111244.9482702008</v>
      </c>
      <c r="P53" s="4">
        <f>SUM(P50:P52)</f>
        <v>5272689.9200761998</v>
      </c>
    </row>
    <row r="54" spans="1:19" x14ac:dyDescent="0.3">
      <c r="J54" s="3" t="s">
        <v>20</v>
      </c>
      <c r="K54" s="7">
        <f>S54+S55*S56</f>
        <v>0.13999999999999999</v>
      </c>
      <c r="L54" s="1"/>
      <c r="M54" s="1"/>
      <c r="N54" s="1"/>
      <c r="O54" s="1"/>
      <c r="P54" s="1"/>
      <c r="R54" s="24" t="s">
        <v>31</v>
      </c>
      <c r="S54" s="9">
        <v>0.02</v>
      </c>
    </row>
    <row r="55" spans="1:19" x14ac:dyDescent="0.3">
      <c r="J55" s="2" t="s">
        <v>21</v>
      </c>
      <c r="K55" s="8">
        <f>NPV(K54,L53:P53)+K53</f>
        <v>2791438.6982475305</v>
      </c>
      <c r="L55" s="1"/>
      <c r="M55" s="1"/>
      <c r="N55" s="1"/>
      <c r="O55" s="1"/>
      <c r="P55" s="1"/>
      <c r="R55" s="24" t="s">
        <v>32</v>
      </c>
      <c r="S55" s="1">
        <v>1.2</v>
      </c>
    </row>
    <row r="56" spans="1:19" x14ac:dyDescent="0.3">
      <c r="J56" s="2" t="s">
        <v>22</v>
      </c>
      <c r="K56" s="9">
        <f>IRR(K53:P53)</f>
        <v>0.38222238264162578</v>
      </c>
      <c r="L56" s="1"/>
      <c r="M56" s="1"/>
      <c r="N56" s="1"/>
      <c r="O56" s="1"/>
      <c r="P56" s="1"/>
      <c r="R56" s="24" t="s">
        <v>33</v>
      </c>
      <c r="S56" s="9">
        <v>0.1</v>
      </c>
    </row>
    <row r="58" spans="1:19" x14ac:dyDescent="0.3">
      <c r="J58" s="28" t="s">
        <v>37</v>
      </c>
    </row>
    <row r="61" spans="1:19" x14ac:dyDescent="0.3">
      <c r="J61" s="1"/>
      <c r="K61" s="1"/>
      <c r="L61" s="1">
        <v>1</v>
      </c>
      <c r="M61" s="1">
        <v>2</v>
      </c>
      <c r="N61" s="1">
        <v>3</v>
      </c>
      <c r="O61" s="1">
        <v>4</v>
      </c>
      <c r="P61" s="1">
        <v>5</v>
      </c>
      <c r="R61" s="11"/>
      <c r="S61" s="11"/>
    </row>
    <row r="62" spans="1:19" x14ac:dyDescent="0.3">
      <c r="A62" t="s">
        <v>39</v>
      </c>
      <c r="B62" t="s">
        <v>42</v>
      </c>
      <c r="J62" s="2" t="s">
        <v>0</v>
      </c>
      <c r="K62" s="1"/>
      <c r="L62" s="1"/>
      <c r="M62" s="1"/>
      <c r="N62" s="1"/>
      <c r="O62" s="1"/>
      <c r="P62" s="1"/>
    </row>
    <row r="63" spans="1:19" x14ac:dyDescent="0.3">
      <c r="A63" t="s">
        <v>40</v>
      </c>
      <c r="B63" s="13">
        <f>K55-K28</f>
        <v>-491889.24600085616</v>
      </c>
      <c r="J63" s="3" t="s">
        <v>1</v>
      </c>
      <c r="K63" s="1"/>
      <c r="L63" s="10">
        <v>1500</v>
      </c>
      <c r="M63" s="10">
        <f>L63*1.08</f>
        <v>1620</v>
      </c>
      <c r="N63" s="10">
        <f>M63*1.08</f>
        <v>1749.6000000000001</v>
      </c>
      <c r="O63" s="10">
        <f>N63*1.12</f>
        <v>1959.5520000000004</v>
      </c>
      <c r="P63" s="10">
        <f>O63*1.12</f>
        <v>2194.6982400000006</v>
      </c>
    </row>
    <row r="64" spans="1:19" x14ac:dyDescent="0.3">
      <c r="A64" t="s">
        <v>41</v>
      </c>
      <c r="B64" t="s">
        <v>42</v>
      </c>
      <c r="D64">
        <v>1350</v>
      </c>
      <c r="J64" s="3" t="s">
        <v>2</v>
      </c>
      <c r="K64" s="1"/>
      <c r="L64" s="4">
        <v>8000</v>
      </c>
      <c r="M64" s="4">
        <f>L64*1.025</f>
        <v>8200</v>
      </c>
      <c r="N64" s="4">
        <f t="shared" ref="N64:P64" si="19">M64*1.025</f>
        <v>8405</v>
      </c>
      <c r="O64" s="4">
        <f t="shared" si="19"/>
        <v>8615.125</v>
      </c>
      <c r="P64" s="4">
        <f t="shared" si="19"/>
        <v>8830.5031249999993</v>
      </c>
    </row>
    <row r="65" spans="2:20" x14ac:dyDescent="0.3">
      <c r="B65" t="s">
        <v>43</v>
      </c>
      <c r="D65">
        <v>1373</v>
      </c>
      <c r="J65" s="3" t="s">
        <v>0</v>
      </c>
      <c r="K65" s="1"/>
      <c r="L65" s="5">
        <f>L63*L64</f>
        <v>12000000</v>
      </c>
      <c r="M65" s="5">
        <f t="shared" ref="M65:P65" si="20">M63*M64</f>
        <v>13284000</v>
      </c>
      <c r="N65" s="5">
        <f t="shared" si="20"/>
        <v>14705388.000000002</v>
      </c>
      <c r="O65" s="5">
        <f t="shared" si="20"/>
        <v>16881785.424000002</v>
      </c>
      <c r="P65" s="5">
        <f t="shared" si="20"/>
        <v>19380289.666752003</v>
      </c>
    </row>
    <row r="66" spans="2:20" x14ac:dyDescent="0.3">
      <c r="B66" t="s">
        <v>44</v>
      </c>
      <c r="D66">
        <v>1397</v>
      </c>
      <c r="J66" s="3"/>
      <c r="K66" s="1"/>
      <c r="L66" s="1"/>
      <c r="M66" s="1"/>
      <c r="N66" s="1"/>
      <c r="O66" s="1"/>
      <c r="P66" s="1"/>
    </row>
    <row r="67" spans="2:20" x14ac:dyDescent="0.3">
      <c r="J67" s="2" t="s">
        <v>3</v>
      </c>
      <c r="K67" s="1"/>
      <c r="L67" s="1"/>
      <c r="M67" s="1"/>
      <c r="N67" s="1"/>
      <c r="O67" s="1"/>
      <c r="P67" s="1"/>
      <c r="R67" s="14" t="s">
        <v>23</v>
      </c>
      <c r="S67" s="14"/>
      <c r="T67" s="5">
        <f>-(1000000+1500000+2000000)</f>
        <v>-4500000</v>
      </c>
    </row>
    <row r="68" spans="2:20" x14ac:dyDescent="0.3">
      <c r="J68" s="3" t="s">
        <v>4</v>
      </c>
      <c r="K68" s="1"/>
      <c r="L68" s="4">
        <v>-9000000</v>
      </c>
      <c r="M68" s="4">
        <f>L68*1.05</f>
        <v>-9450000</v>
      </c>
      <c r="N68" s="4">
        <f t="shared" ref="N68:P68" si="21">M68*1.05</f>
        <v>-9922500</v>
      </c>
      <c r="O68" s="4">
        <f t="shared" si="21"/>
        <v>-10418625</v>
      </c>
      <c r="P68" s="4">
        <f t="shared" si="21"/>
        <v>-10939556.25</v>
      </c>
      <c r="R68" s="26"/>
      <c r="S68" s="26"/>
      <c r="T68" s="27"/>
    </row>
    <row r="69" spans="2:20" x14ac:dyDescent="0.3">
      <c r="J69" s="3" t="s">
        <v>5</v>
      </c>
      <c r="K69" s="1">
        <v>-1000</v>
      </c>
      <c r="L69" s="4">
        <f>$K$10*L63*POWER(1.025,L61-1)</f>
        <v>-1500000</v>
      </c>
      <c r="M69" s="4">
        <f t="shared" ref="M69:P69" si="22">$K$10*M63*POWER(1.025,M61-1)</f>
        <v>-1660499.9999999998</v>
      </c>
      <c r="N69" s="4">
        <f t="shared" si="22"/>
        <v>-1838173.5</v>
      </c>
      <c r="O69" s="4">
        <f t="shared" si="22"/>
        <v>-2110223.1780000003</v>
      </c>
      <c r="P69" s="4">
        <f t="shared" si="22"/>
        <v>-2422536.2083440004</v>
      </c>
      <c r="R69" s="26"/>
      <c r="S69" s="26"/>
      <c r="T69" s="14"/>
    </row>
    <row r="70" spans="2:20" x14ac:dyDescent="0.3">
      <c r="I70" s="12">
        <f>T73</f>
        <v>-1439000.2880765409</v>
      </c>
      <c r="J70" s="3" t="s">
        <v>35</v>
      </c>
      <c r="K70" s="5"/>
      <c r="L70" s="5">
        <f>$I$70</f>
        <v>-1439000.2880765409</v>
      </c>
      <c r="M70" s="5">
        <f t="shared" ref="M70:P70" si="23">$I$70</f>
        <v>-1439000.2880765409</v>
      </c>
      <c r="N70" s="5">
        <f t="shared" si="23"/>
        <v>-1439000.2880765409</v>
      </c>
      <c r="O70" s="5">
        <f t="shared" si="23"/>
        <v>-1439000.2880765409</v>
      </c>
      <c r="P70" s="5">
        <f t="shared" si="23"/>
        <v>-1439000.2880765409</v>
      </c>
      <c r="R70" s="26"/>
      <c r="S70" s="26"/>
      <c r="T70" s="14"/>
    </row>
    <row r="71" spans="2:20" x14ac:dyDescent="0.3">
      <c r="J71" s="37" t="s">
        <v>8</v>
      </c>
      <c r="K71" s="1"/>
      <c r="L71" s="1">
        <v>-300000</v>
      </c>
      <c r="M71" s="1">
        <f>L71*1.025</f>
        <v>-307500</v>
      </c>
      <c r="N71" s="1">
        <f t="shared" ref="N71:P71" si="24">M71*1.025</f>
        <v>-315187.5</v>
      </c>
      <c r="O71" s="1">
        <f t="shared" si="24"/>
        <v>-323067.1875</v>
      </c>
      <c r="P71" s="1">
        <f t="shared" si="24"/>
        <v>-331143.8671875</v>
      </c>
      <c r="R71" s="14" t="s">
        <v>24</v>
      </c>
      <c r="S71" s="14"/>
      <c r="T71" s="1">
        <v>5</v>
      </c>
    </row>
    <row r="72" spans="2:20" x14ac:dyDescent="0.3">
      <c r="J72" s="37" t="s">
        <v>3</v>
      </c>
      <c r="K72" s="1"/>
      <c r="L72" s="5">
        <f>SUM(L68:L71)</f>
        <v>-12239000.28807654</v>
      </c>
      <c r="M72" s="5">
        <f>SUM(M68:M71)</f>
        <v>-12857000.28807654</v>
      </c>
      <c r="N72" s="5">
        <f>SUM(N68:N71)</f>
        <v>-13514861.28807654</v>
      </c>
      <c r="O72" s="5">
        <f>SUM(O68:O71)</f>
        <v>-14290915.65357654</v>
      </c>
      <c r="P72" s="5">
        <f>SUM(P68:P71)</f>
        <v>-15132236.613608042</v>
      </c>
      <c r="R72" s="14" t="s">
        <v>38</v>
      </c>
      <c r="S72" s="14"/>
      <c r="T72" s="1">
        <v>0.18</v>
      </c>
    </row>
    <row r="73" spans="2:20" x14ac:dyDescent="0.3">
      <c r="J73" s="3" t="s">
        <v>9</v>
      </c>
      <c r="K73" s="1"/>
      <c r="L73" s="5">
        <f>L65+L72</f>
        <v>-239000.28807654046</v>
      </c>
      <c r="M73" s="5">
        <f t="shared" ref="M73" si="25">M65+M72</f>
        <v>426999.71192345954</v>
      </c>
      <c r="N73" s="5">
        <f t="shared" ref="N73" si="26">N65+N72</f>
        <v>1190526.7119234614</v>
      </c>
      <c r="O73" s="5">
        <f t="shared" ref="O73" si="27">O65+O72</f>
        <v>2590869.7704234626</v>
      </c>
      <c r="P73" s="5">
        <f t="shared" ref="P73" si="28">P65+P72</f>
        <v>4248053.0531439614</v>
      </c>
      <c r="R73" s="14" t="s">
        <v>26</v>
      </c>
      <c r="S73" s="14"/>
      <c r="T73" s="8">
        <f>-PMT(T72,T71,T67)</f>
        <v>-1439000.2880765409</v>
      </c>
    </row>
    <row r="74" spans="2:20" x14ac:dyDescent="0.3">
      <c r="J74" s="3" t="s">
        <v>10</v>
      </c>
      <c r="K74" s="6">
        <v>-0.25</v>
      </c>
      <c r="L74" s="4">
        <f>L73*$K$16</f>
        <v>59750.072019135114</v>
      </c>
      <c r="M74" s="4">
        <f>IF(L74&lt;0,M73*$K$16,M73*$K$16+L74)</f>
        <v>-46999.855961729772</v>
      </c>
      <c r="N74" s="4">
        <f>IF(M74&lt;0,N73*$K$16,N73*$K$16+M74)</f>
        <v>-297631.67798086535</v>
      </c>
      <c r="O74" s="4">
        <f>IF(N74&lt;0,O73*$K$16,O73*$K$16+N74)</f>
        <v>-647717.44260586565</v>
      </c>
      <c r="P74" s="4">
        <f>IF(O74&lt;0,P73*$K$16,P73*$K$16+O74)</f>
        <v>-1062013.2632859903</v>
      </c>
    </row>
    <row r="75" spans="2:20" x14ac:dyDescent="0.3">
      <c r="J75" s="2" t="s">
        <v>11</v>
      </c>
      <c r="K75" s="1"/>
      <c r="L75" s="4">
        <f>IF(L74&gt;0,L73,L73+L74)</f>
        <v>-239000.28807654046</v>
      </c>
      <c r="M75" s="4">
        <f>IF(M74&gt;0,M73,M73+M74)</f>
        <v>379999.85596172977</v>
      </c>
      <c r="N75" s="4">
        <f>IF(N74&gt;0,N73,N73+N74)</f>
        <v>892895.03394259606</v>
      </c>
      <c r="O75" s="4">
        <f>IF(O74&gt;0,O73,O73+O74)</f>
        <v>1943152.327817597</v>
      </c>
      <c r="P75" s="4">
        <f>IF(P74&gt;0,P73,P73+P74)</f>
        <v>3186039.789857971</v>
      </c>
    </row>
    <row r="76" spans="2:20" x14ac:dyDescent="0.3">
      <c r="J76" s="2" t="s">
        <v>13</v>
      </c>
      <c r="K76" s="1"/>
      <c r="L76" s="1"/>
      <c r="M76" s="1"/>
      <c r="N76" s="1"/>
      <c r="O76" s="1"/>
      <c r="P76" s="1"/>
    </row>
    <row r="77" spans="2:20" x14ac:dyDescent="0.3">
      <c r="J77" s="3" t="s">
        <v>18</v>
      </c>
      <c r="K77" s="5">
        <f>1.5*L69</f>
        <v>-2250000</v>
      </c>
      <c r="L77" s="1"/>
      <c r="M77" s="1"/>
      <c r="N77" s="1"/>
      <c r="O77" s="1"/>
      <c r="P77" s="5">
        <f>-0.85*K77</f>
        <v>1912500</v>
      </c>
    </row>
    <row r="78" spans="2:20" x14ac:dyDescent="0.3">
      <c r="J78" s="3" t="s">
        <v>19</v>
      </c>
      <c r="K78" s="4">
        <f>SUM(K75:K77)</f>
        <v>-2250000</v>
      </c>
      <c r="L78" s="4">
        <f>SUM(L75:L77)</f>
        <v>-239000.28807654046</v>
      </c>
      <c r="M78" s="4">
        <f>SUM(M75:M77)</f>
        <v>379999.85596172977</v>
      </c>
      <c r="N78" s="4">
        <f>SUM(N75:N77)</f>
        <v>892895.03394259606</v>
      </c>
      <c r="O78" s="4">
        <f>SUM(O75:O77)</f>
        <v>1943152.327817597</v>
      </c>
      <c r="P78" s="4">
        <f>SUM(P75:P77)</f>
        <v>5098539.7898579706</v>
      </c>
    </row>
    <row r="79" spans="2:20" x14ac:dyDescent="0.3">
      <c r="J79" s="3" t="s">
        <v>20</v>
      </c>
      <c r="K79" s="7">
        <f>S79+S80*S81</f>
        <v>0.13999999999999999</v>
      </c>
      <c r="L79" s="1"/>
      <c r="M79" s="1"/>
      <c r="N79" s="1"/>
      <c r="O79" s="1"/>
      <c r="P79" s="1"/>
      <c r="R79" s="24" t="s">
        <v>31</v>
      </c>
      <c r="S79" s="9">
        <v>0.02</v>
      </c>
    </row>
    <row r="80" spans="2:20" x14ac:dyDescent="0.3">
      <c r="J80" s="2" t="s">
        <v>21</v>
      </c>
      <c r="K80" s="8">
        <f>NPV(K79,L78:P78)+K78</f>
        <v>2233950.8594203722</v>
      </c>
      <c r="L80" s="1"/>
      <c r="M80" s="1"/>
      <c r="N80" s="1"/>
      <c r="O80" s="1"/>
      <c r="P80" s="1"/>
      <c r="R80" s="24" t="s">
        <v>32</v>
      </c>
      <c r="S80" s="1">
        <v>1.2</v>
      </c>
    </row>
    <row r="81" spans="10:19" x14ac:dyDescent="0.3">
      <c r="J81" s="2" t="s">
        <v>22</v>
      </c>
      <c r="K81" s="9">
        <f>IRR(K78:P78)</f>
        <v>0.3314422941724009</v>
      </c>
      <c r="L81" s="1"/>
      <c r="M81" s="1"/>
      <c r="N81" s="1"/>
      <c r="O81" s="1"/>
      <c r="P81" s="1"/>
      <c r="R81" s="24" t="s">
        <v>33</v>
      </c>
      <c r="S81" s="9">
        <v>0.1</v>
      </c>
    </row>
  </sheetData>
  <mergeCells count="25">
    <mergeCell ref="R71:S71"/>
    <mergeCell ref="R72:S72"/>
    <mergeCell ref="R73:S73"/>
    <mergeCell ref="V42:Y42"/>
    <mergeCell ref="R61:S61"/>
    <mergeCell ref="R67:S67"/>
    <mergeCell ref="R68:S70"/>
    <mergeCell ref="T68:T70"/>
    <mergeCell ref="R42:S42"/>
    <mergeCell ref="R36:S36"/>
    <mergeCell ref="R43:S45"/>
    <mergeCell ref="R46:S46"/>
    <mergeCell ref="R47:S47"/>
    <mergeCell ref="R48:S48"/>
    <mergeCell ref="R9:S9"/>
    <mergeCell ref="W6:X6"/>
    <mergeCell ref="W7:X7"/>
    <mergeCell ref="V8:Y8"/>
    <mergeCell ref="T43:T45"/>
    <mergeCell ref="V2:W4"/>
    <mergeCell ref="X2:X4"/>
    <mergeCell ref="V1:W1"/>
    <mergeCell ref="R2:S2"/>
    <mergeCell ref="V5:W5"/>
    <mergeCell ref="R8:S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7FEA8-118C-4CC4-90D1-738F296E3F27}">
  <dimension ref="A1"/>
  <sheetViews>
    <sheetView topLeftCell="A24" workbookViewId="0">
      <selection activeCell="A43" sqref="A43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207070653</dc:creator>
  <cp:lastModifiedBy>207070653</cp:lastModifiedBy>
  <dcterms:created xsi:type="dcterms:W3CDTF">2024-10-10T01:57:48Z</dcterms:created>
  <dcterms:modified xsi:type="dcterms:W3CDTF">2024-10-10T14:43:16Z</dcterms:modified>
</cp:coreProperties>
</file>