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aan\Desktop\git\Apuntes_2024\2024-2\Evaluación de proyectos\Excels\"/>
    </mc:Choice>
  </mc:AlternateContent>
  <xr:revisionPtr revIDLastSave="0" documentId="13_ncr:1_{7CCD8A70-B92E-4D13-AEDE-2AD277107DE5}" xr6:coauthVersionLast="47" xr6:coauthVersionMax="47" xr10:uidLastSave="{00000000-0000-0000-0000-000000000000}"/>
  <bookViews>
    <workbookView xWindow="-108" yWindow="-108" windowWidth="23256" windowHeight="12456" xr2:uid="{588686D7-C789-44C7-8A71-B3238B2E2FD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20" i="1" s="1"/>
  <c r="I30" i="1"/>
  <c r="F33" i="1"/>
  <c r="D30" i="1"/>
  <c r="I27" i="1"/>
  <c r="D28" i="1"/>
  <c r="I28" i="1"/>
  <c r="G30" i="1"/>
  <c r="H30" i="1"/>
  <c r="F30" i="1"/>
  <c r="D29" i="1"/>
  <c r="F22" i="1"/>
  <c r="G22" i="1"/>
  <c r="H22" i="1"/>
  <c r="I22" i="1"/>
  <c r="E22" i="1"/>
  <c r="F19" i="1"/>
  <c r="F20" i="1" s="1"/>
  <c r="F21" i="1" s="1"/>
  <c r="G19" i="1"/>
  <c r="G20" i="1" s="1"/>
  <c r="G21" i="1" s="1"/>
  <c r="H19" i="1"/>
  <c r="H20" i="1" s="1"/>
  <c r="H21" i="1" s="1"/>
  <c r="I19" i="1"/>
  <c r="I20" i="1" s="1"/>
  <c r="I21" i="1" s="1"/>
  <c r="G18" i="1"/>
  <c r="H18" i="1" s="1"/>
  <c r="I18" i="1" s="1"/>
  <c r="F18" i="1"/>
  <c r="N7" i="1"/>
  <c r="E21" i="1" l="1"/>
  <c r="E30" i="1" s="1"/>
  <c r="L8" i="1"/>
  <c r="L11" i="1" s="1"/>
  <c r="N9" i="1"/>
  <c r="K10" i="1" s="1"/>
  <c r="F16" i="1"/>
  <c r="G16" i="1"/>
  <c r="H16" i="1"/>
  <c r="I16" i="1"/>
  <c r="E16" i="1"/>
  <c r="E15" i="1"/>
  <c r="F15" i="1"/>
  <c r="F14" i="1"/>
  <c r="G14" i="1" s="1"/>
  <c r="H14" i="1" s="1"/>
  <c r="I14" i="1" s="1"/>
  <c r="F11" i="1"/>
  <c r="E11" i="1"/>
  <c r="F10" i="1"/>
  <c r="G10" i="1" s="1"/>
  <c r="H10" i="1" s="1"/>
  <c r="I10" i="1" s="1"/>
  <c r="G9" i="1"/>
  <c r="G15" i="1" s="1"/>
  <c r="F9" i="1"/>
  <c r="D32" i="1" l="1"/>
  <c r="D31" i="1"/>
  <c r="G11" i="1"/>
  <c r="H9" i="1"/>
  <c r="L14" i="1"/>
  <c r="L10" i="1"/>
  <c r="M10" i="1" s="1"/>
  <c r="N10" i="1" s="1"/>
  <c r="K11" i="1" s="1"/>
  <c r="M11" i="1" s="1"/>
  <c r="N11" i="1" s="1"/>
  <c r="K12" i="1" s="1"/>
  <c r="L13" i="1"/>
  <c r="L12" i="1"/>
  <c r="H11" i="1" l="1"/>
  <c r="H15" i="1"/>
  <c r="I9" i="1"/>
  <c r="M12" i="1"/>
  <c r="N12" i="1" s="1"/>
  <c r="K13" i="1" s="1"/>
  <c r="I11" i="1" l="1"/>
  <c r="I15" i="1"/>
  <c r="M13" i="1"/>
  <c r="N13" i="1" s="1"/>
  <c r="K14" i="1" s="1"/>
  <c r="M14" i="1" l="1"/>
  <c r="N14" i="1" s="1"/>
</calcChain>
</file>

<file path=xl/sharedStrings.xml><?xml version="1.0" encoding="utf-8"?>
<sst xmlns="http://schemas.openxmlformats.org/spreadsheetml/2006/main" count="36" uniqueCount="31">
  <si>
    <t>ESTRUCTURA FLUJO DE CAJA</t>
  </si>
  <si>
    <t>INGRESOS</t>
  </si>
  <si>
    <t>CANTIDAD</t>
  </si>
  <si>
    <t>PRECIO</t>
  </si>
  <si>
    <t>COSTOS</t>
  </si>
  <si>
    <t>FIJOS</t>
  </si>
  <si>
    <t>VARIABLES</t>
  </si>
  <si>
    <t>DEPRECIACIÓN</t>
  </si>
  <si>
    <t>CREDITO</t>
  </si>
  <si>
    <t>TASA</t>
  </si>
  <si>
    <t>PERIODO</t>
  </si>
  <si>
    <t>CUOTA</t>
  </si>
  <si>
    <t>INTERESES</t>
  </si>
  <si>
    <t>AMORTIZACION</t>
  </si>
  <si>
    <t>SALDO</t>
  </si>
  <si>
    <t>TASA NOMINAL</t>
  </si>
  <si>
    <t>MANTENCIÓN</t>
  </si>
  <si>
    <t>UTILIDAD</t>
  </si>
  <si>
    <t>IMPUESTO</t>
  </si>
  <si>
    <t>UTILIDAD DESPUES IMPUESTO</t>
  </si>
  <si>
    <t>AMORTIZACIÓN</t>
  </si>
  <si>
    <t>INVERSIONES</t>
  </si>
  <si>
    <t>TERRENO</t>
  </si>
  <si>
    <t>EDIFICIO</t>
  </si>
  <si>
    <t>MAQUINARIA</t>
  </si>
  <si>
    <t>CAPITAL TRABAJO</t>
  </si>
  <si>
    <t>FLUJO DE CAJA</t>
  </si>
  <si>
    <t>VAN</t>
  </si>
  <si>
    <t>TIR</t>
  </si>
  <si>
    <t>TASA DESCUENTO FLUJO</t>
  </si>
  <si>
    <t>Rf+(Rm-Rf)*beta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</si>
</sst>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&quot;$&quot;\-#,##0.00"/>
    <numFmt numFmtId="42" formatCode="_ &quot;$&quot;* #,##0_ ;_ &quot;$&quot;* \-#,##0_ ;_ &quot;$&quot;* &quot;-&quot;_ ;_ @_ 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2">
    <xf numFmtId="0" fontId="0" fillId="0" borderId="0" xfId="0"/>
    <xf numFmtId="42" fontId="0" fillId="0" borderId="0" xfId="1" applyFont="1"/>
    <xf numFmtId="10" fontId="0" fillId="0" borderId="0" xfId="0" applyNumberFormat="1"/>
    <xf numFmtId="0" fontId="0" fillId="0" borderId="1" xfId="0" applyBorder="1"/>
    <xf numFmtId="0" fontId="0" fillId="2" borderId="1" xfId="0" applyFill="1" applyBorder="1" applyAlignment="1"/>
    <xf numFmtId="42" fontId="0" fillId="0" borderId="1" xfId="1" applyFont="1" applyBorder="1"/>
    <xf numFmtId="42" fontId="0" fillId="0" borderId="1" xfId="0" applyNumberFormat="1" applyBorder="1"/>
    <xf numFmtId="0" fontId="0" fillId="2" borderId="1" xfId="0" applyFill="1" applyBorder="1"/>
    <xf numFmtId="8" fontId="0" fillId="2" borderId="1" xfId="0" applyNumberFormat="1" applyFill="1" applyBorder="1"/>
    <xf numFmtId="9" fontId="0" fillId="2" borderId="1" xfId="0" applyNumberFormat="1" applyFill="1" applyBorder="1"/>
    <xf numFmtId="9" fontId="0" fillId="0" borderId="1" xfId="0" applyNumberFormat="1" applyBorder="1"/>
    <xf numFmtId="8" fontId="0" fillId="0" borderId="1" xfId="0" applyNumberFormat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E7396-4A4F-4E1C-A352-2C7B60DDDB91}">
  <dimension ref="B5:P33"/>
  <sheetViews>
    <sheetView tabSelected="1" zoomScale="89" workbookViewId="0">
      <selection activeCell="B28" sqref="B28"/>
    </sheetView>
  </sheetViews>
  <sheetFormatPr baseColWidth="10" defaultRowHeight="14.4" x14ac:dyDescent="0.3"/>
  <cols>
    <col min="4" max="4" width="12.6640625" bestFit="1" customWidth="1"/>
    <col min="5" max="5" width="13.33203125" bestFit="1" customWidth="1"/>
    <col min="6" max="8" width="13.6640625" bestFit="1" customWidth="1"/>
    <col min="9" max="9" width="19" bestFit="1" customWidth="1"/>
    <col min="12" max="12" width="12.6640625" bestFit="1" customWidth="1"/>
    <col min="13" max="13" width="13.6640625" bestFit="1" customWidth="1"/>
    <col min="14" max="14" width="12.6640625" bestFit="1" customWidth="1"/>
  </cols>
  <sheetData>
    <row r="5" spans="2:16" x14ac:dyDescent="0.3">
      <c r="C5" t="s">
        <v>0</v>
      </c>
    </row>
    <row r="6" spans="2:16" x14ac:dyDescent="0.3">
      <c r="K6" s="3" t="s">
        <v>15</v>
      </c>
      <c r="L6" s="10">
        <v>0.18</v>
      </c>
      <c r="M6" s="3"/>
      <c r="N6" s="3"/>
      <c r="O6" s="3"/>
      <c r="P6" s="3"/>
    </row>
    <row r="7" spans="2:16" x14ac:dyDescent="0.3">
      <c r="C7" s="3"/>
      <c r="D7" s="3"/>
      <c r="E7" s="3">
        <v>1</v>
      </c>
      <c r="F7" s="3">
        <v>2</v>
      </c>
      <c r="G7" s="3">
        <v>3</v>
      </c>
      <c r="H7" s="3">
        <v>4</v>
      </c>
      <c r="I7" s="3">
        <v>5</v>
      </c>
      <c r="K7" s="3" t="s">
        <v>8</v>
      </c>
      <c r="L7" s="5">
        <v>4500000</v>
      </c>
      <c r="M7" s="3" t="s">
        <v>9</v>
      </c>
      <c r="N7" s="3">
        <f>POWER(1+(L6/4),4) -1</f>
        <v>0.19251860062499948</v>
      </c>
      <c r="O7" s="3" t="s">
        <v>10</v>
      </c>
      <c r="P7" s="3">
        <v>5</v>
      </c>
    </row>
    <row r="8" spans="2:16" x14ac:dyDescent="0.3">
      <c r="C8" s="4" t="s">
        <v>1</v>
      </c>
      <c r="D8" s="4"/>
      <c r="E8" s="4"/>
      <c r="F8" s="4"/>
      <c r="G8" s="4"/>
      <c r="H8" s="4"/>
      <c r="I8" s="4"/>
      <c r="K8" s="3" t="s">
        <v>11</v>
      </c>
      <c r="L8" s="11">
        <f>-PMT(N7,P7,L7)</f>
        <v>1480008.7726711251</v>
      </c>
      <c r="M8" s="3"/>
      <c r="N8" s="3" t="s">
        <v>14</v>
      </c>
      <c r="O8" s="3"/>
      <c r="P8" s="3"/>
    </row>
    <row r="9" spans="2:16" x14ac:dyDescent="0.3">
      <c r="C9" s="3" t="s">
        <v>2</v>
      </c>
      <c r="D9" s="3"/>
      <c r="E9" s="5">
        <v>1500</v>
      </c>
      <c r="F9" s="5">
        <f>E9*1.08</f>
        <v>1620</v>
      </c>
      <c r="G9" s="5">
        <f>F9*1.08</f>
        <v>1749.6000000000001</v>
      </c>
      <c r="H9" s="5">
        <f>G9*1.12</f>
        <v>1959.5520000000004</v>
      </c>
      <c r="I9" s="5">
        <f>H9*1.12</f>
        <v>2194.6982400000006</v>
      </c>
      <c r="K9" s="3" t="s">
        <v>12</v>
      </c>
      <c r="L9" s="3" t="s">
        <v>11</v>
      </c>
      <c r="M9" s="3" t="s">
        <v>13</v>
      </c>
      <c r="N9" s="5">
        <f>L7</f>
        <v>4500000</v>
      </c>
      <c r="O9" s="3"/>
      <c r="P9" s="3"/>
    </row>
    <row r="10" spans="2:16" x14ac:dyDescent="0.3">
      <c r="C10" s="3" t="s">
        <v>3</v>
      </c>
      <c r="D10" s="3"/>
      <c r="E10" s="5">
        <v>8000</v>
      </c>
      <c r="F10" s="5">
        <f>E10*1.025</f>
        <v>8200</v>
      </c>
      <c r="G10" s="5">
        <f t="shared" ref="G10:I10" si="0">F10*1.025</f>
        <v>8405</v>
      </c>
      <c r="H10" s="5">
        <f t="shared" si="0"/>
        <v>8615.125</v>
      </c>
      <c r="I10" s="5">
        <f t="shared" si="0"/>
        <v>8830.5031249999993</v>
      </c>
      <c r="K10" s="3">
        <f>N9*$N$7</f>
        <v>866333.70281249762</v>
      </c>
      <c r="L10" s="11">
        <f>$L$8</f>
        <v>1480008.7726711251</v>
      </c>
      <c r="M10" s="11">
        <f>L10-K10</f>
        <v>613675.06985862751</v>
      </c>
      <c r="N10" s="11">
        <f>N9-M10</f>
        <v>3886324.9301413726</v>
      </c>
      <c r="O10" s="3"/>
      <c r="P10" s="3"/>
    </row>
    <row r="11" spans="2:16" x14ac:dyDescent="0.3">
      <c r="C11" s="3" t="s">
        <v>1</v>
      </c>
      <c r="D11" s="3"/>
      <c r="E11" s="5">
        <f>E9*E10</f>
        <v>12000000</v>
      </c>
      <c r="F11" s="5">
        <f t="shared" ref="F11:I11" si="1">F9*F10</f>
        <v>13284000</v>
      </c>
      <c r="G11" s="5">
        <f t="shared" si="1"/>
        <v>14705388.000000002</v>
      </c>
      <c r="H11" s="5">
        <f t="shared" si="1"/>
        <v>16881785.424000002</v>
      </c>
      <c r="I11" s="5">
        <f t="shared" si="1"/>
        <v>19380289.666752003</v>
      </c>
      <c r="K11" s="3">
        <f>N10*$N$7</f>
        <v>748189.83712486597</v>
      </c>
      <c r="L11" s="11">
        <f>$L$8</f>
        <v>1480008.7726711251</v>
      </c>
      <c r="M11" s="11">
        <f t="shared" ref="M11:M14" si="2">L11-K11</f>
        <v>731818.93554625916</v>
      </c>
      <c r="N11" s="11">
        <f t="shared" ref="N11:N14" si="3">N10-M11</f>
        <v>3154505.9945951132</v>
      </c>
      <c r="O11" s="3"/>
      <c r="P11" s="3"/>
    </row>
    <row r="12" spans="2:16" x14ac:dyDescent="0.3">
      <c r="C12" s="3"/>
      <c r="D12" s="3"/>
      <c r="E12" s="3"/>
      <c r="F12" s="3"/>
      <c r="G12" s="3"/>
      <c r="H12" s="3"/>
      <c r="I12" s="3"/>
      <c r="K12" s="3">
        <f>N11*$N$7</f>
        <v>607301.07974262338</v>
      </c>
      <c r="L12" s="11">
        <f>$L$8</f>
        <v>1480008.7726711251</v>
      </c>
      <c r="M12" s="11">
        <f t="shared" si="2"/>
        <v>872707.69292850175</v>
      </c>
      <c r="N12" s="11">
        <f t="shared" si="3"/>
        <v>2281798.3016666113</v>
      </c>
      <c r="O12" s="3"/>
      <c r="P12" s="3"/>
    </row>
    <row r="13" spans="2:16" x14ac:dyDescent="0.3">
      <c r="C13" s="4" t="s">
        <v>4</v>
      </c>
      <c r="D13" s="4"/>
      <c r="E13" s="4"/>
      <c r="F13" s="4"/>
      <c r="G13" s="4"/>
      <c r="H13" s="4"/>
      <c r="I13" s="4"/>
      <c r="K13" s="3">
        <f>N12*$N$7</f>
        <v>439288.61594535643</v>
      </c>
      <c r="L13" s="11">
        <f>$L$8</f>
        <v>1480008.7726711251</v>
      </c>
      <c r="M13" s="11">
        <f t="shared" si="2"/>
        <v>1040720.1567257687</v>
      </c>
      <c r="N13" s="11">
        <f t="shared" si="3"/>
        <v>1241078.1449408426</v>
      </c>
      <c r="O13" s="3"/>
      <c r="P13" s="3"/>
    </row>
    <row r="14" spans="2:16" x14ac:dyDescent="0.3">
      <c r="C14" s="3" t="s">
        <v>5</v>
      </c>
      <c r="D14" s="3"/>
      <c r="E14" s="5">
        <v>-9000000</v>
      </c>
      <c r="F14" s="5">
        <f>E14*1.05</f>
        <v>-9450000</v>
      </c>
      <c r="G14" s="5">
        <f t="shared" ref="G14:I14" si="4">F14*1.05</f>
        <v>-9922500</v>
      </c>
      <c r="H14" s="5">
        <f t="shared" si="4"/>
        <v>-10418625</v>
      </c>
      <c r="I14" s="5">
        <f t="shared" si="4"/>
        <v>-10939556.25</v>
      </c>
      <c r="K14" s="3">
        <f>N13*$N$7</f>
        <v>238930.6277302813</v>
      </c>
      <c r="L14" s="11">
        <f>$L$8</f>
        <v>1480008.7726711251</v>
      </c>
      <c r="M14" s="11">
        <f t="shared" si="2"/>
        <v>1241078.1449408438</v>
      </c>
      <c r="N14" s="11">
        <f t="shared" si="3"/>
        <v>0</v>
      </c>
      <c r="O14" s="3"/>
      <c r="P14" s="3"/>
    </row>
    <row r="15" spans="2:16" x14ac:dyDescent="0.3">
      <c r="B15">
        <v>-1000</v>
      </c>
      <c r="C15" s="3" t="s">
        <v>6</v>
      </c>
      <c r="D15" s="3"/>
      <c r="E15" s="5">
        <f>$B$15*E9*1.025^(E7-1)</f>
        <v>-1500000</v>
      </c>
      <c r="F15" s="5">
        <f>$B$15*F9*1.025^(F7-1)</f>
        <v>-1660499.9999999998</v>
      </c>
      <c r="G15" s="5">
        <f t="shared" ref="G15:I15" si="5">$B$15*G9*1.025^(G7-1)</f>
        <v>-1838173.5</v>
      </c>
      <c r="H15" s="5">
        <f t="shared" si="5"/>
        <v>-2110223.1780000003</v>
      </c>
      <c r="I15" s="5">
        <f t="shared" si="5"/>
        <v>-2422536.2083440004</v>
      </c>
    </row>
    <row r="16" spans="2:16" x14ac:dyDescent="0.3">
      <c r="C16" s="3" t="s">
        <v>7</v>
      </c>
      <c r="D16" s="3"/>
      <c r="E16" s="5">
        <f>-(2000000+1500000)/12</f>
        <v>-291666.66666666669</v>
      </c>
      <c r="F16" s="5">
        <f t="shared" ref="F16:I16" si="6">-(2000000+1500000)/12</f>
        <v>-291666.66666666669</v>
      </c>
      <c r="G16" s="5">
        <f t="shared" si="6"/>
        <v>-291666.66666666669</v>
      </c>
      <c r="H16" s="5">
        <f t="shared" si="6"/>
        <v>-291666.66666666669</v>
      </c>
      <c r="I16" s="5">
        <f t="shared" si="6"/>
        <v>-291666.66666666669</v>
      </c>
    </row>
    <row r="17" spans="2:11" x14ac:dyDescent="0.3">
      <c r="C17" s="3" t="s">
        <v>12</v>
      </c>
      <c r="D17" s="3"/>
      <c r="E17" s="5">
        <v>-866333.70281249797</v>
      </c>
      <c r="F17" s="5">
        <v>-748189.83712486597</v>
      </c>
      <c r="G17" s="5">
        <v>-607301.07974262303</v>
      </c>
      <c r="H17" s="5">
        <v>-439288.61594535602</v>
      </c>
      <c r="I17" s="5">
        <v>-238930.627730281</v>
      </c>
    </row>
    <row r="18" spans="2:11" x14ac:dyDescent="0.3">
      <c r="C18" s="3" t="s">
        <v>16</v>
      </c>
      <c r="D18" s="3"/>
      <c r="E18" s="5">
        <v>-300000</v>
      </c>
      <c r="F18" s="5">
        <f>E18*1.025</f>
        <v>-307500</v>
      </c>
      <c r="G18" s="5">
        <f t="shared" ref="G18:I18" si="7">F18*1.025</f>
        <v>-315187.5</v>
      </c>
      <c r="H18" s="5">
        <f t="shared" si="7"/>
        <v>-323067.1875</v>
      </c>
      <c r="I18" s="5">
        <f t="shared" si="7"/>
        <v>-331143.8671875</v>
      </c>
    </row>
    <row r="19" spans="2:11" x14ac:dyDescent="0.3">
      <c r="C19" s="3" t="s">
        <v>17</v>
      </c>
      <c r="D19" s="3"/>
      <c r="E19" s="5">
        <f>SUM(E11:E18)</f>
        <v>41999.630520835286</v>
      </c>
      <c r="F19" s="5">
        <f t="shared" ref="F19:I19" si="8">SUM(F11:F18)</f>
        <v>826143.49620846729</v>
      </c>
      <c r="G19" s="5">
        <f t="shared" si="8"/>
        <v>1730559.2535907123</v>
      </c>
      <c r="H19" s="5">
        <f t="shared" si="8"/>
        <v>3298914.7758879797</v>
      </c>
      <c r="I19" s="5">
        <f t="shared" si="8"/>
        <v>5156456.0468235547</v>
      </c>
      <c r="K19" s="1"/>
    </row>
    <row r="20" spans="2:11" x14ac:dyDescent="0.3">
      <c r="B20">
        <v>-0.25</v>
      </c>
      <c r="C20" s="3" t="s">
        <v>18</v>
      </c>
      <c r="D20" s="3"/>
      <c r="E20" s="5">
        <f>$B$20*E19</f>
        <v>-10499.907630208822</v>
      </c>
      <c r="F20" s="5">
        <f t="shared" ref="F20:I20" si="9">$B$20*F19</f>
        <v>-206535.87405211682</v>
      </c>
      <c r="G20" s="5">
        <f t="shared" si="9"/>
        <v>-432639.81339767808</v>
      </c>
      <c r="H20" s="5">
        <f t="shared" si="9"/>
        <v>-824728.69397199492</v>
      </c>
      <c r="I20" s="5">
        <f t="shared" si="9"/>
        <v>-1289114.0117058887</v>
      </c>
    </row>
    <row r="21" spans="2:11" x14ac:dyDescent="0.3">
      <c r="C21" s="3" t="s">
        <v>19</v>
      </c>
      <c r="D21" s="3"/>
      <c r="E21" s="6">
        <f>E19+E20</f>
        <v>31499.722890626465</v>
      </c>
      <c r="F21" s="6">
        <f t="shared" ref="F21:I21" si="10">F19+F20</f>
        <v>619607.62215635041</v>
      </c>
      <c r="G21" s="6">
        <f t="shared" si="10"/>
        <v>1297919.4401930342</v>
      </c>
      <c r="H21" s="6">
        <f t="shared" si="10"/>
        <v>2474186.0819159849</v>
      </c>
      <c r="I21" s="6">
        <f t="shared" si="10"/>
        <v>3867342.0351176662</v>
      </c>
    </row>
    <row r="22" spans="2:11" x14ac:dyDescent="0.3">
      <c r="C22" s="3" t="s">
        <v>7</v>
      </c>
      <c r="D22" s="3"/>
      <c r="E22" s="6">
        <f>-E16</f>
        <v>291666.66666666669</v>
      </c>
      <c r="F22" s="6">
        <f t="shared" ref="F22:I22" si="11">-F16</f>
        <v>291666.66666666669</v>
      </c>
      <c r="G22" s="6">
        <f t="shared" si="11"/>
        <v>291666.66666666669</v>
      </c>
      <c r="H22" s="6">
        <f t="shared" si="11"/>
        <v>291666.66666666669</v>
      </c>
      <c r="I22" s="6">
        <f t="shared" si="11"/>
        <v>291666.66666666669</v>
      </c>
    </row>
    <row r="23" spans="2:11" x14ac:dyDescent="0.3">
      <c r="C23" s="3" t="s">
        <v>20</v>
      </c>
      <c r="D23" s="3"/>
      <c r="E23" s="5">
        <v>-613675.06985862798</v>
      </c>
      <c r="F23" s="5">
        <v>-731818.93554625905</v>
      </c>
      <c r="G23" s="5">
        <v>-872707.69292850199</v>
      </c>
      <c r="H23" s="5">
        <v>-1040720.15672577</v>
      </c>
      <c r="I23" s="5">
        <v>-1241078.1449408401</v>
      </c>
    </row>
    <row r="24" spans="2:11" x14ac:dyDescent="0.3">
      <c r="C24" s="4" t="s">
        <v>21</v>
      </c>
      <c r="D24" s="4"/>
      <c r="E24" s="4"/>
      <c r="F24" s="4"/>
      <c r="G24" s="4"/>
      <c r="H24" s="4"/>
      <c r="I24" s="4"/>
    </row>
    <row r="25" spans="2:11" x14ac:dyDescent="0.3">
      <c r="C25" s="3" t="s">
        <v>22</v>
      </c>
      <c r="D25" s="5">
        <v>-1000000</v>
      </c>
      <c r="E25" s="5"/>
      <c r="F25" s="3"/>
      <c r="G25" s="3"/>
      <c r="H25" s="3"/>
      <c r="I25" s="3"/>
    </row>
    <row r="26" spans="2:11" x14ac:dyDescent="0.3">
      <c r="C26" s="3" t="s">
        <v>23</v>
      </c>
      <c r="D26" s="5">
        <v>-1500000</v>
      </c>
      <c r="E26" s="5"/>
      <c r="F26" s="3"/>
      <c r="G26" s="3"/>
      <c r="H26" s="3"/>
      <c r="I26" s="3"/>
    </row>
    <row r="27" spans="2:11" x14ac:dyDescent="0.3">
      <c r="C27" s="3" t="s">
        <v>24</v>
      </c>
      <c r="D27" s="5">
        <v>-2000000</v>
      </c>
      <c r="E27" s="5"/>
      <c r="F27" s="3"/>
      <c r="G27" s="3"/>
      <c r="H27" s="3"/>
      <c r="I27" s="5">
        <f>-(SUM(D25:D27)*0.7)</f>
        <v>3150000</v>
      </c>
    </row>
    <row r="28" spans="2:11" x14ac:dyDescent="0.3">
      <c r="C28" s="3" t="s">
        <v>25</v>
      </c>
      <c r="D28" s="5">
        <f>1.5*E15</f>
        <v>-2250000</v>
      </c>
      <c r="E28" s="5"/>
      <c r="F28" s="3"/>
      <c r="G28" s="3"/>
      <c r="H28" s="3"/>
      <c r="I28" s="6">
        <f>-D28*0.85</f>
        <v>1912500</v>
      </c>
    </row>
    <row r="29" spans="2:11" x14ac:dyDescent="0.3">
      <c r="C29" s="3" t="s">
        <v>8</v>
      </c>
      <c r="D29" s="5">
        <f>L7</f>
        <v>4500000</v>
      </c>
      <c r="E29" s="5"/>
      <c r="F29" s="3"/>
      <c r="G29" s="3"/>
      <c r="H29" s="3"/>
      <c r="I29" s="3"/>
    </row>
    <row r="30" spans="2:11" x14ac:dyDescent="0.3">
      <c r="C30" s="3" t="s">
        <v>26</v>
      </c>
      <c r="D30" s="5">
        <f>SUM(D25:D29)</f>
        <v>-2250000</v>
      </c>
      <c r="E30" s="5">
        <f>SUM(E21:E29)</f>
        <v>-290508.68030133483</v>
      </c>
      <c r="F30" s="6">
        <f>SUM(F21:F29)</f>
        <v>179455.35327675811</v>
      </c>
      <c r="G30" s="6">
        <f t="shared" ref="G30:I30" si="12">SUM(G21:G29)</f>
        <v>716878.413931199</v>
      </c>
      <c r="H30" s="6">
        <f t="shared" si="12"/>
        <v>1725132.5918568815</v>
      </c>
      <c r="I30" s="6">
        <f>SUM(I21:I29)</f>
        <v>7980430.5568434931</v>
      </c>
    </row>
    <row r="31" spans="2:11" x14ac:dyDescent="0.3">
      <c r="C31" s="7" t="s">
        <v>27</v>
      </c>
      <c r="D31" s="8">
        <f>NPV(F33,E30:I30)+D30</f>
        <v>3283327.9442483876</v>
      </c>
      <c r="E31" s="3"/>
      <c r="F31" s="3"/>
      <c r="G31" s="3"/>
      <c r="H31" s="3"/>
      <c r="I31" s="3"/>
    </row>
    <row r="32" spans="2:11" x14ac:dyDescent="0.3">
      <c r="C32" s="7" t="s">
        <v>28</v>
      </c>
      <c r="D32" s="9">
        <f>IRR(D30:I30)</f>
        <v>0.3770042029363736</v>
      </c>
      <c r="E32" s="3"/>
      <c r="F32" s="3"/>
      <c r="G32" s="3"/>
      <c r="H32" s="3"/>
      <c r="I32" s="3"/>
    </row>
    <row r="33" spans="3:6" x14ac:dyDescent="0.3">
      <c r="C33" t="s">
        <v>29</v>
      </c>
      <c r="E33" t="s">
        <v>30</v>
      </c>
      <c r="F33" s="2">
        <f>10%*1.2 +2%</f>
        <v>0.13999999999999999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207070653</dc:creator>
  <cp:lastModifiedBy>207070653</cp:lastModifiedBy>
  <dcterms:created xsi:type="dcterms:W3CDTF">2024-09-05T20:17:03Z</dcterms:created>
  <dcterms:modified xsi:type="dcterms:W3CDTF">2024-09-05T21:24:40Z</dcterms:modified>
</cp:coreProperties>
</file>