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aan\Desktop\git\Apuntes_2024\2024-2\Evaluación de proyectos\Excels\"/>
    </mc:Choice>
  </mc:AlternateContent>
  <xr:revisionPtr revIDLastSave="0" documentId="13_ncr:1_{9C8315BE-3FDC-450C-990C-4222B938AA61}" xr6:coauthVersionLast="47" xr6:coauthVersionMax="47" xr10:uidLastSave="{00000000-0000-0000-0000-000000000000}"/>
  <bookViews>
    <workbookView xWindow="-108" yWindow="-108" windowWidth="23256" windowHeight="12456" xr2:uid="{205D8BC2-9408-4C03-8299-97F6114EB3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" i="1" l="1"/>
  <c r="E83" i="1"/>
  <c r="E82" i="1"/>
  <c r="D82" i="1"/>
  <c r="D72" i="1"/>
  <c r="E78" i="1"/>
  <c r="D78" i="1"/>
  <c r="E72" i="1"/>
  <c r="E73" i="1"/>
  <c r="D73" i="1"/>
  <c r="D32" i="1"/>
  <c r="C37" i="1" s="1"/>
  <c r="F36" i="1"/>
  <c r="D20" i="1"/>
  <c r="E17" i="1"/>
  <c r="D19" i="1" s="1"/>
  <c r="D22" i="1" s="1"/>
  <c r="E9" i="1"/>
  <c r="E10" i="1"/>
  <c r="E11" i="1"/>
  <c r="E8" i="1"/>
  <c r="D79" i="1" l="1"/>
  <c r="D80" i="1" s="1"/>
  <c r="E74" i="1"/>
  <c r="E79" i="1"/>
  <c r="E80" i="1" s="1"/>
  <c r="D74" i="1"/>
  <c r="D75" i="1" s="1"/>
  <c r="D76" i="1" s="1"/>
  <c r="E75" i="1"/>
  <c r="E76" i="1" s="1"/>
  <c r="D33" i="1"/>
  <c r="D40" i="1" l="1"/>
  <c r="D57" i="1"/>
  <c r="E57" i="1" s="1"/>
  <c r="D58" i="1"/>
  <c r="E58" i="1" s="1"/>
  <c r="D56" i="1"/>
  <c r="E56" i="1" s="1"/>
  <c r="D43" i="1"/>
  <c r="D41" i="1"/>
  <c r="D38" i="1"/>
  <c r="D37" i="1"/>
  <c r="E37" i="1" s="1"/>
  <c r="F37" i="1" s="1"/>
  <c r="C38" i="1" s="1"/>
  <c r="D42" i="1"/>
  <c r="D44" i="1"/>
  <c r="D39" i="1"/>
  <c r="E38" i="1" l="1"/>
  <c r="F38" i="1" s="1"/>
  <c r="C39" i="1"/>
  <c r="E39" i="1" s="1"/>
  <c r="F39" i="1" s="1"/>
  <c r="G47" i="1" s="1"/>
  <c r="E66" i="1" l="1"/>
  <c r="F49" i="1"/>
  <c r="C40" i="1"/>
  <c r="E40" i="1" s="1"/>
  <c r="F40" i="1" s="1"/>
  <c r="C41" i="1" s="1"/>
  <c r="E41" i="1" s="1"/>
  <c r="F41" i="1" s="1"/>
  <c r="C42" i="1" s="1"/>
  <c r="E42" i="1" s="1"/>
  <c r="F42" i="1" s="1"/>
  <c r="C43" i="1" s="1"/>
  <c r="E43" i="1" s="1"/>
  <c r="C50" i="1" l="1"/>
  <c r="D59" i="1"/>
  <c r="E59" i="1" s="1"/>
  <c r="D51" i="1"/>
  <c r="D60" i="1"/>
  <c r="E60" i="1" s="1"/>
  <c r="D61" i="1"/>
  <c r="E61" i="1" s="1"/>
  <c r="D50" i="1"/>
  <c r="D52" i="1"/>
  <c r="F43" i="1"/>
  <c r="C44" i="1" s="1"/>
  <c r="E44" i="1" s="1"/>
  <c r="F44" i="1" s="1"/>
  <c r="E62" i="1" l="1"/>
  <c r="E50" i="1"/>
  <c r="F50" i="1" s="1"/>
  <c r="C51" i="1" s="1"/>
  <c r="E51" i="1" s="1"/>
  <c r="F51" i="1" s="1"/>
  <c r="C52" i="1" s="1"/>
  <c r="E52" i="1" s="1"/>
  <c r="F52" i="1" s="1"/>
</calcChain>
</file>

<file path=xl/sharedStrings.xml><?xml version="1.0" encoding="utf-8"?>
<sst xmlns="http://schemas.openxmlformats.org/spreadsheetml/2006/main" count="67" uniqueCount="61">
  <si>
    <t>EJEMPLO 1</t>
  </si>
  <si>
    <t>Tasa nominal anual</t>
  </si>
  <si>
    <t>Tasa real efectiva mensual</t>
  </si>
  <si>
    <t>Tasa real efectiva trimestral</t>
  </si>
  <si>
    <t>Tasa real efectiva semestral</t>
  </si>
  <si>
    <t>Tasa real efectiva anual</t>
  </si>
  <si>
    <t>Periodos requeridos</t>
  </si>
  <si>
    <t>EJEMPLO 2</t>
  </si>
  <si>
    <t>Compuesta trimestral</t>
  </si>
  <si>
    <t>Compuesta mensual</t>
  </si>
  <si>
    <t>Futuro depositando $500 cada 6 meses</t>
  </si>
  <si>
    <t>* Semestral ya que es cada 6 meses, y 2 porque en 1 semestre caben 2 trimestres</t>
  </si>
  <si>
    <t>14 periodos porque por 7 años se paga semestral</t>
  </si>
  <si>
    <t>Tasa calculada</t>
  </si>
  <si>
    <t>Numero de periodos</t>
  </si>
  <si>
    <t>monto</t>
  </si>
  <si>
    <t>EJEMPLO 3</t>
  </si>
  <si>
    <t>Interés anual</t>
  </si>
  <si>
    <t>Compuesta semestral</t>
  </si>
  <si>
    <t>Tasa real efectiva</t>
  </si>
  <si>
    <t>Periodo (años)</t>
  </si>
  <si>
    <t>Cuota</t>
  </si>
  <si>
    <t>Monto Crédito (Valor Actual)</t>
  </si>
  <si>
    <t>Amortización</t>
  </si>
  <si>
    <t>Saldo</t>
  </si>
  <si>
    <t>Intereses</t>
  </si>
  <si>
    <t>TASA INTERÉS</t>
  </si>
  <si>
    <t>CUOTA</t>
  </si>
  <si>
    <t>NUEVO CRÉDITO BCI</t>
  </si>
  <si>
    <t>INTERES</t>
  </si>
  <si>
    <t>AMORTIZACIÓN</t>
  </si>
  <si>
    <t>SALDO</t>
  </si>
  <si>
    <t>TASA</t>
  </si>
  <si>
    <t>3 cuotas del BCI</t>
  </si>
  <si>
    <t>3 cuotas del edwards</t>
  </si>
  <si>
    <t>TASA DE INTERES 3% ANUAL</t>
  </si>
  <si>
    <t>Valor total pagado en valor presente</t>
  </si>
  <si>
    <t>MULTA =</t>
  </si>
  <si>
    <t>Por mes -&gt;</t>
  </si>
  <si>
    <t>Cantidad de meses</t>
  </si>
  <si>
    <t>EJEMPLO 4</t>
  </si>
  <si>
    <t>HOMBRE</t>
  </si>
  <si>
    <t>MUJER</t>
  </si>
  <si>
    <t>SUELDO</t>
  </si>
  <si>
    <t>7% ISAPRE</t>
  </si>
  <si>
    <t>13% AFP</t>
  </si>
  <si>
    <t>AFECTO IMPUESTO</t>
  </si>
  <si>
    <t>IMPUESTO 10%</t>
  </si>
  <si>
    <t>SUELO LIQUIDO</t>
  </si>
  <si>
    <t>TASA INTERES MES</t>
  </si>
  <si>
    <t>CALCULO FONDO</t>
  </si>
  <si>
    <t>MESES</t>
  </si>
  <si>
    <t>De acumulación vida laboral</t>
  </si>
  <si>
    <t xml:space="preserve">JUBILACIÓN </t>
  </si>
  <si>
    <t>de 65 a 85 años HOMBRE</t>
  </si>
  <si>
    <t>de 60 a 90 años MUJER</t>
  </si>
  <si>
    <t>INCREMENTO DE FONDO</t>
  </si>
  <si>
    <t>APV APORTE ADICIONAL</t>
  </si>
  <si>
    <t>CADA MES HAY QUE PONER ESO MÁS A LA AFP</t>
  </si>
  <si>
    <t>PARA TENER 300000 MAS DE JUBILACIÓN osea tener 1200000</t>
  </si>
  <si>
    <t>PARA TENER 500000 MAS DE JUBILACIÓN osea tener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</si>
</sst>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&quot;$&quot;\-#,##0"/>
    <numFmt numFmtId="8" formatCode="&quot;$&quot;#,##0.00;[Red]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 &quot;$&quot;* #,##0.00_ ;_ &quot;$&quot;* \-#,##0.00_ ;_ &quot;$&quot;* &quot;-&quot;_ ;_ @_ "/>
    <numFmt numFmtId="169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2" borderId="10" xfId="0" applyFill="1" applyBorder="1" applyAlignment="1">
      <alignment horizontal="center"/>
    </xf>
    <xf numFmtId="9" fontId="0" fillId="2" borderId="11" xfId="0" applyNumberFormat="1" applyFill="1" applyBorder="1"/>
    <xf numFmtId="0" fontId="0" fillId="3" borderId="9" xfId="0" applyFill="1" applyBorder="1"/>
    <xf numFmtId="0" fontId="0" fillId="4" borderId="9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0" xfId="0" applyFill="1" applyBorder="1"/>
    <xf numFmtId="0" fontId="0" fillId="3" borderId="16" xfId="0" applyFill="1" applyBorder="1"/>
    <xf numFmtId="0" fontId="0" fillId="3" borderId="11" xfId="0" applyFill="1" applyBorder="1"/>
    <xf numFmtId="0" fontId="0" fillId="3" borderId="17" xfId="0" applyFill="1" applyBorder="1"/>
    <xf numFmtId="10" fontId="0" fillId="4" borderId="18" xfId="2" applyNumberFormat="1" applyFont="1" applyFill="1" applyBorder="1"/>
    <xf numFmtId="0" fontId="0" fillId="3" borderId="12" xfId="0" applyFill="1" applyBorder="1"/>
    <xf numFmtId="0" fontId="0" fillId="4" borderId="19" xfId="0" applyFill="1" applyBorder="1"/>
    <xf numFmtId="10" fontId="0" fillId="4" borderId="13" xfId="2" applyNumberFormat="1" applyFont="1" applyFill="1" applyBorder="1"/>
    <xf numFmtId="10" fontId="0" fillId="0" borderId="0" xfId="2" applyNumberFormat="1" applyFont="1" applyFill="1" applyBorder="1"/>
    <xf numFmtId="0" fontId="0" fillId="0" borderId="5" xfId="0" applyBorder="1"/>
    <xf numFmtId="0" fontId="0" fillId="0" borderId="8" xfId="0" applyBorder="1"/>
    <xf numFmtId="0" fontId="0" fillId="5" borderId="9" xfId="0" applyFill="1" applyBorder="1"/>
    <xf numFmtId="42" fontId="0" fillId="5" borderId="9" xfId="1" applyFont="1" applyFill="1" applyBorder="1"/>
    <xf numFmtId="0" fontId="0" fillId="2" borderId="9" xfId="0" applyFill="1" applyBorder="1"/>
    <xf numFmtId="9" fontId="0" fillId="2" borderId="16" xfId="0" applyNumberFormat="1" applyFill="1" applyBorder="1"/>
    <xf numFmtId="0" fontId="0" fillId="0" borderId="11" xfId="0" applyBorder="1"/>
    <xf numFmtId="0" fontId="0" fillId="2" borderId="17" xfId="0" applyFill="1" applyBorder="1"/>
    <xf numFmtId="0" fontId="0" fillId="0" borderId="18" xfId="0" applyBorder="1"/>
    <xf numFmtId="0" fontId="0" fillId="3" borderId="18" xfId="0" applyFill="1" applyBorder="1"/>
    <xf numFmtId="0" fontId="0" fillId="5" borderId="10" xfId="0" applyFill="1" applyBorder="1"/>
    <xf numFmtId="10" fontId="0" fillId="5" borderId="16" xfId="0" applyNumberFormat="1" applyFill="1" applyBorder="1"/>
    <xf numFmtId="0" fontId="0" fillId="0" borderId="16" xfId="0" applyBorder="1"/>
    <xf numFmtId="0" fontId="0" fillId="5" borderId="17" xfId="0" applyFill="1" applyBorder="1"/>
    <xf numFmtId="0" fontId="0" fillId="7" borderId="10" xfId="0" applyFill="1" applyBorder="1"/>
    <xf numFmtId="0" fontId="0" fillId="7" borderId="17" xfId="0" applyFill="1" applyBorder="1"/>
    <xf numFmtId="9" fontId="0" fillId="7" borderId="18" xfId="0" applyNumberFormat="1" applyFill="1" applyBorder="1"/>
    <xf numFmtId="0" fontId="0" fillId="7" borderId="18" xfId="0" applyFill="1" applyBorder="1"/>
    <xf numFmtId="0" fontId="0" fillId="7" borderId="12" xfId="0" applyFill="1" applyBorder="1"/>
    <xf numFmtId="0" fontId="0" fillId="7" borderId="13" xfId="0" applyFill="1" applyBorder="1"/>
    <xf numFmtId="42" fontId="0" fillId="7" borderId="11" xfId="1" applyFont="1" applyFill="1" applyBorder="1"/>
    <xf numFmtId="0" fontId="0" fillId="8" borderId="9" xfId="0" applyFill="1" applyBorder="1"/>
    <xf numFmtId="8" fontId="0" fillId="8" borderId="9" xfId="0" applyNumberFormat="1" applyFill="1" applyBorder="1"/>
    <xf numFmtId="0" fontId="0" fillId="8" borderId="10" xfId="0" applyFill="1" applyBorder="1"/>
    <xf numFmtId="0" fontId="0" fillId="8" borderId="16" xfId="0" applyFill="1" applyBorder="1"/>
    <xf numFmtId="0" fontId="0" fillId="8" borderId="11" xfId="0" applyFill="1" applyBorder="1"/>
    <xf numFmtId="0" fontId="0" fillId="8" borderId="17" xfId="0" applyFill="1" applyBorder="1"/>
    <xf numFmtId="42" fontId="0" fillId="8" borderId="18" xfId="0" applyNumberFormat="1" applyFill="1" applyBorder="1"/>
    <xf numFmtId="44" fontId="0" fillId="8" borderId="17" xfId="0" applyNumberFormat="1" applyFill="1" applyBorder="1"/>
    <xf numFmtId="44" fontId="0" fillId="8" borderId="18" xfId="0" applyNumberFormat="1" applyFill="1" applyBorder="1"/>
    <xf numFmtId="44" fontId="0" fillId="8" borderId="12" xfId="0" applyNumberFormat="1" applyFill="1" applyBorder="1"/>
    <xf numFmtId="8" fontId="0" fillId="8" borderId="19" xfId="0" applyNumberFormat="1" applyFill="1" applyBorder="1"/>
    <xf numFmtId="44" fontId="0" fillId="8" borderId="13" xfId="0" applyNumberFormat="1" applyFill="1" applyBorder="1"/>
    <xf numFmtId="10" fontId="0" fillId="7" borderId="11" xfId="2" applyNumberFormat="1" applyFont="1" applyFill="1" applyBorder="1"/>
    <xf numFmtId="8" fontId="0" fillId="7" borderId="13" xfId="0" applyNumberFormat="1" applyFill="1" applyBorder="1"/>
    <xf numFmtId="44" fontId="2" fillId="8" borderId="18" xfId="0" applyNumberFormat="1" applyFont="1" applyFill="1" applyBorder="1"/>
    <xf numFmtId="0" fontId="0" fillId="6" borderId="9" xfId="0" applyFill="1" applyBorder="1"/>
    <xf numFmtId="8" fontId="0" fillId="6" borderId="9" xfId="0" applyNumberFormat="1" applyFill="1" applyBorder="1"/>
    <xf numFmtId="44" fontId="0" fillId="6" borderId="9" xfId="0" applyNumberFormat="1" applyFill="1" applyBorder="1"/>
    <xf numFmtId="0" fontId="0" fillId="6" borderId="10" xfId="0" applyFill="1" applyBorder="1"/>
    <xf numFmtId="0" fontId="0" fillId="6" borderId="16" xfId="0" applyFill="1" applyBorder="1"/>
    <xf numFmtId="9" fontId="0" fillId="6" borderId="16" xfId="0" applyNumberFormat="1" applyFill="1" applyBorder="1"/>
    <xf numFmtId="8" fontId="0" fillId="6" borderId="11" xfId="0" applyNumberFormat="1" applyFill="1" applyBorder="1"/>
    <xf numFmtId="0" fontId="0" fillId="6" borderId="17" xfId="0" applyFill="1" applyBorder="1"/>
    <xf numFmtId="0" fontId="0" fillId="6" borderId="18" xfId="0" applyFill="1" applyBorder="1"/>
    <xf numFmtId="44" fontId="0" fillId="6" borderId="17" xfId="0" applyNumberFormat="1" applyFill="1" applyBorder="1"/>
    <xf numFmtId="44" fontId="0" fillId="6" borderId="12" xfId="0" applyNumberFormat="1" applyFill="1" applyBorder="1"/>
    <xf numFmtId="8" fontId="0" fillId="6" borderId="19" xfId="0" applyNumberFormat="1" applyFill="1" applyBorder="1"/>
    <xf numFmtId="1" fontId="0" fillId="6" borderId="19" xfId="0" applyNumberFormat="1" applyFill="1" applyBorder="1"/>
    <xf numFmtId="0" fontId="0" fillId="6" borderId="13" xfId="0" applyFill="1" applyBorder="1"/>
    <xf numFmtId="0" fontId="0" fillId="5" borderId="17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164" fontId="0" fillId="5" borderId="9" xfId="1" applyNumberFormat="1" applyFont="1" applyFill="1" applyBorder="1" applyAlignment="1">
      <alignment horizontal="center" vertical="center" wrapText="1"/>
    </xf>
    <xf numFmtId="164" fontId="0" fillId="5" borderId="19" xfId="1" applyNumberFormat="1" applyFont="1" applyFill="1" applyBorder="1" applyAlignment="1">
      <alignment horizontal="center" vertical="center" wrapText="1"/>
    </xf>
    <xf numFmtId="0" fontId="0" fillId="6" borderId="9" xfId="2" applyNumberFormat="1" applyFont="1" applyFill="1" applyBorder="1" applyAlignment="1">
      <alignment horizontal="center" wrapText="1"/>
    </xf>
    <xf numFmtId="0" fontId="0" fillId="6" borderId="18" xfId="2" applyNumberFormat="1" applyFont="1" applyFill="1" applyBorder="1" applyAlignment="1">
      <alignment horizontal="center" wrapText="1"/>
    </xf>
    <xf numFmtId="0" fontId="0" fillId="6" borderId="19" xfId="2" applyNumberFormat="1" applyFont="1" applyFill="1" applyBorder="1" applyAlignment="1">
      <alignment horizontal="center" wrapText="1"/>
    </xf>
    <xf numFmtId="0" fontId="0" fillId="6" borderId="13" xfId="2" applyNumberFormat="1" applyFont="1" applyFill="1" applyBorder="1" applyAlignment="1">
      <alignment horizontal="center" wrapText="1"/>
    </xf>
    <xf numFmtId="0" fontId="0" fillId="0" borderId="0" xfId="0" applyBorder="1"/>
    <xf numFmtId="0" fontId="0" fillId="5" borderId="11" xfId="0" applyFill="1" applyBorder="1"/>
    <xf numFmtId="8" fontId="0" fillId="5" borderId="18" xfId="0" applyNumberFormat="1" applyFill="1" applyBorder="1"/>
    <xf numFmtId="0" fontId="0" fillId="5" borderId="12" xfId="0" applyFill="1" applyBorder="1"/>
    <xf numFmtId="8" fontId="0" fillId="5" borderId="13" xfId="0" applyNumberFormat="1" applyFill="1" applyBorder="1"/>
    <xf numFmtId="8" fontId="0" fillId="5" borderId="17" xfId="0" applyNumberFormat="1" applyFill="1" applyBorder="1"/>
    <xf numFmtId="0" fontId="0" fillId="0" borderId="17" xfId="0" applyFill="1" applyBorder="1"/>
    <xf numFmtId="0" fontId="0" fillId="0" borderId="18" xfId="0" applyFill="1" applyBorder="1"/>
    <xf numFmtId="0" fontId="0" fillId="8" borderId="1" xfId="0" applyFill="1" applyBorder="1"/>
    <xf numFmtId="9" fontId="0" fillId="8" borderId="3" xfId="0" applyNumberFormat="1" applyFill="1" applyBorder="1"/>
    <xf numFmtId="0" fontId="0" fillId="8" borderId="6" xfId="0" applyFill="1" applyBorder="1"/>
    <xf numFmtId="0" fontId="0" fillId="8" borderId="5" xfId="0" applyFill="1" applyBorder="1"/>
    <xf numFmtId="0" fontId="0" fillId="8" borderId="20" xfId="0" applyFill="1" applyBorder="1"/>
    <xf numFmtId="44" fontId="0" fillId="8" borderId="21" xfId="0" applyNumberFormat="1" applyFill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3" fillId="9" borderId="9" xfId="0" applyFont="1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6" fontId="0" fillId="9" borderId="9" xfId="0" applyNumberFormat="1" applyFill="1" applyBorder="1"/>
    <xf numFmtId="0" fontId="0" fillId="7" borderId="9" xfId="0" applyFill="1" applyBorder="1" applyAlignment="1">
      <alignment horizontal="right"/>
    </xf>
    <xf numFmtId="169" fontId="0" fillId="7" borderId="9" xfId="2" applyNumberFormat="1" applyFont="1" applyFill="1" applyBorder="1"/>
    <xf numFmtId="0" fontId="0" fillId="7" borderId="9" xfId="0" applyFont="1" applyFill="1" applyBorder="1" applyAlignment="1">
      <alignment horizontal="right"/>
    </xf>
    <xf numFmtId="0" fontId="0" fillId="7" borderId="9" xfId="0" applyFill="1" applyBorder="1"/>
    <xf numFmtId="0" fontId="0" fillId="0" borderId="9" xfId="0" applyFill="1" applyBorder="1" applyAlignment="1">
      <alignment horizontal="right" wrapText="1"/>
    </xf>
    <xf numFmtId="8" fontId="0" fillId="0" borderId="0" xfId="0" applyNumberFormat="1" applyBorder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C92F-EB7B-497D-B4AB-EB2EEBD3C52E}">
  <dimension ref="B3:K84"/>
  <sheetViews>
    <sheetView tabSelected="1" topLeftCell="A64" workbookViewId="0">
      <selection activeCell="B85" sqref="B85"/>
    </sheetView>
  </sheetViews>
  <sheetFormatPr baseColWidth="10" defaultRowHeight="14.4" x14ac:dyDescent="0.3"/>
  <cols>
    <col min="3" max="3" width="23.44140625" bestFit="1" customWidth="1"/>
    <col min="4" max="4" width="17.109375" bestFit="1" customWidth="1"/>
    <col min="5" max="5" width="14.6640625" bestFit="1" customWidth="1"/>
    <col min="6" max="6" width="22" customWidth="1"/>
    <col min="7" max="7" width="14.33203125" bestFit="1" customWidth="1"/>
  </cols>
  <sheetData>
    <row r="3" spans="2:11" ht="15" thickBot="1" x14ac:dyDescent="0.35"/>
    <row r="4" spans="2:11" ht="15" thickBot="1" x14ac:dyDescent="0.35">
      <c r="B4" s="1" t="s">
        <v>0</v>
      </c>
      <c r="C4" s="2"/>
      <c r="D4" s="2"/>
      <c r="E4" s="2"/>
      <c r="F4" s="3"/>
    </row>
    <row r="5" spans="2:11" x14ac:dyDescent="0.3">
      <c r="B5" s="4"/>
      <c r="C5" s="8" t="s">
        <v>1</v>
      </c>
      <c r="D5" s="9">
        <v>0.12</v>
      </c>
      <c r="F5" s="23"/>
    </row>
    <row r="6" spans="2:11" ht="15" thickBot="1" x14ac:dyDescent="0.35">
      <c r="B6" s="4"/>
      <c r="C6" s="12" t="s">
        <v>9</v>
      </c>
      <c r="D6" s="13">
        <v>12</v>
      </c>
      <c r="F6" s="23"/>
    </row>
    <row r="7" spans="2:11" x14ac:dyDescent="0.3">
      <c r="B7" s="4"/>
      <c r="C7" s="14"/>
      <c r="D7" s="15" t="s">
        <v>6</v>
      </c>
      <c r="E7" s="16"/>
      <c r="F7" s="23"/>
    </row>
    <row r="8" spans="2:11" x14ac:dyDescent="0.3">
      <c r="B8" s="4"/>
      <c r="C8" s="17" t="s">
        <v>2</v>
      </c>
      <c r="D8" s="11">
        <v>1</v>
      </c>
      <c r="E8" s="18">
        <f>(1+$D$5/$D$6)^D8 -1</f>
        <v>1.0000000000000009E-2</v>
      </c>
      <c r="F8" s="23"/>
    </row>
    <row r="9" spans="2:11" x14ac:dyDescent="0.3">
      <c r="B9" s="4"/>
      <c r="C9" s="17" t="s">
        <v>3</v>
      </c>
      <c r="D9" s="11">
        <v>3</v>
      </c>
      <c r="E9" s="18">
        <f t="shared" ref="E9:E11" si="0">(1+$D$5/$D$6)^D9 -1</f>
        <v>3.0300999999999911E-2</v>
      </c>
      <c r="F9" s="23"/>
    </row>
    <row r="10" spans="2:11" x14ac:dyDescent="0.3">
      <c r="B10" s="4"/>
      <c r="C10" s="17" t="s">
        <v>4</v>
      </c>
      <c r="D10" s="11">
        <v>6</v>
      </c>
      <c r="E10" s="18">
        <f t="shared" si="0"/>
        <v>6.1520150601000134E-2</v>
      </c>
      <c r="F10" s="23"/>
    </row>
    <row r="11" spans="2:11" ht="15" thickBot="1" x14ac:dyDescent="0.35">
      <c r="B11" s="4"/>
      <c r="C11" s="19" t="s">
        <v>5</v>
      </c>
      <c r="D11" s="20">
        <v>12</v>
      </c>
      <c r="E11" s="18">
        <f t="shared" si="0"/>
        <v>0.12682503013196977</v>
      </c>
      <c r="F11" s="23"/>
    </row>
    <row r="12" spans="2:11" ht="15" thickBot="1" x14ac:dyDescent="0.35">
      <c r="B12" s="4"/>
      <c r="F12" s="23"/>
    </row>
    <row r="13" spans="2:11" ht="15" thickBot="1" x14ac:dyDescent="0.35">
      <c r="B13" s="1" t="s">
        <v>7</v>
      </c>
      <c r="C13" s="2"/>
      <c r="D13" s="2"/>
      <c r="E13" s="2"/>
      <c r="F13" s="2"/>
      <c r="G13" s="2"/>
      <c r="H13" s="2"/>
      <c r="I13" s="2"/>
      <c r="J13" s="2"/>
      <c r="K13" s="3"/>
    </row>
    <row r="14" spans="2:11" x14ac:dyDescent="0.3">
      <c r="B14" s="4"/>
      <c r="C14" s="8" t="s">
        <v>1</v>
      </c>
      <c r="D14" s="28">
        <v>0.2</v>
      </c>
      <c r="E14" s="29"/>
      <c r="K14" s="23"/>
    </row>
    <row r="15" spans="2:11" x14ac:dyDescent="0.3">
      <c r="B15" s="4"/>
      <c r="C15" s="30" t="s">
        <v>8</v>
      </c>
      <c r="D15" s="27">
        <v>4</v>
      </c>
      <c r="E15" s="31"/>
      <c r="K15" s="23"/>
    </row>
    <row r="16" spans="2:11" x14ac:dyDescent="0.3">
      <c r="B16" s="4"/>
      <c r="C16" s="17"/>
      <c r="D16" s="10" t="s">
        <v>6</v>
      </c>
      <c r="E16" s="32"/>
      <c r="K16" s="23"/>
    </row>
    <row r="17" spans="2:11" ht="15" thickBot="1" x14ac:dyDescent="0.35">
      <c r="B17" s="4"/>
      <c r="C17" s="19" t="s">
        <v>4</v>
      </c>
      <c r="D17" s="20">
        <v>2</v>
      </c>
      <c r="E17" s="21">
        <f>(1+$D$14/$D$15)^D17 -1</f>
        <v>0.10250000000000004</v>
      </c>
      <c r="F17" t="s">
        <v>11</v>
      </c>
      <c r="K17" s="23"/>
    </row>
    <row r="18" spans="2:11" ht="15" thickBot="1" x14ac:dyDescent="0.35">
      <c r="B18" s="4"/>
      <c r="E18" s="22"/>
      <c r="K18" s="23"/>
    </row>
    <row r="19" spans="2:11" ht="14.4" customHeight="1" x14ac:dyDescent="0.3">
      <c r="B19" s="4"/>
      <c r="C19" s="33" t="s">
        <v>13</v>
      </c>
      <c r="D19" s="34">
        <f>E17</f>
        <v>0.10250000000000004</v>
      </c>
      <c r="E19" s="35"/>
      <c r="F19" s="29"/>
      <c r="K19" s="23"/>
    </row>
    <row r="20" spans="2:11" x14ac:dyDescent="0.3">
      <c r="B20" s="4"/>
      <c r="C20" s="36" t="s">
        <v>14</v>
      </c>
      <c r="D20" s="25">
        <f>7*D17</f>
        <v>14</v>
      </c>
      <c r="E20" s="7"/>
      <c r="F20" s="31"/>
      <c r="K20" s="23"/>
    </row>
    <row r="21" spans="2:11" x14ac:dyDescent="0.3">
      <c r="B21" s="4"/>
      <c r="C21" s="36" t="s">
        <v>15</v>
      </c>
      <c r="D21" s="26">
        <v>-500</v>
      </c>
      <c r="E21" s="7"/>
      <c r="F21" s="31"/>
      <c r="K21" s="23"/>
    </row>
    <row r="22" spans="2:11" x14ac:dyDescent="0.3">
      <c r="B22" s="4"/>
      <c r="C22" s="73" t="s">
        <v>10</v>
      </c>
      <c r="D22" s="75">
        <f>FV(D19,D20,D21)</f>
        <v>14244.532382725123</v>
      </c>
      <c r="E22" s="77" t="s">
        <v>12</v>
      </c>
      <c r="F22" s="78"/>
      <c r="K22" s="23"/>
    </row>
    <row r="23" spans="2:11" ht="15" thickBot="1" x14ac:dyDescent="0.35">
      <c r="B23" s="4"/>
      <c r="C23" s="74"/>
      <c r="D23" s="76"/>
      <c r="E23" s="79"/>
      <c r="F23" s="80"/>
      <c r="K23" s="23"/>
    </row>
    <row r="24" spans="2:11" ht="15" thickBot="1" x14ac:dyDescent="0.35">
      <c r="B24" s="4"/>
      <c r="I24" s="6"/>
      <c r="J24" s="6"/>
      <c r="K24" s="24"/>
    </row>
    <row r="25" spans="2:11" x14ac:dyDescent="0.3">
      <c r="B25" s="1" t="s">
        <v>16</v>
      </c>
      <c r="C25" s="2"/>
      <c r="D25" s="2"/>
      <c r="E25" s="2"/>
      <c r="F25" s="2"/>
      <c r="G25" s="2"/>
      <c r="H25" s="3"/>
    </row>
    <row r="26" spans="2:11" ht="15" thickBot="1" x14ac:dyDescent="0.35">
      <c r="B26" s="4"/>
      <c r="C26" s="81"/>
      <c r="D26" s="81"/>
      <c r="E26" s="81"/>
      <c r="F26" s="81"/>
      <c r="G26" s="81"/>
      <c r="H26" s="23"/>
    </row>
    <row r="27" spans="2:11" x14ac:dyDescent="0.3">
      <c r="B27" s="4"/>
      <c r="C27" s="37" t="s">
        <v>22</v>
      </c>
      <c r="D27" s="43">
        <v>65000000</v>
      </c>
      <c r="E27" s="81"/>
      <c r="F27" s="81"/>
      <c r="G27" s="81"/>
      <c r="H27" s="23"/>
    </row>
    <row r="28" spans="2:11" x14ac:dyDescent="0.3">
      <c r="B28" s="4"/>
      <c r="C28" s="38" t="s">
        <v>17</v>
      </c>
      <c r="D28" s="39">
        <v>0.08</v>
      </c>
      <c r="E28" s="81"/>
      <c r="F28" s="81"/>
      <c r="G28" s="81"/>
      <c r="H28" s="23"/>
    </row>
    <row r="29" spans="2:11" x14ac:dyDescent="0.3">
      <c r="B29" s="4"/>
      <c r="C29" s="38" t="s">
        <v>18</v>
      </c>
      <c r="D29" s="40">
        <v>2</v>
      </c>
      <c r="E29" s="81"/>
      <c r="F29" s="81"/>
      <c r="G29" s="81"/>
      <c r="H29" s="23"/>
    </row>
    <row r="30" spans="2:11" ht="15" thickBot="1" x14ac:dyDescent="0.35">
      <c r="B30" s="4"/>
      <c r="C30" s="41" t="s">
        <v>20</v>
      </c>
      <c r="D30" s="42">
        <v>8</v>
      </c>
      <c r="E30" s="81"/>
      <c r="F30" s="81"/>
      <c r="G30" s="81"/>
      <c r="H30" s="23"/>
    </row>
    <row r="31" spans="2:11" ht="15" thickBot="1" x14ac:dyDescent="0.35">
      <c r="B31" s="4"/>
      <c r="C31" s="81"/>
      <c r="D31" s="81"/>
      <c r="E31" s="81"/>
      <c r="F31" s="81"/>
      <c r="G31" s="81"/>
      <c r="H31" s="23"/>
    </row>
    <row r="32" spans="2:11" x14ac:dyDescent="0.3">
      <c r="B32" s="4"/>
      <c r="C32" s="37" t="s">
        <v>19</v>
      </c>
      <c r="D32" s="56">
        <f>(1+D28/D29) ^2 -1</f>
        <v>8.1600000000000117E-2</v>
      </c>
      <c r="E32" s="81"/>
      <c r="F32" s="81"/>
      <c r="G32" s="81"/>
      <c r="H32" s="23"/>
    </row>
    <row r="33" spans="2:8" ht="15" thickBot="1" x14ac:dyDescent="0.35">
      <c r="B33" s="4"/>
      <c r="C33" s="41" t="s">
        <v>21</v>
      </c>
      <c r="D33" s="57">
        <f>PMT(D32,D30,-D27)</f>
        <v>11379731.896831045</v>
      </c>
      <c r="E33" s="81"/>
      <c r="F33" s="81"/>
      <c r="G33" s="81"/>
      <c r="H33" s="23"/>
    </row>
    <row r="34" spans="2:8" ht="15" thickBot="1" x14ac:dyDescent="0.35">
      <c r="B34" s="4"/>
      <c r="C34" s="81"/>
      <c r="D34" s="81"/>
      <c r="E34" s="81"/>
      <c r="F34" s="81"/>
      <c r="G34" s="81"/>
      <c r="H34" s="23"/>
    </row>
    <row r="35" spans="2:8" x14ac:dyDescent="0.3">
      <c r="B35" s="4"/>
      <c r="C35" s="46"/>
      <c r="D35" s="47"/>
      <c r="E35" s="47"/>
      <c r="F35" s="48" t="s">
        <v>24</v>
      </c>
      <c r="G35" s="81"/>
      <c r="H35" s="23"/>
    </row>
    <row r="36" spans="2:8" x14ac:dyDescent="0.3">
      <c r="B36" s="4"/>
      <c r="C36" s="49" t="s">
        <v>25</v>
      </c>
      <c r="D36" s="44" t="s">
        <v>21</v>
      </c>
      <c r="E36" s="44" t="s">
        <v>23</v>
      </c>
      <c r="F36" s="50">
        <f>D27</f>
        <v>65000000</v>
      </c>
      <c r="G36" s="81"/>
      <c r="H36" s="23"/>
    </row>
    <row r="37" spans="2:8" x14ac:dyDescent="0.3">
      <c r="B37" s="4">
        <v>1</v>
      </c>
      <c r="C37" s="51">
        <f>$D$32 * F36</f>
        <v>5304000.0000000075</v>
      </c>
      <c r="D37" s="45">
        <f>$D$33</f>
        <v>11379731.896831045</v>
      </c>
      <c r="E37" s="45">
        <f>D37-C37</f>
        <v>6075731.8968310375</v>
      </c>
      <c r="F37" s="52">
        <f>F36-E37</f>
        <v>58924268.103168964</v>
      </c>
      <c r="G37" s="81"/>
      <c r="H37" s="23"/>
    </row>
    <row r="38" spans="2:8" x14ac:dyDescent="0.3">
      <c r="B38" s="4">
        <v>2</v>
      </c>
      <c r="C38" s="51">
        <f t="shared" ref="C38:C41" si="1">$D$32 * F37</f>
        <v>4808220.2772185942</v>
      </c>
      <c r="D38" s="45">
        <f t="shared" ref="D38:D43" si="2">$D$33</f>
        <v>11379731.896831045</v>
      </c>
      <c r="E38" s="45">
        <f t="shared" ref="E38:E41" si="3">D38-C38</f>
        <v>6571511.6196124507</v>
      </c>
      <c r="F38" s="52">
        <f t="shared" ref="F38:F41" si="4">F37-E38</f>
        <v>52352756.483556516</v>
      </c>
      <c r="G38" s="81"/>
      <c r="H38" s="23"/>
    </row>
    <row r="39" spans="2:8" ht="18" x14ac:dyDescent="0.35">
      <c r="B39" s="4">
        <v>3</v>
      </c>
      <c r="C39" s="51">
        <f t="shared" si="1"/>
        <v>4271984.9290582174</v>
      </c>
      <c r="D39" s="45">
        <f t="shared" si="2"/>
        <v>11379731.896831045</v>
      </c>
      <c r="E39" s="45">
        <f t="shared" si="3"/>
        <v>7107746.9677728275</v>
      </c>
      <c r="F39" s="58">
        <f t="shared" si="4"/>
        <v>45245009.51578369</v>
      </c>
      <c r="G39" s="81"/>
      <c r="H39" s="23"/>
    </row>
    <row r="40" spans="2:8" x14ac:dyDescent="0.3">
      <c r="B40" s="4">
        <v>4</v>
      </c>
      <c r="C40" s="51">
        <f t="shared" si="1"/>
        <v>3691992.7764879544</v>
      </c>
      <c r="D40" s="45">
        <f t="shared" si="2"/>
        <v>11379731.896831045</v>
      </c>
      <c r="E40" s="45">
        <f t="shared" si="3"/>
        <v>7687739.120343091</v>
      </c>
      <c r="F40" s="52">
        <f t="shared" si="4"/>
        <v>37557270.395440601</v>
      </c>
      <c r="G40" s="81"/>
      <c r="H40" s="23"/>
    </row>
    <row r="41" spans="2:8" x14ac:dyDescent="0.3">
      <c r="B41" s="4">
        <v>5</v>
      </c>
      <c r="C41" s="51">
        <f t="shared" si="1"/>
        <v>3064673.2642679573</v>
      </c>
      <c r="D41" s="45">
        <f t="shared" si="2"/>
        <v>11379731.896831045</v>
      </c>
      <c r="E41" s="45">
        <f t="shared" si="3"/>
        <v>8315058.6325630881</v>
      </c>
      <c r="F41" s="52">
        <f t="shared" si="4"/>
        <v>29242211.762877513</v>
      </c>
      <c r="G41" s="81"/>
      <c r="H41" s="23"/>
    </row>
    <row r="42" spans="2:8" x14ac:dyDescent="0.3">
      <c r="B42" s="4">
        <v>6</v>
      </c>
      <c r="C42" s="51">
        <f>$D$32 * F41</f>
        <v>2386164.4798508086</v>
      </c>
      <c r="D42" s="45">
        <f>$D$33</f>
        <v>11379731.896831045</v>
      </c>
      <c r="E42" s="45">
        <f>D42-C42</f>
        <v>8993567.4169802368</v>
      </c>
      <c r="F42" s="52">
        <f>F41-E42</f>
        <v>20248644.345897276</v>
      </c>
      <c r="G42" s="81"/>
      <c r="H42" s="23"/>
    </row>
    <row r="43" spans="2:8" x14ac:dyDescent="0.3">
      <c r="B43" s="4">
        <v>7</v>
      </c>
      <c r="C43" s="51">
        <f t="shared" ref="C43" si="5">$D$32 * F42</f>
        <v>1652289.3786252202</v>
      </c>
      <c r="D43" s="45">
        <f t="shared" si="2"/>
        <v>11379731.896831045</v>
      </c>
      <c r="E43" s="45">
        <f t="shared" ref="E43" si="6">D43-C43</f>
        <v>9727442.5182058252</v>
      </c>
      <c r="F43" s="52">
        <f t="shared" ref="F43" si="7">F42-E43</f>
        <v>10521201.827691451</v>
      </c>
      <c r="G43" s="81"/>
      <c r="H43" s="23"/>
    </row>
    <row r="44" spans="2:8" ht="15" thickBot="1" x14ac:dyDescent="0.35">
      <c r="B44" s="4">
        <v>8</v>
      </c>
      <c r="C44" s="53">
        <f>$D$32 * F43</f>
        <v>858530.06913962367</v>
      </c>
      <c r="D44" s="54">
        <f>$D$33</f>
        <v>11379731.896831045</v>
      </c>
      <c r="E44" s="54">
        <f>D44-C44</f>
        <v>10521201.827691421</v>
      </c>
      <c r="F44" s="55">
        <f>F43-E44</f>
        <v>2.9802322387695313E-8</v>
      </c>
      <c r="G44" s="81"/>
      <c r="H44" s="23"/>
    </row>
    <row r="45" spans="2:8" x14ac:dyDescent="0.3">
      <c r="B45" s="4"/>
      <c r="C45" s="81"/>
      <c r="D45" s="81"/>
      <c r="E45" s="81"/>
      <c r="F45" s="81"/>
      <c r="G45" s="81"/>
      <c r="H45" s="23"/>
    </row>
    <row r="46" spans="2:8" ht="15" thickBot="1" x14ac:dyDescent="0.35">
      <c r="B46" s="4"/>
      <c r="C46" s="81"/>
      <c r="D46" s="81"/>
      <c r="E46" s="81"/>
      <c r="F46" s="81"/>
      <c r="G46" s="81"/>
      <c r="H46" s="23"/>
    </row>
    <row r="47" spans="2:8" x14ac:dyDescent="0.3">
      <c r="B47" s="4"/>
      <c r="C47" s="62" t="s">
        <v>28</v>
      </c>
      <c r="D47" s="63" t="s">
        <v>26</v>
      </c>
      <c r="E47" s="64">
        <v>0.05</v>
      </c>
      <c r="F47" s="63" t="s">
        <v>27</v>
      </c>
      <c r="G47" s="65">
        <f>PMT(E47,3,-F39)</f>
        <v>16614355.001017952</v>
      </c>
      <c r="H47" s="23"/>
    </row>
    <row r="48" spans="2:8" x14ac:dyDescent="0.3">
      <c r="B48" s="4"/>
      <c r="C48" s="66"/>
      <c r="D48" s="59"/>
      <c r="E48" s="59"/>
      <c r="F48" s="59" t="s">
        <v>31</v>
      </c>
      <c r="G48" s="67"/>
      <c r="H48" s="23"/>
    </row>
    <row r="49" spans="2:8" x14ac:dyDescent="0.3">
      <c r="B49" s="4"/>
      <c r="C49" s="66" t="s">
        <v>29</v>
      </c>
      <c r="D49" s="59" t="s">
        <v>27</v>
      </c>
      <c r="E49" s="59" t="s">
        <v>30</v>
      </c>
      <c r="F49" s="61">
        <f>F39</f>
        <v>45245009.51578369</v>
      </c>
      <c r="G49" s="67"/>
      <c r="H49" s="23"/>
    </row>
    <row r="50" spans="2:8" x14ac:dyDescent="0.3">
      <c r="B50" s="4">
        <v>1</v>
      </c>
      <c r="C50" s="68">
        <f>$E$47 * F49</f>
        <v>2262250.4757891847</v>
      </c>
      <c r="D50" s="60">
        <f>$G$47</f>
        <v>16614355.001017952</v>
      </c>
      <c r="E50" s="60">
        <f>D50-C50</f>
        <v>14352104.525228769</v>
      </c>
      <c r="F50" s="61">
        <f>F49-E50</f>
        <v>30892904.990554921</v>
      </c>
      <c r="G50" s="67"/>
      <c r="H50" s="23"/>
    </row>
    <row r="51" spans="2:8" x14ac:dyDescent="0.3">
      <c r="B51" s="4">
        <v>2</v>
      </c>
      <c r="C51" s="68">
        <f>$E$47 * F50</f>
        <v>1544645.2495277461</v>
      </c>
      <c r="D51" s="60">
        <f>$G$47</f>
        <v>16614355.001017952</v>
      </c>
      <c r="E51" s="60">
        <f>D51-C51</f>
        <v>15069709.751490206</v>
      </c>
      <c r="F51" s="61">
        <f>F50-E51</f>
        <v>15823195.239064716</v>
      </c>
      <c r="G51" s="67"/>
      <c r="H51" s="23"/>
    </row>
    <row r="52" spans="2:8" ht="15" thickBot="1" x14ac:dyDescent="0.35">
      <c r="B52" s="4">
        <v>3</v>
      </c>
      <c r="C52" s="69">
        <f>$E$47 * F51</f>
        <v>791159.76195323584</v>
      </c>
      <c r="D52" s="70">
        <f>$G$47</f>
        <v>16614355.001017952</v>
      </c>
      <c r="E52" s="70">
        <f>D52-C52</f>
        <v>15823195.239064716</v>
      </c>
      <c r="F52" s="71">
        <f>F51-E52</f>
        <v>0</v>
      </c>
      <c r="G52" s="72"/>
      <c r="H52" s="23"/>
    </row>
    <row r="53" spans="2:8" ht="15" thickBot="1" x14ac:dyDescent="0.35">
      <c r="B53" s="4"/>
      <c r="C53" s="81"/>
      <c r="D53" s="81"/>
      <c r="E53" s="81"/>
      <c r="F53" s="81"/>
      <c r="G53" s="81"/>
      <c r="H53" s="23"/>
    </row>
    <row r="54" spans="2:8" x14ac:dyDescent="0.3">
      <c r="B54" s="4"/>
      <c r="C54" s="81"/>
      <c r="D54" s="33" t="s">
        <v>32</v>
      </c>
      <c r="E54" s="82">
        <v>1.03</v>
      </c>
      <c r="F54" s="81" t="s">
        <v>35</v>
      </c>
      <c r="G54" s="81"/>
      <c r="H54" s="23"/>
    </row>
    <row r="55" spans="2:8" x14ac:dyDescent="0.3">
      <c r="B55" s="4"/>
      <c r="C55" s="81"/>
      <c r="D55" s="87"/>
      <c r="E55" s="88"/>
      <c r="F55" s="81"/>
      <c r="G55" s="81"/>
      <c r="H55" s="23"/>
    </row>
    <row r="56" spans="2:8" x14ac:dyDescent="0.3">
      <c r="B56" s="4"/>
      <c r="C56" s="81">
        <v>1</v>
      </c>
      <c r="D56" s="86">
        <f>$D$33</f>
        <v>11379731.896831045</v>
      </c>
      <c r="E56" s="83">
        <f>D56/POWER($E$54,C56)</f>
        <v>11048283.394981597</v>
      </c>
      <c r="F56" s="81" t="s">
        <v>34</v>
      </c>
      <c r="G56" s="81"/>
      <c r="H56" s="23"/>
    </row>
    <row r="57" spans="2:8" x14ac:dyDescent="0.3">
      <c r="B57" s="4"/>
      <c r="C57" s="81">
        <v>2</v>
      </c>
      <c r="D57" s="86">
        <f t="shared" ref="D57:D58" si="8">$D$33</f>
        <v>11379731.896831045</v>
      </c>
      <c r="E57" s="83">
        <f>D57/POWER($E$54,C57)</f>
        <v>10726488.732991843</v>
      </c>
      <c r="F57" s="81"/>
      <c r="G57" s="81"/>
      <c r="H57" s="23"/>
    </row>
    <row r="58" spans="2:8" x14ac:dyDescent="0.3">
      <c r="B58" s="4"/>
      <c r="C58" s="81">
        <v>3</v>
      </c>
      <c r="D58" s="86">
        <f t="shared" si="8"/>
        <v>11379731.896831045</v>
      </c>
      <c r="E58" s="83">
        <f>D58/POWER($E$54,C58)</f>
        <v>10414066.731060041</v>
      </c>
      <c r="F58" s="81"/>
      <c r="G58" s="81"/>
      <c r="H58" s="23"/>
    </row>
    <row r="59" spans="2:8" x14ac:dyDescent="0.3">
      <c r="B59" s="4"/>
      <c r="C59" s="81">
        <v>4</v>
      </c>
      <c r="D59" s="86">
        <f>$G$47</f>
        <v>16614355.001017952</v>
      </c>
      <c r="E59" s="83">
        <f>D59/POWER($E$54,C59)</f>
        <v>14761639.227877704</v>
      </c>
      <c r="F59" s="81" t="s">
        <v>33</v>
      </c>
      <c r="G59" s="81"/>
      <c r="H59" s="23"/>
    </row>
    <row r="60" spans="2:8" x14ac:dyDescent="0.3">
      <c r="B60" s="4"/>
      <c r="C60" s="81">
        <v>5</v>
      </c>
      <c r="D60" s="86">
        <f t="shared" ref="D60:D61" si="9">$G$47</f>
        <v>16614355.001017952</v>
      </c>
      <c r="E60" s="83">
        <f>D60/POWER($E$54,C60)</f>
        <v>14331688.570755053</v>
      </c>
      <c r="F60" s="81"/>
      <c r="G60" s="81"/>
      <c r="H60" s="23"/>
    </row>
    <row r="61" spans="2:8" x14ac:dyDescent="0.3">
      <c r="B61" s="4"/>
      <c r="C61" s="81">
        <v>6</v>
      </c>
      <c r="D61" s="86">
        <f t="shared" si="9"/>
        <v>16614355.001017952</v>
      </c>
      <c r="E61" s="83">
        <f>D61/POWER($E$54,C61)</f>
        <v>13914260.748305876</v>
      </c>
      <c r="F61" s="81"/>
      <c r="G61" s="81"/>
      <c r="H61" s="23"/>
    </row>
    <row r="62" spans="2:8" ht="15" thickBot="1" x14ac:dyDescent="0.35">
      <c r="B62" s="4"/>
      <c r="C62" s="81"/>
      <c r="D62" s="84"/>
      <c r="E62" s="85">
        <f>SUM(E56:E61)</f>
        <v>75196427.405972108</v>
      </c>
      <c r="F62" s="81" t="s">
        <v>36</v>
      </c>
      <c r="G62" s="81"/>
      <c r="H62" s="23"/>
    </row>
    <row r="63" spans="2:8" ht="15" thickBot="1" x14ac:dyDescent="0.35">
      <c r="B63" s="4"/>
      <c r="C63" s="81"/>
      <c r="D63" s="81"/>
      <c r="E63" s="81"/>
      <c r="F63" s="81"/>
      <c r="G63" s="81"/>
      <c r="H63" s="23"/>
    </row>
    <row r="64" spans="2:8" x14ac:dyDescent="0.3">
      <c r="B64" s="4"/>
      <c r="C64" s="81"/>
      <c r="D64" s="89" t="s">
        <v>38</v>
      </c>
      <c r="E64" s="90">
        <v>0.01</v>
      </c>
      <c r="F64" s="81"/>
      <c r="G64" s="81"/>
      <c r="H64" s="23"/>
    </row>
    <row r="65" spans="2:9" ht="15" thickBot="1" x14ac:dyDescent="0.35">
      <c r="B65" s="4"/>
      <c r="C65" s="81"/>
      <c r="D65" s="91" t="s">
        <v>39</v>
      </c>
      <c r="E65" s="92">
        <v>3</v>
      </c>
      <c r="F65" s="81"/>
      <c r="G65" s="81"/>
      <c r="H65" s="23"/>
    </row>
    <row r="66" spans="2:9" ht="15" thickBot="1" x14ac:dyDescent="0.35">
      <c r="B66" s="4"/>
      <c r="C66" s="81"/>
      <c r="D66" s="93" t="s">
        <v>37</v>
      </c>
      <c r="E66" s="94">
        <f>F39*(1+E64)^E65</f>
        <v>46615978.549121447</v>
      </c>
      <c r="F66" s="81"/>
      <c r="G66" s="81"/>
      <c r="H66" s="23"/>
    </row>
    <row r="67" spans="2:9" ht="15" thickBot="1" x14ac:dyDescent="0.35">
      <c r="B67" s="5"/>
      <c r="C67" s="6"/>
      <c r="D67" s="6"/>
      <c r="E67" s="6"/>
      <c r="F67" s="6"/>
      <c r="G67" s="6"/>
      <c r="H67" s="24"/>
    </row>
    <row r="68" spans="2:9" x14ac:dyDescent="0.3">
      <c r="B68" s="1" t="s">
        <v>40</v>
      </c>
      <c r="C68" s="2"/>
      <c r="D68" s="2"/>
      <c r="E68" s="2"/>
      <c r="F68" s="2"/>
      <c r="G68" s="2"/>
      <c r="H68" s="3"/>
    </row>
    <row r="69" spans="2:9" x14ac:dyDescent="0.3">
      <c r="B69" s="4"/>
      <c r="C69" s="81"/>
      <c r="D69" s="81"/>
      <c r="E69" s="81"/>
      <c r="F69" s="81"/>
      <c r="G69" s="81"/>
      <c r="H69" s="23"/>
    </row>
    <row r="70" spans="2:9" x14ac:dyDescent="0.3">
      <c r="B70" s="4"/>
      <c r="C70" s="98"/>
      <c r="D70" s="98" t="s">
        <v>41</v>
      </c>
      <c r="E70" s="98" t="s">
        <v>42</v>
      </c>
      <c r="F70" s="96"/>
      <c r="G70" s="96"/>
      <c r="H70" s="97"/>
    </row>
    <row r="71" spans="2:9" x14ac:dyDescent="0.3">
      <c r="B71" s="4"/>
      <c r="C71" s="98" t="s">
        <v>43</v>
      </c>
      <c r="D71" s="98">
        <v>1670000</v>
      </c>
      <c r="E71" s="98">
        <v>1336000</v>
      </c>
      <c r="F71" s="96"/>
      <c r="G71" s="96"/>
      <c r="H71" s="97"/>
    </row>
    <row r="72" spans="2:9" x14ac:dyDescent="0.3">
      <c r="B72" s="4"/>
      <c r="C72" s="98" t="s">
        <v>45</v>
      </c>
      <c r="D72" s="98">
        <f>D71*0.13</f>
        <v>217100</v>
      </c>
      <c r="E72" s="98">
        <f>E71*0.13</f>
        <v>173680</v>
      </c>
      <c r="F72" s="96"/>
      <c r="G72" s="96"/>
      <c r="H72" s="97"/>
      <c r="I72" s="95"/>
    </row>
    <row r="73" spans="2:9" x14ac:dyDescent="0.3">
      <c r="B73" s="4"/>
      <c r="C73" s="98" t="s">
        <v>44</v>
      </c>
      <c r="D73" s="98">
        <f>D71*0.07</f>
        <v>116900.00000000001</v>
      </c>
      <c r="E73" s="98">
        <f>E71*0.07</f>
        <v>93520.000000000015</v>
      </c>
      <c r="F73" s="96"/>
      <c r="G73" s="96"/>
      <c r="H73" s="97"/>
      <c r="I73" s="95"/>
    </row>
    <row r="74" spans="2:9" x14ac:dyDescent="0.3">
      <c r="B74" s="4"/>
      <c r="C74" s="98" t="s">
        <v>46</v>
      </c>
      <c r="D74" s="98">
        <f>D71-D72-D73</f>
        <v>1336000</v>
      </c>
      <c r="E74" s="98">
        <f>E71-E72-E73</f>
        <v>1068800</v>
      </c>
      <c r="F74" s="96"/>
      <c r="G74" s="96"/>
      <c r="H74" s="97"/>
      <c r="I74" s="95"/>
    </row>
    <row r="75" spans="2:9" x14ac:dyDescent="0.3">
      <c r="B75" s="4"/>
      <c r="C75" s="98" t="s">
        <v>47</v>
      </c>
      <c r="D75" s="98">
        <f>0.1*D74</f>
        <v>133600</v>
      </c>
      <c r="E75" s="98">
        <f>0.1*E74</f>
        <v>106880</v>
      </c>
      <c r="F75" s="96"/>
      <c r="G75" s="96"/>
      <c r="H75" s="97"/>
      <c r="I75" s="95"/>
    </row>
    <row r="76" spans="2:9" x14ac:dyDescent="0.3">
      <c r="B76" s="4"/>
      <c r="C76" s="98" t="s">
        <v>48</v>
      </c>
      <c r="D76" s="98">
        <f>D74-D75</f>
        <v>1202400</v>
      </c>
      <c r="E76" s="98">
        <f>E74-E75</f>
        <v>961920</v>
      </c>
      <c r="F76" s="96"/>
      <c r="G76" s="96"/>
      <c r="H76" s="97"/>
      <c r="I76" s="95"/>
    </row>
    <row r="77" spans="2:9" x14ac:dyDescent="0.3">
      <c r="B77" s="4"/>
      <c r="C77" s="101" t="s">
        <v>49</v>
      </c>
      <c r="D77" s="102">
        <v>2E-3</v>
      </c>
      <c r="E77" s="102">
        <v>2E-3</v>
      </c>
      <c r="F77" s="81"/>
      <c r="G77" s="81"/>
      <c r="H77" s="23"/>
    </row>
    <row r="78" spans="2:9" x14ac:dyDescent="0.3">
      <c r="B78" s="4" t="s">
        <v>52</v>
      </c>
      <c r="C78" s="103" t="s">
        <v>51</v>
      </c>
      <c r="D78" s="104">
        <f>(65-25)*12</f>
        <v>480</v>
      </c>
      <c r="E78" s="104">
        <f>(60-25)*12</f>
        <v>420</v>
      </c>
      <c r="F78" s="81"/>
      <c r="G78" s="81"/>
      <c r="H78" s="23"/>
    </row>
    <row r="79" spans="2:9" x14ac:dyDescent="0.3">
      <c r="B79" s="4"/>
      <c r="C79" s="99" t="s">
        <v>50</v>
      </c>
      <c r="D79" s="100">
        <f>FV(D77,D78,-D72)</f>
        <v>174677985.10748067</v>
      </c>
      <c r="E79" s="100">
        <f>FV(E77,E78,-E72)</f>
        <v>114144635.19729827</v>
      </c>
      <c r="F79" s="81"/>
      <c r="G79" s="81"/>
      <c r="H79" s="23"/>
    </row>
    <row r="80" spans="2:9" x14ac:dyDescent="0.3">
      <c r="B80" s="4"/>
      <c r="C80" s="99" t="s">
        <v>53</v>
      </c>
      <c r="D80" s="100">
        <f>PMT(D77,20*12,-D79)</f>
        <v>917137.57956119278</v>
      </c>
      <c r="E80" s="100">
        <f>PMT(E77,30*12,-E79)</f>
        <v>445097.15018392843</v>
      </c>
      <c r="F80" s="81"/>
      <c r="G80" s="81"/>
      <c r="H80" s="23"/>
    </row>
    <row r="81" spans="2:8" ht="28.8" x14ac:dyDescent="0.3">
      <c r="B81" s="4"/>
      <c r="C81" s="81"/>
      <c r="D81" s="105" t="s">
        <v>54</v>
      </c>
      <c r="E81" s="105" t="s">
        <v>55</v>
      </c>
      <c r="F81" s="81"/>
      <c r="G81" s="81"/>
      <c r="H81" s="23"/>
    </row>
    <row r="82" spans="2:8" x14ac:dyDescent="0.3">
      <c r="B82" s="4" t="s">
        <v>59</v>
      </c>
      <c r="C82" s="81" t="s">
        <v>56</v>
      </c>
      <c r="D82" s="106">
        <f>PV(D77,(85-65)*12,-300000)</f>
        <v>57137987.473282181</v>
      </c>
      <c r="E82" s="106">
        <f>PV(E77,(90-60)*12,-500000)</f>
        <v>128224405.7843655</v>
      </c>
      <c r="F82" s="81" t="s">
        <v>60</v>
      </c>
      <c r="G82" s="81"/>
      <c r="H82" s="23"/>
    </row>
    <row r="83" spans="2:8" x14ac:dyDescent="0.3">
      <c r="B83" s="4" t="s">
        <v>58</v>
      </c>
      <c r="C83" s="81" t="s">
        <v>57</v>
      </c>
      <c r="D83" s="106">
        <f>PMT(D77,D78,,-D82)</f>
        <v>71014.427335057</v>
      </c>
      <c r="E83" s="106">
        <f>PMT(E77,E78,,-E82)</f>
        <v>195103.47339701664</v>
      </c>
      <c r="F83" s="81" t="s">
        <v>58</v>
      </c>
      <c r="G83" s="81"/>
      <c r="H83" s="23"/>
    </row>
    <row r="84" spans="2:8" ht="15" thickBot="1" x14ac:dyDescent="0.35">
      <c r="B84" s="5"/>
      <c r="C84" s="6"/>
      <c r="D84" s="6"/>
      <c r="E84" s="6"/>
      <c r="F84" s="6"/>
      <c r="G84" s="6"/>
      <c r="H84" s="24"/>
    </row>
  </sheetData>
  <mergeCells count="3">
    <mergeCell ref="C22:C23"/>
    <mergeCell ref="D22:D23"/>
    <mergeCell ref="E22:F2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207070653</dc:creator>
  <cp:lastModifiedBy>207070653</cp:lastModifiedBy>
  <dcterms:created xsi:type="dcterms:W3CDTF">2024-08-22T20:06:26Z</dcterms:created>
  <dcterms:modified xsi:type="dcterms:W3CDTF">2024-08-26T21:22:09Z</dcterms:modified>
</cp:coreProperties>
</file>