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13_ncr:1_{497EF316-17DC-4E39-B27B-CC7B8D59B2D7}" xr6:coauthVersionLast="47" xr6:coauthVersionMax="47" xr10:uidLastSave="{00000000-0000-0000-0000-000000000000}"/>
  <bookViews>
    <workbookView xWindow="-108" yWindow="-108" windowWidth="23256" windowHeight="12456" activeTab="1" xr2:uid="{DF03DFFC-242D-4D34-A20F-21711E55E767}"/>
  </bookViews>
  <sheets>
    <sheet name="PREGUNTA 1" sheetId="1" r:id="rId1"/>
    <sheet name="PREGUNTA 2" sheetId="4" r:id="rId2"/>
    <sheet name="PREGUNTA 3 FILTRO POR PRODUCTO " sheetId="3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4" l="1"/>
  <c r="C58" i="1"/>
  <c r="D58" i="1" s="1"/>
  <c r="C59" i="1"/>
  <c r="D59" i="1" s="1"/>
  <c r="C60" i="1"/>
  <c r="D60" i="1" s="1"/>
  <c r="C57" i="1"/>
  <c r="D57" i="1" s="1"/>
  <c r="C56" i="1"/>
  <c r="D56" i="1" s="1"/>
  <c r="C55" i="1"/>
  <c r="D55" i="1" s="1"/>
  <c r="D54" i="1"/>
  <c r="C54" i="1"/>
  <c r="C53" i="1"/>
  <c r="D53" i="1" s="1"/>
  <c r="H28" i="4"/>
  <c r="E23" i="4"/>
  <c r="F23" i="4"/>
  <c r="G23" i="4"/>
  <c r="H23" i="4"/>
  <c r="D23" i="4"/>
  <c r="H29" i="4"/>
  <c r="H27" i="4"/>
  <c r="C32" i="4"/>
  <c r="D25" i="4" a="1"/>
  <c r="D25" i="4" s="1"/>
  <c r="D20" i="4"/>
  <c r="C30" i="4"/>
  <c r="C31" i="4"/>
  <c r="E18" i="4"/>
  <c r="F18" i="4" s="1"/>
  <c r="G18" i="4" s="1"/>
  <c r="E24" i="4"/>
  <c r="F24" i="4"/>
  <c r="G24" i="4"/>
  <c r="H24" i="4"/>
  <c r="D24" i="4"/>
  <c r="E16" i="4"/>
  <c r="F16" i="4"/>
  <c r="G16" i="4"/>
  <c r="H16" i="4"/>
  <c r="D16" i="4"/>
  <c r="C16" i="4"/>
  <c r="E14" i="4"/>
  <c r="F14" i="4" s="1"/>
  <c r="G14" i="4" s="1"/>
  <c r="H14" i="4" s="1"/>
  <c r="D15" i="4"/>
  <c r="E15" i="4"/>
  <c r="F15" i="4"/>
  <c r="G15" i="4"/>
  <c r="H15" i="4"/>
  <c r="C33" i="4"/>
  <c r="K11" i="4"/>
  <c r="E11" i="4"/>
  <c r="F11" i="4"/>
  <c r="G11" i="4"/>
  <c r="H11" i="4"/>
  <c r="D11" i="4"/>
  <c r="F10" i="4"/>
  <c r="G10" i="4" s="1"/>
  <c r="H10" i="4" s="1"/>
  <c r="E10" i="4"/>
  <c r="G9" i="4"/>
  <c r="H9" i="4" s="1"/>
  <c r="F9" i="4"/>
  <c r="G45" i="1"/>
  <c r="G44" i="1"/>
  <c r="H45" i="1"/>
  <c r="H46" i="1"/>
  <c r="H47" i="1"/>
  <c r="H44" i="1"/>
  <c r="I41" i="1"/>
  <c r="J43" i="1"/>
  <c r="D47" i="1"/>
  <c r="D44" i="1"/>
  <c r="D45" i="1" s="1"/>
  <c r="D43" i="1"/>
  <c r="H30" i="1"/>
  <c r="D23" i="1"/>
  <c r="J9" i="1"/>
  <c r="D14" i="1"/>
  <c r="D15" i="1" s="1"/>
  <c r="H12" i="1" s="1"/>
  <c r="H53" i="1" l="1"/>
  <c r="H18" i="4"/>
  <c r="M11" i="4"/>
  <c r="K12" i="4" s="1"/>
  <c r="H31" i="4"/>
  <c r="I44" i="1"/>
  <c r="J44" i="1" s="1"/>
  <c r="I45" i="1" s="1"/>
  <c r="J45" i="1" s="1"/>
  <c r="G46" i="1" s="1"/>
  <c r="G10" i="1"/>
  <c r="H11" i="1"/>
  <c r="C30" i="1"/>
  <c r="D30" i="1" s="1"/>
  <c r="H10" i="1"/>
  <c r="C33" i="1"/>
  <c r="D33" i="1" s="1"/>
  <c r="C32" i="1"/>
  <c r="D32" i="1" s="1"/>
  <c r="H14" i="1"/>
  <c r="C31" i="1"/>
  <c r="D31" i="1" s="1"/>
  <c r="H15" i="1"/>
  <c r="H13" i="1"/>
  <c r="M14" i="4" l="1"/>
  <c r="J15" i="4" s="1"/>
  <c r="K19" i="4"/>
  <c r="K15" i="4"/>
  <c r="K16" i="4"/>
  <c r="K17" i="4"/>
  <c r="K18" i="4"/>
  <c r="I46" i="1"/>
  <c r="J46" i="1" s="1"/>
  <c r="G47" i="1" s="1"/>
  <c r="I10" i="1"/>
  <c r="J10" i="1" s="1"/>
  <c r="G11" i="1" s="1"/>
  <c r="I11" i="1" s="1"/>
  <c r="J11" i="1" s="1"/>
  <c r="L15" i="4" l="1"/>
  <c r="I47" i="1"/>
  <c r="J47" i="1" s="1"/>
  <c r="G12" i="1"/>
  <c r="I12" i="1" s="1"/>
  <c r="J12" i="1" s="1"/>
  <c r="G13" i="1" s="1"/>
  <c r="I13" i="1" s="1"/>
  <c r="J13" i="1" s="1"/>
  <c r="M15" i="4" l="1"/>
  <c r="J16" i="4" s="1"/>
  <c r="D18" i="1"/>
  <c r="G14" i="1"/>
  <c r="I14" i="1" s="1"/>
  <c r="J14" i="1" s="1"/>
  <c r="L16" i="4" l="1"/>
  <c r="G15" i="1"/>
  <c r="I15" i="1" s="1"/>
  <c r="J15" i="1"/>
  <c r="J18" i="1"/>
  <c r="D24" i="1"/>
  <c r="M16" i="4" l="1"/>
  <c r="J17" i="4" s="1"/>
  <c r="C35" i="1"/>
  <c r="D35" i="1" s="1"/>
  <c r="C36" i="1"/>
  <c r="D36" i="1" s="1"/>
  <c r="C37" i="1"/>
  <c r="D37" i="1" s="1"/>
  <c r="H20" i="1"/>
  <c r="C34" i="1"/>
  <c r="D34" i="1" s="1"/>
  <c r="H21" i="1"/>
  <c r="H22" i="1"/>
  <c r="H19" i="1"/>
  <c r="G19" i="1"/>
  <c r="L17" i="4" l="1"/>
  <c r="I19" i="1"/>
  <c r="J19" i="1" s="1"/>
  <c r="G20" i="1" s="1"/>
  <c r="I20" i="1"/>
  <c r="J20" i="1" s="1"/>
  <c r="G21" i="1" s="1"/>
  <c r="I21" i="1" s="1"/>
  <c r="J21" i="1" s="1"/>
  <c r="G22" i="1" s="1"/>
  <c r="I22" i="1" s="1"/>
  <c r="J22" i="1" s="1"/>
  <c r="M17" i="4" l="1"/>
  <c r="J18" i="4" s="1"/>
  <c r="L18" i="4" l="1"/>
  <c r="M18" i="4" l="1"/>
  <c r="J19" i="4" s="1"/>
  <c r="L19" i="4" l="1"/>
  <c r="D17" i="4" a="1"/>
  <c r="D17" i="4" l="1"/>
  <c r="D19" i="4" s="1"/>
  <c r="E19" i="4"/>
  <c r="E20" i="4" s="1"/>
  <c r="G19" i="4"/>
  <c r="G20" i="4" s="1"/>
  <c r="G21" i="4" s="1"/>
  <c r="F19" i="4"/>
  <c r="F20" i="4" s="1"/>
  <c r="F21" i="4" s="1"/>
  <c r="H19" i="4"/>
  <c r="H20" i="4" s="1"/>
  <c r="H21" i="4" s="1"/>
  <c r="M19" i="4"/>
  <c r="E21" i="4" l="1"/>
  <c r="E32" i="4"/>
  <c r="D21" i="4"/>
  <c r="D32" i="4"/>
  <c r="F32" i="4"/>
  <c r="H32" i="4"/>
  <c r="G32" i="4"/>
  <c r="C3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<sst xmlns="http://schemas.openxmlformats.org/spreadsheetml/2006/main" count="171" uniqueCount="77">
  <si>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Nombre: Iván Andrés Cáceres Satorres</t>
  </si>
  <si>
    <t>EVALUACIÓN DE PROYECTOS TICS - SOLEMNE 1</t>
  </si>
  <si>
    <t>Fecha: Martes 1 de Octubre del 2024</t>
  </si>
  <si>
    <t>AÑO</t>
  </si>
  <si>
    <t xml:space="preserve">PRODUCTO </t>
  </si>
  <si>
    <t xml:space="preserve">VENTA UNIDADES </t>
  </si>
  <si>
    <t>PRODUCTO A</t>
  </si>
  <si>
    <t>PRODUCTO B</t>
  </si>
  <si>
    <t xml:space="preserve"> </t>
  </si>
  <si>
    <t>CREDITO</t>
  </si>
  <si>
    <t>CRÉDITO</t>
  </si>
  <si>
    <t>INTERÉS ANUAL NOMINAL COMPUESTO TRIMESTRAL CON CUOTAS ANUALES</t>
  </si>
  <si>
    <t>PERIODO(AÑOS)</t>
  </si>
  <si>
    <t>TASA INTERES REAL EFECTIVA</t>
  </si>
  <si>
    <t>CUOTA</t>
  </si>
  <si>
    <t>A</t>
  </si>
  <si>
    <t>BANCO EDWARDS</t>
  </si>
  <si>
    <t>PERIODOS</t>
  </si>
  <si>
    <t>INTERESES</t>
  </si>
  <si>
    <t>AMORTIZACIÓN</t>
  </si>
  <si>
    <t>SALDO</t>
  </si>
  <si>
    <t>4TO PAGO</t>
  </si>
  <si>
    <t>SEGUNDO CRÉDITO CON BANCO BCI</t>
  </si>
  <si>
    <t>TASA NOMINAL ANUAL COMPUESTA MENSUAL CON CUOTAS ANUALES</t>
  </si>
  <si>
    <t>PERDIODO (AÑOS)</t>
  </si>
  <si>
    <t>FIN</t>
  </si>
  <si>
    <t>B</t>
  </si>
  <si>
    <t>TASA DE INTERÉS ANUAL</t>
  </si>
  <si>
    <t>VALOR ACTUAL</t>
  </si>
  <si>
    <t>TOTAL PAGADO EN VALOR PRESENTE</t>
  </si>
  <si>
    <t>C</t>
  </si>
  <si>
    <t>MULTA APLICADA POR BANCO EDWARDS DE CUATRO MESES</t>
  </si>
  <si>
    <t xml:space="preserve">INTERESES </t>
  </si>
  <si>
    <t>PERIODO (MESES)</t>
  </si>
  <si>
    <t>SALDO INSOLUTO</t>
  </si>
  <si>
    <t>SALDO + MULTA</t>
  </si>
  <si>
    <t>MULTA</t>
  </si>
  <si>
    <t>MONTO DEL NUEVO CRÉDITO CON BANCO BCI</t>
  </si>
  <si>
    <t>CRÉDITO CON BANCO BCI CONSIDERANDO MULTA APLICADA</t>
  </si>
  <si>
    <t>INGRESOS</t>
  </si>
  <si>
    <t>CANTIDAD</t>
  </si>
  <si>
    <t>PRECIO</t>
  </si>
  <si>
    <t>COSTOS</t>
  </si>
  <si>
    <t>FIJOS</t>
  </si>
  <si>
    <t>VARIABLE</t>
  </si>
  <si>
    <t>DEPRECIACIÓN</t>
  </si>
  <si>
    <t>MANTENCIÓN</t>
  </si>
  <si>
    <t>UTILIDAD</t>
  </si>
  <si>
    <t>IMPUESTO</t>
  </si>
  <si>
    <t>UTILIDAD DESPUES IMPUESTO</t>
  </si>
  <si>
    <t>INVERSIONES</t>
  </si>
  <si>
    <t>TERRENO</t>
  </si>
  <si>
    <t>EDIFICACION</t>
  </si>
  <si>
    <t>MAQUINARIA</t>
  </si>
  <si>
    <t>CAPITAL TRABAJO</t>
  </si>
  <si>
    <t>FLUJO</t>
  </si>
  <si>
    <t>CAPM</t>
  </si>
  <si>
    <t>VAN</t>
  </si>
  <si>
    <t>TIR</t>
  </si>
  <si>
    <t>INTERES</t>
  </si>
  <si>
    <t>MONTO</t>
  </si>
  <si>
    <t>AMORTIZACION</t>
  </si>
  <si>
    <t>Total general</t>
  </si>
  <si>
    <t>Etiquetas de columna</t>
  </si>
  <si>
    <t xml:space="preserve">Suma de VENTA UNIDADES </t>
  </si>
  <si>
    <t>PRODUCTOS</t>
  </si>
  <si>
    <t>ECUACIÓN</t>
  </si>
  <si>
    <t>R² = 0,9987</t>
  </si>
  <si>
    <t>y = 8E-05x6 - 0,0259x5 + 1,2823x4 - 22,83x3 + 175,38x2 - 498,05x + 445,82</t>
  </si>
  <si>
    <t>R2</t>
  </si>
  <si>
    <t>y = 47,701ln(x) + 2,5674</t>
  </si>
  <si>
    <t>R² = 0,9885</t>
  </si>
  <si>
    <t>LOGARÍTMICA</t>
  </si>
  <si>
    <t>POLINÓMICA</t>
  </si>
  <si>
    <t>TASA NOMINAL ANUAL COMPUESTA SEMESTRAL CON CUOTAS ANUALES</t>
  </si>
  <si>
    <t>TASA EFECTIVA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</si>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</sst>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&quot;$&quot;\-#,##0.00"/>
    <numFmt numFmtId="42" formatCode="_ &quot;$&quot;* #,##0_ ;_ &quot;$&quot;* \-#,##0_ ;_ &quot;$&quot;* &quot;-&quot;_ ;_ @_ "/>
    <numFmt numFmtId="164" formatCode="0.000%"/>
    <numFmt numFmtId="165" formatCode="0.0000%"/>
    <numFmt numFmtId="166" formatCode="_ &quot;$&quot;* #,##0.0000_ ;_ &quot;$&quot;* \-#,##0.0000_ ;_ &quot;$&quot;* &quot;-&quot;??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rgb="FF59595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42" fontId="0" fillId="0" borderId="1" xfId="0" applyNumberFormat="1" applyBorder="1"/>
    <xf numFmtId="166" fontId="0" fillId="0" borderId="1" xfId="0" applyNumberFormat="1" applyBorder="1"/>
    <xf numFmtId="8" fontId="0" fillId="0" borderId="1" xfId="0" applyNumberFormat="1" applyBorder="1"/>
    <xf numFmtId="42" fontId="0" fillId="0" borderId="3" xfId="1" applyFont="1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/>
    <xf numFmtId="166" fontId="0" fillId="3" borderId="1" xfId="0" applyNumberFormat="1" applyFill="1" applyBorder="1"/>
    <xf numFmtId="8" fontId="0" fillId="3" borderId="1" xfId="0" applyNumberFormat="1" applyFill="1" applyBorder="1"/>
    <xf numFmtId="42" fontId="3" fillId="3" borderId="1" xfId="0" applyNumberFormat="1" applyFont="1" applyFill="1" applyBorder="1"/>
    <xf numFmtId="0" fontId="0" fillId="0" borderId="4" xfId="0" applyBorder="1"/>
    <xf numFmtId="0" fontId="0" fillId="2" borderId="0" xfId="0" applyFill="1"/>
    <xf numFmtId="165" fontId="0" fillId="0" borderId="1" xfId="2" applyNumberFormat="1" applyFont="1" applyBorder="1"/>
    <xf numFmtId="9" fontId="0" fillId="0" borderId="1" xfId="0" applyNumberFormat="1" applyBorder="1"/>
    <xf numFmtId="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8" fontId="0" fillId="0" borderId="0" xfId="0" applyNumberFormat="1"/>
    <xf numFmtId="42" fontId="0" fillId="0" borderId="0" xfId="0" applyNumberFormat="1"/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42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166" fontId="0" fillId="4" borderId="1" xfId="0" applyNumberFormat="1" applyFill="1" applyBorder="1" applyAlignment="1">
      <alignment vertical="center"/>
    </xf>
    <xf numFmtId="8" fontId="0" fillId="4" borderId="1" xfId="0" applyNumberFormat="1" applyFill="1" applyBorder="1" applyAlignment="1">
      <alignment vertical="center"/>
    </xf>
    <xf numFmtId="42" fontId="3" fillId="4" borderId="1" xfId="0" applyNumberFormat="1" applyFont="1" applyFill="1" applyBorder="1" applyAlignment="1">
      <alignment vertical="center"/>
    </xf>
    <xf numFmtId="164" fontId="0" fillId="0" borderId="1" xfId="2" applyNumberFormat="1" applyFont="1" applyBorder="1"/>
    <xf numFmtId="3" fontId="0" fillId="2" borderId="1" xfId="0" applyNumberFormat="1" applyFill="1" applyBorder="1"/>
    <xf numFmtId="3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readingOrder="1"/>
    </xf>
    <xf numFmtId="0" fontId="0" fillId="2" borderId="1" xfId="0" applyFill="1" applyBorder="1"/>
    <xf numFmtId="0" fontId="0" fillId="0" borderId="7" xfId="0" applyBorder="1"/>
    <xf numFmtId="9" fontId="0" fillId="0" borderId="1" xfId="2" applyFont="1" applyBorder="1"/>
    <xf numFmtId="10" fontId="0" fillId="0" borderId="1" xfId="2" applyNumberFormat="1" applyFont="1" applyBorder="1"/>
    <xf numFmtId="42" fontId="0" fillId="0" borderId="1" xfId="1" applyFont="1" applyBorder="1"/>
    <xf numFmtId="10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[Caceres_Ivan_S1.xlsx]PREGUNTA 3 FILTRO POR PRODUCTO !TablaDinámica2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'PREGUNTA 3 FILTRO POR PRODUCTO '!$F$6:$F$7</c:f>
              <c:strCache>
                <c:ptCount val="1"/>
                <c:pt idx="0">
                  <c:v>PRODUCTO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6392825896762952E-2"/>
                  <c:y val="-5.71515018955963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cat>
            <c:strRef>
              <c:f>'PREGUNTA 3 FILTRO POR PRODUCTO '!$E$8:$E$33</c:f>
              <c:strCach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strCache>
            </c:strRef>
          </c:cat>
          <c:val>
            <c:numRef>
              <c:f>'PREGUNTA 3 FILTRO POR PRODUCTO '!$F$8:$F$33</c:f>
              <c:numCache>
                <c:formatCode>General</c:formatCode>
                <c:ptCount val="25"/>
                <c:pt idx="0">
                  <c:v>10</c:v>
                </c:pt>
                <c:pt idx="1">
                  <c:v>30</c:v>
                </c:pt>
                <c:pt idx="2">
                  <c:v>48</c:v>
                </c:pt>
                <c:pt idx="3">
                  <c:v>64</c:v>
                </c:pt>
                <c:pt idx="4">
                  <c:v>78</c:v>
                </c:pt>
                <c:pt idx="5">
                  <c:v>90</c:v>
                </c:pt>
                <c:pt idx="6">
                  <c:v>100</c:v>
                </c:pt>
                <c:pt idx="7">
                  <c:v>109</c:v>
                </c:pt>
                <c:pt idx="8">
                  <c:v>114</c:v>
                </c:pt>
                <c:pt idx="9">
                  <c:v>117</c:v>
                </c:pt>
                <c:pt idx="10">
                  <c:v>118</c:v>
                </c:pt>
                <c:pt idx="11">
                  <c:v>118</c:v>
                </c:pt>
                <c:pt idx="12">
                  <c:v>119</c:v>
                </c:pt>
                <c:pt idx="13">
                  <c:v>123</c:v>
                </c:pt>
                <c:pt idx="14">
                  <c:v>128</c:v>
                </c:pt>
                <c:pt idx="15">
                  <c:v>134</c:v>
                </c:pt>
                <c:pt idx="16">
                  <c:v>137</c:v>
                </c:pt>
                <c:pt idx="17">
                  <c:v>137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152</c:v>
                </c:pt>
                <c:pt idx="22">
                  <c:v>155</c:v>
                </c:pt>
                <c:pt idx="23">
                  <c:v>157</c:v>
                </c:pt>
                <c:pt idx="24">
                  <c:v>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9-4F54-A7AA-4E9F84288958}"/>
            </c:ext>
          </c:extLst>
        </c:ser>
        <c:ser>
          <c:idx val="1"/>
          <c:order val="1"/>
          <c:tx>
            <c:strRef>
              <c:f>'PREGUNTA 3 FILTRO POR PRODUCTO '!$G$6:$G$7</c:f>
              <c:strCache>
                <c:ptCount val="1"/>
                <c:pt idx="0">
                  <c:v>PRODUCTO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3.4926727909011371E-2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cat>
            <c:strRef>
              <c:f>'PREGUNTA 3 FILTRO POR PRODUCTO '!$E$8:$E$33</c:f>
              <c:strCach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strCache>
            </c:strRef>
          </c:cat>
          <c:val>
            <c:numRef>
              <c:f>'PREGUNTA 3 FILTRO POR PRODUCTO '!$G$8:$G$33</c:f>
              <c:numCache>
                <c:formatCode>General</c:formatCode>
                <c:ptCount val="25"/>
                <c:pt idx="0">
                  <c:v>40</c:v>
                </c:pt>
                <c:pt idx="1">
                  <c:v>57</c:v>
                </c:pt>
                <c:pt idx="2">
                  <c:v>68</c:v>
                </c:pt>
                <c:pt idx="3">
                  <c:v>120</c:v>
                </c:pt>
                <c:pt idx="4">
                  <c:v>180</c:v>
                </c:pt>
                <c:pt idx="5">
                  <c:v>230</c:v>
                </c:pt>
                <c:pt idx="6">
                  <c:v>320</c:v>
                </c:pt>
                <c:pt idx="7">
                  <c:v>390</c:v>
                </c:pt>
                <c:pt idx="8">
                  <c:v>450</c:v>
                </c:pt>
                <c:pt idx="9">
                  <c:v>540</c:v>
                </c:pt>
                <c:pt idx="10">
                  <c:v>590</c:v>
                </c:pt>
                <c:pt idx="11">
                  <c:v>760</c:v>
                </c:pt>
                <c:pt idx="12">
                  <c:v>960</c:v>
                </c:pt>
                <c:pt idx="13">
                  <c:v>1100</c:v>
                </c:pt>
                <c:pt idx="14">
                  <c:v>1500</c:v>
                </c:pt>
                <c:pt idx="15">
                  <c:v>2000</c:v>
                </c:pt>
                <c:pt idx="16">
                  <c:v>2600</c:v>
                </c:pt>
                <c:pt idx="17">
                  <c:v>3500</c:v>
                </c:pt>
                <c:pt idx="18">
                  <c:v>4600</c:v>
                </c:pt>
                <c:pt idx="19">
                  <c:v>5400</c:v>
                </c:pt>
                <c:pt idx="20">
                  <c:v>6700</c:v>
                </c:pt>
                <c:pt idx="21">
                  <c:v>7200</c:v>
                </c:pt>
                <c:pt idx="22">
                  <c:v>7900</c:v>
                </c:pt>
                <c:pt idx="23">
                  <c:v>8200</c:v>
                </c:pt>
                <c:pt idx="24">
                  <c:v>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9-4F54-A7AA-4E9F84288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203807"/>
        <c:axId val="898195167"/>
      </c:lineChart>
      <c:catAx>
        <c:axId val="89820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98195167"/>
        <c:crosses val="autoZero"/>
        <c:auto val="1"/>
        <c:lblAlgn val="ctr"/>
        <c:lblOffset val="100"/>
        <c:noMultiLvlLbl val="0"/>
      </c:catAx>
      <c:valAx>
        <c:axId val="8981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9820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5</xdr:row>
      <xdr:rowOff>163830</xdr:rowOff>
    </xdr:from>
    <xdr:to>
      <xdr:col>15</xdr:col>
      <xdr:colOff>152400</xdr:colOff>
      <xdr:row>20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E033F8-75DB-DF01-F625-3FCAD439F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aan" refreshedDate="45566.695265162038" createdVersion="8" refreshedVersion="8" minRefreshableVersion="3" recordCount="50" xr:uid="{B4B55750-E0E3-41C4-B2BE-0EB20A4A1983}">
  <cacheSource type="worksheet">
    <worksheetSource ref="A5:C55" sheet="PREGUNTA 3 FILTRO POR PRODUCTO "/>
  </cacheSource>
  <cacheFields count="3">
    <cacheField name="AÑO" numFmtId="0">
      <sharedItems containsSemiMixedTypes="0" containsString="0" containsNumber="1" containsInteger="1" minValue="2000" maxValue="2024" count="2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PRODUCTO " numFmtId="0">
      <sharedItems count="2">
        <s v="PRODUCTO A"/>
        <s v="PRODUCTO B"/>
      </sharedItems>
    </cacheField>
    <cacheField name="VENTA UNIDADES " numFmtId="0">
      <sharedItems containsSemiMixedTypes="0" containsString="0" containsNumber="1" containsInteger="1" minValue="10" maxValue="8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10"/>
  </r>
  <r>
    <x v="0"/>
    <x v="1"/>
    <n v="40"/>
  </r>
  <r>
    <x v="1"/>
    <x v="0"/>
    <n v="30"/>
  </r>
  <r>
    <x v="1"/>
    <x v="1"/>
    <n v="57"/>
  </r>
  <r>
    <x v="2"/>
    <x v="0"/>
    <n v="48"/>
  </r>
  <r>
    <x v="2"/>
    <x v="1"/>
    <n v="68"/>
  </r>
  <r>
    <x v="3"/>
    <x v="0"/>
    <n v="64"/>
  </r>
  <r>
    <x v="3"/>
    <x v="1"/>
    <n v="120"/>
  </r>
  <r>
    <x v="4"/>
    <x v="0"/>
    <n v="78"/>
  </r>
  <r>
    <x v="4"/>
    <x v="1"/>
    <n v="180"/>
  </r>
  <r>
    <x v="5"/>
    <x v="0"/>
    <n v="90"/>
  </r>
  <r>
    <x v="5"/>
    <x v="1"/>
    <n v="230"/>
  </r>
  <r>
    <x v="6"/>
    <x v="0"/>
    <n v="100"/>
  </r>
  <r>
    <x v="6"/>
    <x v="1"/>
    <n v="320"/>
  </r>
  <r>
    <x v="7"/>
    <x v="0"/>
    <n v="109"/>
  </r>
  <r>
    <x v="7"/>
    <x v="1"/>
    <n v="390"/>
  </r>
  <r>
    <x v="8"/>
    <x v="0"/>
    <n v="114"/>
  </r>
  <r>
    <x v="8"/>
    <x v="1"/>
    <n v="450"/>
  </r>
  <r>
    <x v="9"/>
    <x v="0"/>
    <n v="117"/>
  </r>
  <r>
    <x v="9"/>
    <x v="1"/>
    <n v="540"/>
  </r>
  <r>
    <x v="10"/>
    <x v="0"/>
    <n v="118"/>
  </r>
  <r>
    <x v="10"/>
    <x v="1"/>
    <n v="590"/>
  </r>
  <r>
    <x v="11"/>
    <x v="0"/>
    <n v="118"/>
  </r>
  <r>
    <x v="11"/>
    <x v="1"/>
    <n v="760"/>
  </r>
  <r>
    <x v="12"/>
    <x v="0"/>
    <n v="119"/>
  </r>
  <r>
    <x v="12"/>
    <x v="1"/>
    <n v="960"/>
  </r>
  <r>
    <x v="13"/>
    <x v="0"/>
    <n v="123"/>
  </r>
  <r>
    <x v="13"/>
    <x v="1"/>
    <n v="1100"/>
  </r>
  <r>
    <x v="14"/>
    <x v="0"/>
    <n v="128"/>
  </r>
  <r>
    <x v="14"/>
    <x v="1"/>
    <n v="1500"/>
  </r>
  <r>
    <x v="15"/>
    <x v="0"/>
    <n v="134"/>
  </r>
  <r>
    <x v="15"/>
    <x v="1"/>
    <n v="2000"/>
  </r>
  <r>
    <x v="16"/>
    <x v="0"/>
    <n v="137"/>
  </r>
  <r>
    <x v="16"/>
    <x v="1"/>
    <n v="2600"/>
  </r>
  <r>
    <x v="17"/>
    <x v="0"/>
    <n v="137"/>
  </r>
  <r>
    <x v="17"/>
    <x v="1"/>
    <n v="3500"/>
  </r>
  <r>
    <x v="18"/>
    <x v="0"/>
    <n v="140"/>
  </r>
  <r>
    <x v="18"/>
    <x v="1"/>
    <n v="4600"/>
  </r>
  <r>
    <x v="19"/>
    <x v="0"/>
    <n v="145"/>
  </r>
  <r>
    <x v="19"/>
    <x v="1"/>
    <n v="5400"/>
  </r>
  <r>
    <x v="20"/>
    <x v="0"/>
    <n v="150"/>
  </r>
  <r>
    <x v="20"/>
    <x v="1"/>
    <n v="6700"/>
  </r>
  <r>
    <x v="21"/>
    <x v="0"/>
    <n v="152"/>
  </r>
  <r>
    <x v="21"/>
    <x v="1"/>
    <n v="7200"/>
  </r>
  <r>
    <x v="22"/>
    <x v="0"/>
    <n v="155"/>
  </r>
  <r>
    <x v="22"/>
    <x v="1"/>
    <n v="7900"/>
  </r>
  <r>
    <x v="23"/>
    <x v="0"/>
    <n v="157"/>
  </r>
  <r>
    <x v="23"/>
    <x v="1"/>
    <n v="8200"/>
  </r>
  <r>
    <x v="24"/>
    <x v="0"/>
    <n v="158"/>
  </r>
  <r>
    <x v="24"/>
    <x v="1"/>
    <n v="8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1E083-4EBD-46FC-9081-E4D34EACDB7F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AÑO">
  <location ref="E6:H33" firstHeaderRow="1" firstDataRow="2" firstDataCol="1"/>
  <pivotFields count="3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VENTA UNIDADES " fld="2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A6B6-3D4C-4BB0-B288-1456ACA69B51}">
  <dimension ref="A3:K60"/>
  <sheetViews>
    <sheetView workbookViewId="0">
      <selection activeCell="J55" sqref="J55"/>
    </sheetView>
  </sheetViews>
  <sheetFormatPr baseColWidth="10" defaultRowHeight="14.4" x14ac:dyDescent="0.3"/>
  <cols>
    <col min="3" max="3" width="13.6640625" bestFit="1" customWidth="1"/>
    <col min="4" max="4" width="15.33203125" bestFit="1" customWidth="1"/>
    <col min="7" max="7" width="16.44140625" bestFit="1" customWidth="1"/>
    <col min="8" max="8" width="14.6640625" bestFit="1" customWidth="1"/>
    <col min="9" max="9" width="14.33203125" bestFit="1" customWidth="1"/>
    <col min="10" max="10" width="15.21875" bestFit="1" customWidth="1"/>
  </cols>
  <sheetData>
    <row r="3" spans="1:11" x14ac:dyDescent="0.3">
      <c r="B3" s="55" t="s">
        <v>1</v>
      </c>
      <c r="C3" s="55"/>
      <c r="D3" s="55"/>
      <c r="E3" s="55"/>
    </row>
    <row r="4" spans="1:11" x14ac:dyDescent="0.3">
      <c r="B4" s="55" t="s">
        <v>0</v>
      </c>
      <c r="C4" s="55"/>
      <c r="D4" s="55"/>
      <c r="E4" s="55"/>
    </row>
    <row r="5" spans="1:11" x14ac:dyDescent="0.3">
      <c r="B5" s="55" t="s">
        <v>2</v>
      </c>
      <c r="C5" s="55"/>
      <c r="D5" s="55"/>
      <c r="E5" s="55"/>
    </row>
    <row r="7" spans="1:11" x14ac:dyDescent="0.3">
      <c r="A7" s="18" t="s">
        <v>15</v>
      </c>
    </row>
    <row r="8" spans="1:11" x14ac:dyDescent="0.3">
      <c r="B8" s="58" t="s">
        <v>16</v>
      </c>
      <c r="C8" s="58"/>
      <c r="D8" s="58"/>
      <c r="E8" s="58"/>
      <c r="F8" s="58"/>
      <c r="G8" s="58"/>
      <c r="H8" s="58"/>
      <c r="I8" s="58"/>
      <c r="J8" s="1" t="s">
        <v>20</v>
      </c>
    </row>
    <row r="9" spans="1:11" x14ac:dyDescent="0.3">
      <c r="B9" s="60" t="s">
        <v>10</v>
      </c>
      <c r="C9" s="60"/>
      <c r="D9" s="11">
        <v>85000000</v>
      </c>
      <c r="F9" s="12" t="s">
        <v>17</v>
      </c>
      <c r="G9" s="12" t="s">
        <v>18</v>
      </c>
      <c r="H9" s="12" t="s">
        <v>14</v>
      </c>
      <c r="I9" s="12" t="s">
        <v>19</v>
      </c>
      <c r="J9" s="8">
        <f>D9</f>
        <v>85000000</v>
      </c>
    </row>
    <row r="10" spans="1:11" ht="14.4" customHeight="1" x14ac:dyDescent="0.3">
      <c r="B10" s="52" t="s">
        <v>11</v>
      </c>
      <c r="C10" s="52"/>
      <c r="D10" s="61">
        <v>0.12</v>
      </c>
      <c r="F10" s="1">
        <v>1</v>
      </c>
      <c r="G10" s="9">
        <f>J9*$D$14</f>
        <v>10668248.849999992</v>
      </c>
      <c r="H10" s="10">
        <f>$D$15</f>
        <v>20997750.909768987</v>
      </c>
      <c r="I10" s="1">
        <f>H10-G10</f>
        <v>10329502.059768995</v>
      </c>
      <c r="J10" s="8">
        <f>J9-I10</f>
        <v>74670497.94023101</v>
      </c>
    </row>
    <row r="11" spans="1:11" x14ac:dyDescent="0.3">
      <c r="B11" s="52"/>
      <c r="C11" s="52"/>
      <c r="D11" s="54"/>
      <c r="F11" s="1">
        <v>2</v>
      </c>
      <c r="G11" s="9">
        <f t="shared" ref="G11:G15" si="0">J10*$D$14</f>
        <v>9371805.3385858387</v>
      </c>
      <c r="H11" s="10">
        <f t="shared" ref="H11:H15" si="1">$D$15</f>
        <v>20997750.909768987</v>
      </c>
      <c r="I11" s="1">
        <f t="shared" ref="I11:I15" si="2">H11-G11</f>
        <v>11625945.571183149</v>
      </c>
      <c r="J11" s="8">
        <f t="shared" ref="J11:J15" si="3">J10-I11</f>
        <v>63044552.369047865</v>
      </c>
    </row>
    <row r="12" spans="1:11" x14ac:dyDescent="0.3">
      <c r="B12" s="52"/>
      <c r="C12" s="52"/>
      <c r="D12" s="54"/>
      <c r="F12" s="1">
        <v>3</v>
      </c>
      <c r="G12" s="9">
        <f t="shared" si="0"/>
        <v>7912646.7448218735</v>
      </c>
      <c r="H12" s="10">
        <f t="shared" si="1"/>
        <v>20997750.909768987</v>
      </c>
      <c r="I12" s="1">
        <f t="shared" si="2"/>
        <v>13085104.164947115</v>
      </c>
      <c r="J12" s="8">
        <f t="shared" si="3"/>
        <v>49959448.20410075</v>
      </c>
    </row>
    <row r="13" spans="1:11" ht="18" x14ac:dyDescent="0.35">
      <c r="B13" s="55" t="s">
        <v>12</v>
      </c>
      <c r="C13" s="55"/>
      <c r="D13" s="5">
        <v>6</v>
      </c>
      <c r="F13" s="13">
        <v>4</v>
      </c>
      <c r="G13" s="14">
        <f t="shared" si="0"/>
        <v>6270350.8923533177</v>
      </c>
      <c r="H13" s="15">
        <f t="shared" si="1"/>
        <v>20997750.909768987</v>
      </c>
      <c r="I13" s="13">
        <f t="shared" si="2"/>
        <v>14727400.017415669</v>
      </c>
      <c r="J13" s="16">
        <f t="shared" si="3"/>
        <v>35232048.186685085</v>
      </c>
      <c r="K13" t="s">
        <v>21</v>
      </c>
    </row>
    <row r="14" spans="1:11" x14ac:dyDescent="0.3">
      <c r="B14" s="55" t="s">
        <v>13</v>
      </c>
      <c r="C14" s="55"/>
      <c r="D14" s="6">
        <f>POWER(1+D10/4,4)-1</f>
        <v>0.12550880999999992</v>
      </c>
      <c r="F14" s="1">
        <v>5</v>
      </c>
      <c r="G14" s="9">
        <f t="shared" si="0"/>
        <v>4421932.4417735003</v>
      </c>
      <c r="H14" s="10">
        <f t="shared" si="1"/>
        <v>20997750.909768987</v>
      </c>
      <c r="I14" s="1">
        <f t="shared" si="2"/>
        <v>16575818.467995487</v>
      </c>
      <c r="J14" s="8">
        <f t="shared" si="3"/>
        <v>18656229.718689598</v>
      </c>
    </row>
    <row r="15" spans="1:11" x14ac:dyDescent="0.3">
      <c r="B15" s="55" t="s">
        <v>14</v>
      </c>
      <c r="C15" s="55"/>
      <c r="D15" s="7">
        <f>-PMT(D14,D13,D9)</f>
        <v>20997750.909768987</v>
      </c>
      <c r="F15" s="1">
        <v>6</v>
      </c>
      <c r="G15" s="9">
        <f t="shared" si="0"/>
        <v>2341521.1910793646</v>
      </c>
      <c r="H15" s="10">
        <f t="shared" si="1"/>
        <v>20997750.909768987</v>
      </c>
      <c r="I15" s="1">
        <f t="shared" si="2"/>
        <v>18656229.718689624</v>
      </c>
      <c r="J15" s="8">
        <f t="shared" si="3"/>
        <v>0</v>
      </c>
    </row>
    <row r="17" spans="1:11" x14ac:dyDescent="0.3">
      <c r="B17" s="56" t="s">
        <v>22</v>
      </c>
      <c r="C17" s="56"/>
      <c r="D17" s="56"/>
      <c r="E17" s="56"/>
      <c r="F17" s="56"/>
      <c r="G17" s="56"/>
      <c r="H17" s="56"/>
      <c r="I17" s="57"/>
      <c r="J17" s="17" t="s">
        <v>20</v>
      </c>
    </row>
    <row r="18" spans="1:11" x14ac:dyDescent="0.3">
      <c r="B18" s="55" t="s">
        <v>10</v>
      </c>
      <c r="C18" s="55"/>
      <c r="D18" s="8">
        <f>J13</f>
        <v>35232048.186685085</v>
      </c>
      <c r="F18" s="1" t="s">
        <v>17</v>
      </c>
      <c r="G18" s="1" t="s">
        <v>18</v>
      </c>
      <c r="H18" s="1" t="s">
        <v>14</v>
      </c>
      <c r="I18" s="1" t="s">
        <v>19</v>
      </c>
      <c r="J18" s="8">
        <f>D18</f>
        <v>35232048.186685085</v>
      </c>
    </row>
    <row r="19" spans="1:11" x14ac:dyDescent="0.3">
      <c r="B19" s="52" t="s">
        <v>23</v>
      </c>
      <c r="C19" s="52"/>
      <c r="D19" s="59">
        <v>0.05</v>
      </c>
      <c r="F19" s="1">
        <v>1</v>
      </c>
      <c r="G19" s="9">
        <f>J18*$D$23</f>
        <v>1802538.4514914935</v>
      </c>
      <c r="H19" s="10">
        <f>$D$24</f>
        <v>9962684.9212262407</v>
      </c>
      <c r="I19" s="1">
        <f>H19-G19</f>
        <v>8160146.469734747</v>
      </c>
      <c r="J19" s="8">
        <f>J18-I19</f>
        <v>27071901.716950338</v>
      </c>
    </row>
    <row r="20" spans="1:11" x14ac:dyDescent="0.3">
      <c r="B20" s="52"/>
      <c r="C20" s="52"/>
      <c r="D20" s="55"/>
      <c r="F20" s="1">
        <v>2</v>
      </c>
      <c r="G20" s="9">
        <f t="shared" ref="G20:G22" si="4">J19*$D$23</f>
        <v>1385049.8711069368</v>
      </c>
      <c r="H20" s="10">
        <f t="shared" ref="H20:H22" si="5">$D$24</f>
        <v>9962684.9212262407</v>
      </c>
      <c r="I20" s="1">
        <f t="shared" ref="I20:I22" si="6">H20-G20</f>
        <v>8577635.0501193032</v>
      </c>
      <c r="J20" s="8">
        <f t="shared" ref="J20:J22" si="7">J19-I20</f>
        <v>18494266.666831035</v>
      </c>
    </row>
    <row r="21" spans="1:11" x14ac:dyDescent="0.3">
      <c r="B21" s="52"/>
      <c r="C21" s="52"/>
      <c r="D21" s="55"/>
      <c r="F21" s="1">
        <v>3</v>
      </c>
      <c r="G21" s="9">
        <f t="shared" si="4"/>
        <v>946201.78260595573</v>
      </c>
      <c r="H21" s="10">
        <f t="shared" si="5"/>
        <v>9962684.9212262407</v>
      </c>
      <c r="I21" s="1">
        <f t="shared" si="6"/>
        <v>9016483.1386202853</v>
      </c>
      <c r="J21" s="8">
        <f t="shared" si="7"/>
        <v>9477783.5282107498</v>
      </c>
    </row>
    <row r="22" spans="1:11" ht="18" x14ac:dyDescent="0.35">
      <c r="B22" s="55" t="s">
        <v>24</v>
      </c>
      <c r="C22" s="55"/>
      <c r="D22" s="1">
        <v>4</v>
      </c>
      <c r="F22" s="13">
        <v>4</v>
      </c>
      <c r="G22" s="14">
        <f t="shared" si="4"/>
        <v>484901.39301549346</v>
      </c>
      <c r="H22" s="15">
        <f t="shared" si="5"/>
        <v>9962684.9212262407</v>
      </c>
      <c r="I22" s="13">
        <f t="shared" si="6"/>
        <v>9477783.528210748</v>
      </c>
      <c r="J22" s="16">
        <f t="shared" si="7"/>
        <v>0</v>
      </c>
      <c r="K22" t="s">
        <v>25</v>
      </c>
    </row>
    <row r="23" spans="1:11" x14ac:dyDescent="0.3">
      <c r="B23" s="47" t="s">
        <v>13</v>
      </c>
      <c r="C23" s="48"/>
      <c r="D23" s="19">
        <f>POWER(1+D19/12,12)-1</f>
        <v>5.116189788173342E-2</v>
      </c>
    </row>
    <row r="24" spans="1:11" x14ac:dyDescent="0.3">
      <c r="B24" s="55" t="s">
        <v>14</v>
      </c>
      <c r="C24" s="55"/>
      <c r="D24" s="10">
        <f>-PMT(D23,D22,D18)</f>
        <v>9962684.9212262407</v>
      </c>
    </row>
    <row r="26" spans="1:11" x14ac:dyDescent="0.3">
      <c r="A26" s="18" t="s">
        <v>26</v>
      </c>
    </row>
    <row r="27" spans="1:11" x14ac:dyDescent="0.3">
      <c r="B27" s="47" t="s">
        <v>27</v>
      </c>
      <c r="C27" s="48"/>
      <c r="D27" s="20">
        <v>0.03</v>
      </c>
    </row>
    <row r="29" spans="1:11" x14ac:dyDescent="0.3">
      <c r="B29" s="1" t="s">
        <v>17</v>
      </c>
      <c r="C29" s="1" t="s">
        <v>14</v>
      </c>
      <c r="D29" s="1" t="s">
        <v>28</v>
      </c>
    </row>
    <row r="30" spans="1:11" ht="14.4" customHeight="1" x14ac:dyDescent="0.3">
      <c r="B30" s="1">
        <v>1</v>
      </c>
      <c r="C30" s="10">
        <f>$D$15</f>
        <v>20997750.909768987</v>
      </c>
      <c r="D30" s="10">
        <f t="shared" ref="D30:D37" si="8">-PV($D$27,B30,,C30)</f>
        <v>20386165.931814551</v>
      </c>
      <c r="F30" s="49" t="s">
        <v>29</v>
      </c>
      <c r="G30" s="49"/>
      <c r="H30" s="50">
        <f>SUM(D30:D37)</f>
        <v>110953407.68925402</v>
      </c>
    </row>
    <row r="31" spans="1:11" x14ac:dyDescent="0.3">
      <c r="B31" s="1">
        <v>2</v>
      </c>
      <c r="C31" s="10">
        <f t="shared" ref="C31:C33" si="9">$D$15</f>
        <v>20997750.909768987</v>
      </c>
      <c r="D31" s="10">
        <f t="shared" si="8"/>
        <v>19792394.108557817</v>
      </c>
      <c r="F31" s="49"/>
      <c r="G31" s="49"/>
      <c r="H31" s="51"/>
    </row>
    <row r="32" spans="1:11" x14ac:dyDescent="0.3">
      <c r="B32" s="1">
        <v>3</v>
      </c>
      <c r="C32" s="10">
        <f t="shared" si="9"/>
        <v>20997750.909768987</v>
      </c>
      <c r="D32" s="10">
        <f t="shared" si="8"/>
        <v>19215916.610250305</v>
      </c>
    </row>
    <row r="33" spans="1:10" x14ac:dyDescent="0.3">
      <c r="B33" s="1">
        <v>4</v>
      </c>
      <c r="C33" s="10">
        <f t="shared" si="9"/>
        <v>20997750.909768987</v>
      </c>
      <c r="D33" s="10">
        <f t="shared" si="8"/>
        <v>18656229.71868962</v>
      </c>
    </row>
    <row r="34" spans="1:10" x14ac:dyDescent="0.3">
      <c r="B34" s="1">
        <v>5</v>
      </c>
      <c r="C34" s="10">
        <f>$D$24</f>
        <v>9962684.9212262407</v>
      </c>
      <c r="D34" s="10">
        <f t="shared" si="8"/>
        <v>8593899.529101409</v>
      </c>
    </row>
    <row r="35" spans="1:10" x14ac:dyDescent="0.3">
      <c r="B35" s="1">
        <v>6</v>
      </c>
      <c r="C35" s="10">
        <f t="shared" ref="C35:C37" si="10">$D$24</f>
        <v>9962684.9212262407</v>
      </c>
      <c r="D35" s="10">
        <f t="shared" si="8"/>
        <v>8343591.7758266106</v>
      </c>
    </row>
    <row r="36" spans="1:10" x14ac:dyDescent="0.3">
      <c r="B36" s="1">
        <v>7</v>
      </c>
      <c r="C36" s="10">
        <f t="shared" si="10"/>
        <v>9962684.9212262407</v>
      </c>
      <c r="D36" s="10">
        <f t="shared" si="8"/>
        <v>8100574.5396374855</v>
      </c>
    </row>
    <row r="37" spans="1:10" x14ac:dyDescent="0.3">
      <c r="B37" s="1">
        <v>8</v>
      </c>
      <c r="C37" s="10">
        <f t="shared" si="10"/>
        <v>9962684.9212262407</v>
      </c>
      <c r="D37" s="10">
        <f t="shared" si="8"/>
        <v>7864635.4753761999</v>
      </c>
    </row>
    <row r="39" spans="1:10" x14ac:dyDescent="0.3">
      <c r="A39" s="18" t="s">
        <v>30</v>
      </c>
    </row>
    <row r="40" spans="1:10" x14ac:dyDescent="0.3">
      <c r="B40" s="1" t="s">
        <v>31</v>
      </c>
      <c r="C40" s="1"/>
      <c r="D40" s="1"/>
      <c r="G40" s="55" t="s">
        <v>13</v>
      </c>
      <c r="H40" s="55"/>
      <c r="I40" s="35">
        <v>5.116189788173342E-2</v>
      </c>
    </row>
    <row r="41" spans="1:10" x14ac:dyDescent="0.3">
      <c r="B41" s="55" t="s">
        <v>32</v>
      </c>
      <c r="C41" s="55"/>
      <c r="D41" s="4">
        <v>0.01</v>
      </c>
      <c r="G41" s="55" t="s">
        <v>14</v>
      </c>
      <c r="H41" s="55"/>
      <c r="I41" s="10">
        <f>-PMT(I40,4,J43)</f>
        <v>10367209.879394561</v>
      </c>
    </row>
    <row r="42" spans="1:10" x14ac:dyDescent="0.3">
      <c r="B42" s="55" t="s">
        <v>33</v>
      </c>
      <c r="C42" s="55"/>
      <c r="D42" s="5">
        <v>4</v>
      </c>
      <c r="F42" s="51" t="s">
        <v>38</v>
      </c>
      <c r="G42" s="51"/>
      <c r="H42" s="51"/>
      <c r="I42" s="51"/>
      <c r="J42" s="27" t="s">
        <v>20</v>
      </c>
    </row>
    <row r="43" spans="1:10" x14ac:dyDescent="0.3">
      <c r="B43" s="55" t="s">
        <v>34</v>
      </c>
      <c r="C43" s="55"/>
      <c r="D43" s="23">
        <f>J13</f>
        <v>35232048.186685085</v>
      </c>
      <c r="F43" s="27" t="s">
        <v>17</v>
      </c>
      <c r="G43" s="27" t="s">
        <v>18</v>
      </c>
      <c r="H43" s="27" t="s">
        <v>14</v>
      </c>
      <c r="I43" s="27" t="s">
        <v>19</v>
      </c>
      <c r="J43" s="28">
        <f>D47</f>
        <v>36662610.623577729</v>
      </c>
    </row>
    <row r="44" spans="1:10" x14ac:dyDescent="0.3">
      <c r="B44" s="55" t="s">
        <v>35</v>
      </c>
      <c r="C44" s="55"/>
      <c r="D44" s="21">
        <f>-FV(D41,D42,,D43)</f>
        <v>36662610.623577729</v>
      </c>
      <c r="F44" s="27">
        <v>1</v>
      </c>
      <c r="G44" s="29">
        <f>J43*$I$40</f>
        <v>1875728.7408012387</v>
      </c>
      <c r="H44" s="28">
        <f>$I$41</f>
        <v>10367209.879394561</v>
      </c>
      <c r="I44" s="27">
        <f>H44-G44</f>
        <v>8491481.1385933217</v>
      </c>
      <c r="J44" s="30">
        <f>J43-I44</f>
        <v>28171129.484984405</v>
      </c>
    </row>
    <row r="45" spans="1:10" x14ac:dyDescent="0.3">
      <c r="B45" s="55" t="s">
        <v>36</v>
      </c>
      <c r="C45" s="55"/>
      <c r="D45" s="23">
        <f>D44-D43</f>
        <v>1430562.4368926436</v>
      </c>
      <c r="F45" s="27">
        <v>2</v>
      </c>
      <c r="G45" s="29">
        <f t="shared" ref="G45:G47" si="11">J44*$I$40</f>
        <v>1441288.4499238615</v>
      </c>
      <c r="H45" s="28">
        <f t="shared" ref="H45:H47" si="12">$I$41</f>
        <v>10367209.879394561</v>
      </c>
      <c r="I45" s="27">
        <f t="shared" ref="I45:I47" si="13">H45-G45</f>
        <v>8925921.4294706993</v>
      </c>
      <c r="J45" s="30">
        <f t="shared" ref="J45:J47" si="14">J44-I45</f>
        <v>19245208.055513706</v>
      </c>
    </row>
    <row r="46" spans="1:10" x14ac:dyDescent="0.3">
      <c r="D46" s="3"/>
      <c r="F46" s="27">
        <v>3</v>
      </c>
      <c r="G46" s="29">
        <f t="shared" si="11"/>
        <v>984621.36924890568</v>
      </c>
      <c r="H46" s="28">
        <f t="shared" si="12"/>
        <v>10367209.879394561</v>
      </c>
      <c r="I46" s="27">
        <f t="shared" si="13"/>
        <v>9382588.5101456549</v>
      </c>
      <c r="J46" s="30">
        <f t="shared" si="14"/>
        <v>9862619.5453680512</v>
      </c>
    </row>
    <row r="47" spans="1:10" ht="18" x14ac:dyDescent="0.3">
      <c r="B47" s="52" t="s">
        <v>37</v>
      </c>
      <c r="C47" s="52"/>
      <c r="D47" s="53">
        <f>D44</f>
        <v>36662610.623577729</v>
      </c>
      <c r="F47" s="31">
        <v>4</v>
      </c>
      <c r="G47" s="32">
        <f t="shared" si="11"/>
        <v>504590.33402650832</v>
      </c>
      <c r="H47" s="33">
        <f t="shared" si="12"/>
        <v>10367209.879394561</v>
      </c>
      <c r="I47" s="31">
        <f t="shared" si="13"/>
        <v>9862619.545368053</v>
      </c>
      <c r="J47" s="34">
        <f t="shared" si="14"/>
        <v>0</v>
      </c>
    </row>
    <row r="48" spans="1:10" x14ac:dyDescent="0.3">
      <c r="B48" s="52"/>
      <c r="C48" s="52"/>
      <c r="D48" s="54"/>
      <c r="G48" s="24"/>
      <c r="H48" s="25"/>
      <c r="J48" s="26"/>
    </row>
    <row r="49" spans="2:10" x14ac:dyDescent="0.3">
      <c r="G49" s="24"/>
      <c r="H49" s="25"/>
      <c r="J49" s="26"/>
    </row>
    <row r="50" spans="2:10" x14ac:dyDescent="0.3">
      <c r="B50" s="47" t="s">
        <v>27</v>
      </c>
      <c r="C50" s="48"/>
      <c r="D50" s="20">
        <v>0.03</v>
      </c>
    </row>
    <row r="52" spans="2:10" x14ac:dyDescent="0.3">
      <c r="B52" s="1" t="s">
        <v>17</v>
      </c>
      <c r="C52" s="1" t="s">
        <v>14</v>
      </c>
      <c r="D52" s="1" t="s">
        <v>28</v>
      </c>
    </row>
    <row r="53" spans="2:10" x14ac:dyDescent="0.3">
      <c r="B53" s="1">
        <v>1</v>
      </c>
      <c r="C53" s="10">
        <f>$D$15</f>
        <v>20997750.909768987</v>
      </c>
      <c r="D53" s="10">
        <f t="shared" ref="D53:D60" si="15">-PV($D$27,B53,,C53)</f>
        <v>20386165.931814551</v>
      </c>
      <c r="F53" s="49" t="s">
        <v>29</v>
      </c>
      <c r="G53" s="49"/>
      <c r="H53" s="50">
        <f>SUM(D53:D60)</f>
        <v>112289389.30267593</v>
      </c>
    </row>
    <row r="54" spans="2:10" x14ac:dyDescent="0.3">
      <c r="B54" s="1">
        <v>2</v>
      </c>
      <c r="C54" s="10">
        <f t="shared" ref="C54:C56" si="16">$D$15</f>
        <v>20997750.909768987</v>
      </c>
      <c r="D54" s="10">
        <f t="shared" si="15"/>
        <v>19792394.108557817</v>
      </c>
      <c r="F54" s="49"/>
      <c r="G54" s="49"/>
      <c r="H54" s="51"/>
    </row>
    <row r="55" spans="2:10" x14ac:dyDescent="0.3">
      <c r="B55" s="1">
        <v>3</v>
      </c>
      <c r="C55" s="10">
        <f t="shared" si="16"/>
        <v>20997750.909768987</v>
      </c>
      <c r="D55" s="10">
        <f t="shared" si="15"/>
        <v>19215916.610250305</v>
      </c>
    </row>
    <row r="56" spans="2:10" x14ac:dyDescent="0.3">
      <c r="B56" s="1">
        <v>4</v>
      </c>
      <c r="C56" s="10">
        <f t="shared" si="16"/>
        <v>20997750.909768987</v>
      </c>
      <c r="D56" s="10">
        <f t="shared" si="15"/>
        <v>18656229.71868962</v>
      </c>
    </row>
    <row r="57" spans="2:10" x14ac:dyDescent="0.3">
      <c r="B57" s="1">
        <v>5</v>
      </c>
      <c r="C57" s="10">
        <f>$I$41</f>
        <v>10367209.879394561</v>
      </c>
      <c r="D57" s="10">
        <f t="shared" si="15"/>
        <v>8942846.3115200382</v>
      </c>
    </row>
    <row r="58" spans="2:10" x14ac:dyDescent="0.3">
      <c r="B58" s="1">
        <v>6</v>
      </c>
      <c r="C58" s="10">
        <f t="shared" ref="C58:C60" si="17">$I$41</f>
        <v>10367209.879394561</v>
      </c>
      <c r="D58" s="10">
        <f t="shared" si="15"/>
        <v>8682375.0597281922</v>
      </c>
    </row>
    <row r="59" spans="2:10" x14ac:dyDescent="0.3">
      <c r="B59" s="1">
        <v>7</v>
      </c>
      <c r="C59" s="10">
        <f t="shared" si="17"/>
        <v>10367209.879394561</v>
      </c>
      <c r="D59" s="10">
        <f t="shared" si="15"/>
        <v>8429490.3492506724</v>
      </c>
    </row>
    <row r="60" spans="2:10" x14ac:dyDescent="0.3">
      <c r="B60" s="1">
        <v>8</v>
      </c>
      <c r="C60" s="10">
        <f t="shared" si="17"/>
        <v>10367209.879394561</v>
      </c>
      <c r="D60" s="10">
        <f t="shared" si="15"/>
        <v>8183971.2128647305</v>
      </c>
    </row>
  </sheetData>
  <mergeCells count="33">
    <mergeCell ref="B8:I8"/>
    <mergeCell ref="B19:C21"/>
    <mergeCell ref="B18:C18"/>
    <mergeCell ref="D19:D21"/>
    <mergeCell ref="B3:E3"/>
    <mergeCell ref="B4:E4"/>
    <mergeCell ref="B5:E5"/>
    <mergeCell ref="B10:C12"/>
    <mergeCell ref="B9:C9"/>
    <mergeCell ref="D10:D12"/>
    <mergeCell ref="B17:I17"/>
    <mergeCell ref="B27:C27"/>
    <mergeCell ref="F30:G31"/>
    <mergeCell ref="H30:H31"/>
    <mergeCell ref="B13:C13"/>
    <mergeCell ref="B14:C14"/>
    <mergeCell ref="B15:C15"/>
    <mergeCell ref="B43:C43"/>
    <mergeCell ref="B44:C44"/>
    <mergeCell ref="B45:C45"/>
    <mergeCell ref="B22:C22"/>
    <mergeCell ref="B24:C24"/>
    <mergeCell ref="B23:C23"/>
    <mergeCell ref="G40:H40"/>
    <mergeCell ref="G41:H41"/>
    <mergeCell ref="F42:I42"/>
    <mergeCell ref="B41:C41"/>
    <mergeCell ref="B42:C42"/>
    <mergeCell ref="B50:C50"/>
    <mergeCell ref="F53:G54"/>
    <mergeCell ref="H53:H54"/>
    <mergeCell ref="B47:C48"/>
    <mergeCell ref="D47:D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7F87-4331-4706-8B15-E2AE0F37D451}">
  <dimension ref="B3:M35"/>
  <sheetViews>
    <sheetView tabSelected="1" workbookViewId="0">
      <selection activeCell="C35" sqref="C35"/>
    </sheetView>
  </sheetViews>
  <sheetFormatPr baseColWidth="10" defaultRowHeight="14.4" x14ac:dyDescent="0.3"/>
  <cols>
    <col min="2" max="2" width="25.33203125" bestFit="1" customWidth="1"/>
    <col min="3" max="3" width="17.33203125" bestFit="1" customWidth="1"/>
    <col min="4" max="4" width="16.109375" bestFit="1" customWidth="1"/>
    <col min="5" max="5" width="19.6640625" bestFit="1" customWidth="1"/>
    <col min="6" max="8" width="16.109375" bestFit="1" customWidth="1"/>
    <col min="10" max="12" width="14.33203125" bestFit="1" customWidth="1"/>
    <col min="13" max="13" width="15.33203125" bestFit="1" customWidth="1"/>
  </cols>
  <sheetData>
    <row r="3" spans="2:13" x14ac:dyDescent="0.3">
      <c r="B3" s="55" t="s">
        <v>1</v>
      </c>
      <c r="C3" s="55"/>
      <c r="D3" s="55"/>
      <c r="E3" s="55"/>
    </row>
    <row r="4" spans="2:13" x14ac:dyDescent="0.3">
      <c r="B4" s="55" t="s">
        <v>0</v>
      </c>
      <c r="C4" s="55"/>
      <c r="D4" s="55"/>
      <c r="E4" s="55"/>
    </row>
    <row r="5" spans="2:13" x14ac:dyDescent="0.3">
      <c r="B5" s="55" t="s">
        <v>2</v>
      </c>
      <c r="C5" s="55"/>
      <c r="D5" s="55"/>
      <c r="E5" s="55"/>
    </row>
    <row r="7" spans="2:13" x14ac:dyDescent="0.3">
      <c r="B7" s="1"/>
      <c r="C7" s="1"/>
      <c r="D7" s="1">
        <v>1</v>
      </c>
      <c r="E7" s="1">
        <v>2</v>
      </c>
      <c r="F7" s="1">
        <v>3</v>
      </c>
      <c r="G7" s="1">
        <v>4</v>
      </c>
      <c r="H7" s="1">
        <v>5</v>
      </c>
    </row>
    <row r="8" spans="2:13" x14ac:dyDescent="0.3">
      <c r="B8" s="36" t="s">
        <v>39</v>
      </c>
      <c r="C8" s="1"/>
      <c r="D8" s="1"/>
      <c r="E8" s="1"/>
      <c r="F8" s="1"/>
      <c r="G8" s="1"/>
      <c r="H8" s="1"/>
      <c r="J8" s="52" t="s">
        <v>74</v>
      </c>
      <c r="K8" s="52"/>
      <c r="L8" s="52"/>
      <c r="M8" s="61">
        <v>0.21</v>
      </c>
    </row>
    <row r="9" spans="2:13" x14ac:dyDescent="0.3">
      <c r="B9" s="37" t="s">
        <v>40</v>
      </c>
      <c r="C9" s="1"/>
      <c r="D9" s="1">
        <v>2600000</v>
      </c>
      <c r="E9" s="1">
        <v>3400000</v>
      </c>
      <c r="F9" s="1">
        <f>E9*1.08</f>
        <v>3672000.0000000005</v>
      </c>
      <c r="G9" s="1">
        <f t="shared" ref="G9:H9" si="0">F9*1.08</f>
        <v>3965760.0000000009</v>
      </c>
      <c r="H9" s="1">
        <f t="shared" si="0"/>
        <v>4283020.8000000017</v>
      </c>
      <c r="J9" s="52"/>
      <c r="K9" s="52"/>
      <c r="L9" s="52"/>
      <c r="M9" s="61"/>
    </row>
    <row r="10" spans="2:13" x14ac:dyDescent="0.3">
      <c r="B10" s="37" t="s">
        <v>41</v>
      </c>
      <c r="C10" s="1"/>
      <c r="D10" s="45">
        <v>8500</v>
      </c>
      <c r="E10" s="45">
        <f>D10*1.035</f>
        <v>8797.5</v>
      </c>
      <c r="F10" s="45">
        <f t="shared" ref="F10:H10" si="1">E10*1.035</f>
        <v>9105.4124999999985</v>
      </c>
      <c r="G10" s="45">
        <f t="shared" si="1"/>
        <v>9424.1019374999978</v>
      </c>
      <c r="H10" s="45">
        <f t="shared" si="1"/>
        <v>9753.9455053124966</v>
      </c>
      <c r="M10" s="42"/>
    </row>
    <row r="11" spans="2:13" x14ac:dyDescent="0.3">
      <c r="B11" s="37" t="s">
        <v>39</v>
      </c>
      <c r="C11" s="1"/>
      <c r="D11" s="8">
        <f>D9*D10</f>
        <v>22100000000</v>
      </c>
      <c r="E11" s="8">
        <f t="shared" ref="E11:H11" si="2">E9*E10</f>
        <v>29911500000</v>
      </c>
      <c r="F11" s="8">
        <f t="shared" si="2"/>
        <v>33435074700</v>
      </c>
      <c r="G11" s="8">
        <f t="shared" si="2"/>
        <v>37373726499.660004</v>
      </c>
      <c r="H11" s="8">
        <f t="shared" si="2"/>
        <v>41776351481.319946</v>
      </c>
      <c r="J11" s="37" t="s">
        <v>75</v>
      </c>
      <c r="K11" s="44">
        <f>POWER(1+M8/2,2)-1</f>
        <v>0.22102500000000003</v>
      </c>
      <c r="L11" s="37" t="s">
        <v>60</v>
      </c>
      <c r="M11" s="45">
        <f>-(C27+C28+C29+C31)*0.8</f>
        <v>16495600000</v>
      </c>
    </row>
    <row r="12" spans="2:13" x14ac:dyDescent="0.3">
      <c r="B12" s="37"/>
      <c r="C12" s="1"/>
      <c r="D12" s="1"/>
      <c r="E12" s="1"/>
      <c r="F12" s="1"/>
      <c r="G12" s="1"/>
      <c r="H12" s="1"/>
      <c r="J12" s="37" t="s">
        <v>14</v>
      </c>
      <c r="K12" s="45">
        <f>-PMT(K11,5,M11)</f>
        <v>5772992513.3477087</v>
      </c>
      <c r="L12" s="37"/>
      <c r="M12" s="37"/>
    </row>
    <row r="13" spans="2:13" x14ac:dyDescent="0.3">
      <c r="B13" s="36" t="s">
        <v>42</v>
      </c>
      <c r="C13" s="1"/>
      <c r="D13" s="1"/>
      <c r="E13" s="1"/>
      <c r="F13" s="1"/>
      <c r="G13" s="1"/>
      <c r="H13" s="1"/>
      <c r="J13" s="37"/>
      <c r="K13" s="37"/>
      <c r="L13" s="37"/>
      <c r="M13" s="37" t="s">
        <v>20</v>
      </c>
    </row>
    <row r="14" spans="2:13" x14ac:dyDescent="0.3">
      <c r="B14" s="37" t="s">
        <v>43</v>
      </c>
      <c r="C14" s="1"/>
      <c r="D14" s="45">
        <v>-120000000</v>
      </c>
      <c r="E14" s="45">
        <f>D14*1.04</f>
        <v>-124800000</v>
      </c>
      <c r="F14" s="45">
        <f t="shared" ref="F14:H14" si="3">E14*1.04</f>
        <v>-129792000</v>
      </c>
      <c r="G14" s="45">
        <f t="shared" si="3"/>
        <v>-134983680</v>
      </c>
      <c r="H14" s="45">
        <f t="shared" si="3"/>
        <v>-140383027.20000002</v>
      </c>
      <c r="J14" s="37" t="s">
        <v>59</v>
      </c>
      <c r="K14" s="37" t="s">
        <v>14</v>
      </c>
      <c r="L14" s="37" t="s">
        <v>61</v>
      </c>
      <c r="M14" s="45">
        <f>M11</f>
        <v>16495600000</v>
      </c>
    </row>
    <row r="15" spans="2:13" x14ac:dyDescent="0.3">
      <c r="B15" s="37" t="s">
        <v>44</v>
      </c>
      <c r="C15" s="1"/>
      <c r="D15" s="45">
        <f>-POWER(1.05,D7-1)*4500*D9-(1300000*D9/1000)-(250000*D9/1000)</f>
        <v>-15730000000</v>
      </c>
      <c r="E15" s="45">
        <f t="shared" ref="E15:H15" si="4">-POWER(1.05,E7-1)*4500*E9-(1300000*E9/1000)-(250000*E9/1000)</f>
        <v>-21335000000</v>
      </c>
      <c r="F15" s="45">
        <f t="shared" si="4"/>
        <v>-23909310000.000004</v>
      </c>
      <c r="G15" s="45">
        <f t="shared" si="4"/>
        <v>-26805811140.000008</v>
      </c>
      <c r="H15" s="45">
        <f t="shared" si="4"/>
        <v>-30065855720.76001</v>
      </c>
      <c r="I15">
        <v>1</v>
      </c>
      <c r="J15" s="45">
        <f>$K$11*M14</f>
        <v>3645939990.0000005</v>
      </c>
      <c r="K15" s="45">
        <f>$K$12</f>
        <v>5772992513.3477087</v>
      </c>
      <c r="L15" s="45">
        <f>K15-J15</f>
        <v>2127052523.3477082</v>
      </c>
      <c r="M15" s="45">
        <f>M14-L15</f>
        <v>14368547476.652292</v>
      </c>
    </row>
    <row r="16" spans="2:13" x14ac:dyDescent="0.3">
      <c r="B16" s="37" t="s">
        <v>45</v>
      </c>
      <c r="C16" s="8">
        <f>C29/6 + C28/12</f>
        <v>-4416666.666666667</v>
      </c>
      <c r="D16" s="8">
        <f>$C$16</f>
        <v>-4416666.666666667</v>
      </c>
      <c r="E16" s="8">
        <f t="shared" ref="E16:H16" si="5">$C$16</f>
        <v>-4416666.666666667</v>
      </c>
      <c r="F16" s="8">
        <f t="shared" si="5"/>
        <v>-4416666.666666667</v>
      </c>
      <c r="G16" s="8">
        <f t="shared" si="5"/>
        <v>-4416666.666666667</v>
      </c>
      <c r="H16" s="8">
        <f t="shared" si="5"/>
        <v>-4416666.666666667</v>
      </c>
      <c r="I16">
        <v>2</v>
      </c>
      <c r="J16" s="45">
        <f>$K$11*M15</f>
        <v>3175808206.0270734</v>
      </c>
      <c r="K16" s="45">
        <f t="shared" ref="K16:K19" si="6">$K$12</f>
        <v>5772992513.3477087</v>
      </c>
      <c r="L16" s="45">
        <f t="shared" ref="L16:L19" si="7">K16-J16</f>
        <v>2597184307.3206353</v>
      </c>
      <c r="M16" s="45">
        <f t="shared" ref="M16:M19" si="8">M15-L16</f>
        <v>11771363169.331657</v>
      </c>
    </row>
    <row r="17" spans="2:13" x14ac:dyDescent="0.3">
      <c r="B17" s="37" t="s">
        <v>18</v>
      </c>
      <c r="C17" s="1"/>
      <c r="D17" s="45" cm="1">
        <f t="array" ref="D17:H17">-TRANSPOSE(J15:J19)</f>
        <v>-3645939990.0000005</v>
      </c>
      <c r="E17" s="45">
        <v>-3175808206.0270734</v>
      </c>
      <c r="F17" s="45">
        <v>-2601765544.5015297</v>
      </c>
      <c r="G17" s="45">
        <v>-1900845103.7123029</v>
      </c>
      <c r="H17" s="45">
        <v>-1045003722.4976373</v>
      </c>
      <c r="I17">
        <v>3</v>
      </c>
      <c r="J17" s="45">
        <f>$K$11*M16</f>
        <v>2601765544.5015297</v>
      </c>
      <c r="K17" s="45">
        <f t="shared" si="6"/>
        <v>5772992513.3477087</v>
      </c>
      <c r="L17" s="45">
        <f t="shared" si="7"/>
        <v>3171226968.846179</v>
      </c>
      <c r="M17" s="45">
        <f t="shared" si="8"/>
        <v>8600136200.4854774</v>
      </c>
    </row>
    <row r="18" spans="2:13" x14ac:dyDescent="0.3">
      <c r="B18" s="37" t="s">
        <v>46</v>
      </c>
      <c r="C18" s="1"/>
      <c r="D18" s="45">
        <v>-7000000</v>
      </c>
      <c r="E18" s="45">
        <f>D18*1.025</f>
        <v>-7174999.9999999991</v>
      </c>
      <c r="F18" s="45">
        <f t="shared" ref="F18:H18" si="9">E18*1.025</f>
        <v>-7354374.9999999981</v>
      </c>
      <c r="G18" s="45">
        <f t="shared" si="9"/>
        <v>-7538234.3749999972</v>
      </c>
      <c r="H18" s="45">
        <f t="shared" si="9"/>
        <v>-7726690.2343749963</v>
      </c>
      <c r="I18">
        <v>4</v>
      </c>
      <c r="J18" s="45">
        <f>$K$11*M17</f>
        <v>1900845103.7123029</v>
      </c>
      <c r="K18" s="45">
        <f t="shared" si="6"/>
        <v>5772992513.3477087</v>
      </c>
      <c r="L18" s="45">
        <f t="shared" si="7"/>
        <v>3872147409.6354055</v>
      </c>
      <c r="M18" s="45">
        <f t="shared" si="8"/>
        <v>4727988790.8500719</v>
      </c>
    </row>
    <row r="19" spans="2:13" x14ac:dyDescent="0.3">
      <c r="B19" s="37" t="s">
        <v>42</v>
      </c>
      <c r="C19" s="1"/>
      <c r="D19" s="8">
        <f>SUM(D14:D18)</f>
        <v>-19507356656.666668</v>
      </c>
      <c r="E19" s="8">
        <f t="shared" ref="E19:H19" si="10">SUM(E14:E18)</f>
        <v>-24647199872.693741</v>
      </c>
      <c r="F19" s="8">
        <f t="shared" si="10"/>
        <v>-26652638586.168201</v>
      </c>
      <c r="G19" s="8">
        <f t="shared" si="10"/>
        <v>-28853594824.753979</v>
      </c>
      <c r="H19" s="8">
        <f t="shared" si="10"/>
        <v>-31263385827.358692</v>
      </c>
      <c r="I19">
        <v>5</v>
      </c>
      <c r="J19" s="45">
        <f>$K$11*M18</f>
        <v>1045003722.4976373</v>
      </c>
      <c r="K19" s="45">
        <f t="shared" si="6"/>
        <v>5772992513.3477087</v>
      </c>
      <c r="L19" s="45">
        <f t="shared" si="7"/>
        <v>4727988790.850071</v>
      </c>
      <c r="M19" s="45">
        <f t="shared" si="8"/>
        <v>0</v>
      </c>
    </row>
    <row r="20" spans="2:13" x14ac:dyDescent="0.3">
      <c r="B20" s="37" t="s">
        <v>47</v>
      </c>
      <c r="C20" s="1"/>
      <c r="D20" s="8">
        <f>D11+D19</f>
        <v>2592643343.3333321</v>
      </c>
      <c r="E20" s="8">
        <f t="shared" ref="E20:H20" si="11">E11+E19</f>
        <v>5264300127.3062592</v>
      </c>
      <c r="F20" s="8">
        <f t="shared" si="11"/>
        <v>6782436113.8317986</v>
      </c>
      <c r="G20" s="8">
        <f t="shared" si="11"/>
        <v>8520131674.9060249</v>
      </c>
      <c r="H20" s="8">
        <f t="shared" si="11"/>
        <v>10512965653.961254</v>
      </c>
    </row>
    <row r="21" spans="2:13" x14ac:dyDescent="0.3">
      <c r="B21" s="37" t="s">
        <v>48</v>
      </c>
      <c r="C21" s="43">
        <v>-0.27</v>
      </c>
      <c r="D21" s="45">
        <f>D20*$C$21</f>
        <v>-700013702.69999969</v>
      </c>
      <c r="E21" s="45">
        <f>E20*$C$21</f>
        <v>-1421361034.37269</v>
      </c>
      <c r="F21" s="45">
        <f t="shared" ref="F21:H21" si="12">F20*$C$21</f>
        <v>-1831257750.7345858</v>
      </c>
      <c r="G21" s="45">
        <f t="shared" si="12"/>
        <v>-2300435552.224627</v>
      </c>
      <c r="H21" s="45">
        <f t="shared" si="12"/>
        <v>-2838500726.5695386</v>
      </c>
    </row>
    <row r="22" spans="2:13" x14ac:dyDescent="0.3">
      <c r="B22" s="37"/>
      <c r="C22" s="1"/>
      <c r="D22" s="1"/>
      <c r="E22" s="1"/>
      <c r="F22" s="1"/>
      <c r="G22" s="1"/>
      <c r="H22" s="1"/>
    </row>
    <row r="23" spans="2:13" x14ac:dyDescent="0.3">
      <c r="B23" s="36" t="s">
        <v>49</v>
      </c>
      <c r="C23" s="1"/>
      <c r="D23" s="45">
        <f>D20+D21</f>
        <v>1892629640.6333323</v>
      </c>
      <c r="E23" s="45">
        <f t="shared" ref="E23:H23" si="13">E20+E21</f>
        <v>3842939092.933569</v>
      </c>
      <c r="F23" s="45">
        <f t="shared" si="13"/>
        <v>4951178363.0972128</v>
      </c>
      <c r="G23" s="45">
        <f t="shared" si="13"/>
        <v>6219696122.6813984</v>
      </c>
      <c r="H23" s="45">
        <f t="shared" si="13"/>
        <v>7674464927.391716</v>
      </c>
    </row>
    <row r="24" spans="2:13" x14ac:dyDescent="0.3">
      <c r="B24" s="37" t="s">
        <v>45</v>
      </c>
      <c r="C24" s="1"/>
      <c r="D24" s="8">
        <f>-D16</f>
        <v>4416666.666666667</v>
      </c>
      <c r="E24" s="8">
        <f t="shared" ref="E24:H24" si="14">-E16</f>
        <v>4416666.666666667</v>
      </c>
      <c r="F24" s="8">
        <f t="shared" si="14"/>
        <v>4416666.666666667</v>
      </c>
      <c r="G24" s="8">
        <f t="shared" si="14"/>
        <v>4416666.666666667</v>
      </c>
      <c r="H24" s="8">
        <f t="shared" si="14"/>
        <v>4416666.666666667</v>
      </c>
    </row>
    <row r="25" spans="2:13" x14ac:dyDescent="0.3">
      <c r="B25" s="37" t="s">
        <v>19</v>
      </c>
      <c r="C25" s="1"/>
      <c r="D25" s="45" cm="1">
        <f t="array" ref="D25:H25">-TRANSPOSE(L15:L19)</f>
        <v>-2127052523.3477082</v>
      </c>
      <c r="E25" s="45">
        <v>-2597184307.3206353</v>
      </c>
      <c r="F25" s="45">
        <v>-3171226968.846179</v>
      </c>
      <c r="G25" s="45">
        <v>-3872147409.6354055</v>
      </c>
      <c r="H25" s="45">
        <v>-4727988790.850071</v>
      </c>
    </row>
    <row r="26" spans="2:13" x14ac:dyDescent="0.3">
      <c r="B26" s="36" t="s">
        <v>50</v>
      </c>
      <c r="C26" s="1"/>
      <c r="D26" s="1"/>
      <c r="E26" s="1"/>
      <c r="F26" s="1"/>
      <c r="G26" s="1"/>
      <c r="H26" s="1"/>
    </row>
    <row r="27" spans="2:13" x14ac:dyDescent="0.3">
      <c r="B27" s="37" t="s">
        <v>51</v>
      </c>
      <c r="C27" s="45">
        <v>-130000000</v>
      </c>
      <c r="D27" s="1"/>
      <c r="E27" s="1"/>
      <c r="F27" s="1"/>
      <c r="G27" s="1"/>
      <c r="H27" s="45">
        <f>(-C27)*0.7</f>
        <v>91000000</v>
      </c>
    </row>
    <row r="28" spans="2:13" x14ac:dyDescent="0.3">
      <c r="B28" s="37" t="s">
        <v>52</v>
      </c>
      <c r="C28" s="45">
        <v>-28000000</v>
      </c>
      <c r="D28" s="1"/>
      <c r="E28" s="1"/>
      <c r="F28" s="1"/>
      <c r="G28" s="1"/>
      <c r="H28" s="45">
        <f>-(C28+C28/12)*0.7</f>
        <v>21233333.333333332</v>
      </c>
    </row>
    <row r="29" spans="2:13" x14ac:dyDescent="0.3">
      <c r="B29" s="37" t="s">
        <v>53</v>
      </c>
      <c r="C29" s="45">
        <v>-12500000</v>
      </c>
      <c r="D29" s="1"/>
      <c r="E29" s="1"/>
      <c r="F29" s="1"/>
      <c r="G29" s="1"/>
      <c r="H29" s="45">
        <f>-(C29+C29/6)*0.7</f>
        <v>10208333.333333334</v>
      </c>
    </row>
    <row r="30" spans="2:13" x14ac:dyDescent="0.3">
      <c r="B30" s="37" t="s">
        <v>9</v>
      </c>
      <c r="C30" s="37">
        <f>M14</f>
        <v>16495600000</v>
      </c>
      <c r="D30" s="1"/>
      <c r="E30" s="1"/>
      <c r="F30" s="1"/>
      <c r="G30" s="1"/>
      <c r="H30" s="1"/>
    </row>
    <row r="31" spans="2:13" x14ac:dyDescent="0.3">
      <c r="B31" s="37" t="s">
        <v>54</v>
      </c>
      <c r="C31" s="8">
        <f>1.3*D15</f>
        <v>-20449000000</v>
      </c>
      <c r="D31" s="1"/>
      <c r="E31" s="1"/>
      <c r="F31" s="1"/>
      <c r="G31" s="1"/>
      <c r="H31" s="8">
        <f>-0.85*C31</f>
        <v>17381650000</v>
      </c>
    </row>
    <row r="32" spans="2:13" x14ac:dyDescent="0.3">
      <c r="B32" s="37" t="s">
        <v>55</v>
      </c>
      <c r="C32" s="45">
        <f>SUM(C23:C31)</f>
        <v>-4123900000</v>
      </c>
      <c r="D32" s="45">
        <f t="shared" ref="D32:H32" si="15">SUM(D23:D31)</f>
        <v>-230006216.04770923</v>
      </c>
      <c r="E32" s="45">
        <f t="shared" si="15"/>
        <v>1250171452.2796001</v>
      </c>
      <c r="F32" s="45">
        <f t="shared" si="15"/>
        <v>1784368060.9177008</v>
      </c>
      <c r="G32" s="45">
        <f t="shared" si="15"/>
        <v>2351965379.7126598</v>
      </c>
      <c r="H32" s="45">
        <f t="shared" si="15"/>
        <v>20454984469.874977</v>
      </c>
    </row>
    <row r="33" spans="2:8" x14ac:dyDescent="0.3">
      <c r="B33" s="37" t="s">
        <v>56</v>
      </c>
      <c r="C33" s="46">
        <f>3%+1.25*11%</f>
        <v>0.16750000000000001</v>
      </c>
      <c r="D33" s="1"/>
      <c r="E33" s="1"/>
      <c r="F33" s="1"/>
      <c r="G33" s="1"/>
      <c r="H33" s="1"/>
    </row>
    <row r="34" spans="2:8" x14ac:dyDescent="0.3">
      <c r="B34" s="36" t="s">
        <v>57</v>
      </c>
      <c r="C34" s="10">
        <f>NPV(C33,D32:H32)+C32</f>
        <v>8413531372.3701782</v>
      </c>
      <c r="D34" s="1"/>
      <c r="E34" s="1"/>
      <c r="F34" s="1"/>
      <c r="G34" s="1"/>
      <c r="H34" s="1"/>
    </row>
    <row r="35" spans="2:8" x14ac:dyDescent="0.3">
      <c r="B35" s="36" t="s">
        <v>58</v>
      </c>
      <c r="C35" s="20">
        <f>IRR(C32:H32)</f>
        <v>0.49710654925254549</v>
      </c>
      <c r="D35" s="1"/>
      <c r="E35" s="1"/>
      <c r="F35" s="1"/>
      <c r="G35" s="1"/>
      <c r="H35" s="1"/>
    </row>
  </sheetData>
  <mergeCells count="5">
    <mergeCell ref="B3:E3"/>
    <mergeCell ref="B4:E4"/>
    <mergeCell ref="B5:E5"/>
    <mergeCell ref="J8:L9"/>
    <mergeCell ref="M8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1B02-F4C5-407D-AA31-CD989A2492D3}">
  <dimension ref="A1:M55"/>
  <sheetViews>
    <sheetView workbookViewId="0">
      <selection activeCell="A4" sqref="A4"/>
    </sheetView>
  </sheetViews>
  <sheetFormatPr baseColWidth="10" defaultRowHeight="14.4" x14ac:dyDescent="0.3"/>
  <cols>
    <col min="5" max="5" width="23.6640625" bestFit="1" customWidth="1"/>
    <col min="6" max="6" width="21.21875" bestFit="1" customWidth="1"/>
    <col min="7" max="7" width="11.88671875" bestFit="1" customWidth="1"/>
    <col min="11" max="11" width="15.6640625" bestFit="1" customWidth="1"/>
    <col min="12" max="12" width="60.109375" bestFit="1" customWidth="1"/>
  </cols>
  <sheetData>
    <row r="1" spans="1:8" x14ac:dyDescent="0.3">
      <c r="A1" s="55" t="s">
        <v>1</v>
      </c>
      <c r="B1" s="55"/>
      <c r="C1" s="55"/>
      <c r="D1" s="55"/>
    </row>
    <row r="2" spans="1:8" x14ac:dyDescent="0.3">
      <c r="A2" s="55" t="s">
        <v>0</v>
      </c>
      <c r="B2" s="55"/>
      <c r="C2" s="55"/>
      <c r="D2" s="55"/>
    </row>
    <row r="3" spans="1:8" ht="18" x14ac:dyDescent="0.35">
      <c r="A3" s="55" t="s">
        <v>2</v>
      </c>
      <c r="B3" s="55"/>
      <c r="C3" s="55"/>
      <c r="D3" s="55"/>
      <c r="G3" s="2"/>
    </row>
    <row r="5" spans="1:8" ht="18" x14ac:dyDescent="0.35">
      <c r="A5" s="2" t="s">
        <v>3</v>
      </c>
      <c r="B5" s="2" t="s">
        <v>4</v>
      </c>
      <c r="C5" s="2" t="s">
        <v>5</v>
      </c>
    </row>
    <row r="6" spans="1:8" x14ac:dyDescent="0.3">
      <c r="A6" s="1">
        <v>2000</v>
      </c>
      <c r="B6" s="1" t="s">
        <v>6</v>
      </c>
      <c r="C6" s="1">
        <v>10</v>
      </c>
      <c r="E6" s="38" t="s">
        <v>64</v>
      </c>
      <c r="F6" s="38" t="s">
        <v>63</v>
      </c>
    </row>
    <row r="7" spans="1:8" x14ac:dyDescent="0.3">
      <c r="A7" s="1">
        <v>2000</v>
      </c>
      <c r="B7" s="1" t="s">
        <v>7</v>
      </c>
      <c r="C7" s="1">
        <v>40</v>
      </c>
      <c r="E7" s="38" t="s">
        <v>3</v>
      </c>
      <c r="F7" t="s">
        <v>6</v>
      </c>
      <c r="G7" t="s">
        <v>7</v>
      </c>
      <c r="H7" t="s">
        <v>62</v>
      </c>
    </row>
    <row r="8" spans="1:8" x14ac:dyDescent="0.3">
      <c r="A8" s="1">
        <v>2001</v>
      </c>
      <c r="B8" s="1" t="s">
        <v>6</v>
      </c>
      <c r="C8" s="1">
        <v>30</v>
      </c>
      <c r="E8" s="39">
        <v>2000</v>
      </c>
      <c r="F8">
        <v>10</v>
      </c>
      <c r="G8">
        <v>40</v>
      </c>
      <c r="H8">
        <v>50</v>
      </c>
    </row>
    <row r="9" spans="1:8" x14ac:dyDescent="0.3">
      <c r="A9" s="1">
        <v>2001</v>
      </c>
      <c r="B9" s="1" t="s">
        <v>7</v>
      </c>
      <c r="C9" s="1">
        <v>57</v>
      </c>
      <c r="E9" s="39">
        <v>2001</v>
      </c>
      <c r="F9">
        <v>30</v>
      </c>
      <c r="G9">
        <v>57</v>
      </c>
      <c r="H9">
        <v>87</v>
      </c>
    </row>
    <row r="10" spans="1:8" x14ac:dyDescent="0.3">
      <c r="A10" s="1">
        <v>2002</v>
      </c>
      <c r="B10" s="1" t="s">
        <v>6</v>
      </c>
      <c r="C10" s="1">
        <v>48</v>
      </c>
      <c r="E10" s="39">
        <v>2002</v>
      </c>
      <c r="F10">
        <v>48</v>
      </c>
      <c r="G10">
        <v>68</v>
      </c>
      <c r="H10">
        <v>116</v>
      </c>
    </row>
    <row r="11" spans="1:8" x14ac:dyDescent="0.3">
      <c r="A11" s="1">
        <v>2002</v>
      </c>
      <c r="B11" s="1" t="s">
        <v>7</v>
      </c>
      <c r="C11" s="1">
        <v>68</v>
      </c>
      <c r="E11" s="39">
        <v>2003</v>
      </c>
      <c r="F11">
        <v>64</v>
      </c>
      <c r="G11">
        <v>120</v>
      </c>
      <c r="H11">
        <v>184</v>
      </c>
    </row>
    <row r="12" spans="1:8" x14ac:dyDescent="0.3">
      <c r="A12" s="1">
        <v>2003</v>
      </c>
      <c r="B12" s="1" t="s">
        <v>6</v>
      </c>
      <c r="C12" s="1">
        <v>64</v>
      </c>
      <c r="E12" s="39">
        <v>2004</v>
      </c>
      <c r="F12">
        <v>78</v>
      </c>
      <c r="G12">
        <v>180</v>
      </c>
      <c r="H12">
        <v>258</v>
      </c>
    </row>
    <row r="13" spans="1:8" x14ac:dyDescent="0.3">
      <c r="A13" s="1">
        <v>2003</v>
      </c>
      <c r="B13" s="1" t="s">
        <v>7</v>
      </c>
      <c r="C13" s="1">
        <v>120</v>
      </c>
      <c r="E13" s="39">
        <v>2005</v>
      </c>
      <c r="F13">
        <v>90</v>
      </c>
      <c r="G13">
        <v>230</v>
      </c>
      <c r="H13">
        <v>320</v>
      </c>
    </row>
    <row r="14" spans="1:8" x14ac:dyDescent="0.3">
      <c r="A14" s="1">
        <v>2004</v>
      </c>
      <c r="B14" s="1" t="s">
        <v>6</v>
      </c>
      <c r="C14" s="1">
        <v>78</v>
      </c>
      <c r="E14" s="39">
        <v>2006</v>
      </c>
      <c r="F14">
        <v>100</v>
      </c>
      <c r="G14">
        <v>320</v>
      </c>
      <c r="H14">
        <v>420</v>
      </c>
    </row>
    <row r="15" spans="1:8" x14ac:dyDescent="0.3">
      <c r="A15" s="1">
        <v>2004</v>
      </c>
      <c r="B15" s="1" t="s">
        <v>7</v>
      </c>
      <c r="C15" s="1">
        <v>180</v>
      </c>
      <c r="E15" s="39">
        <v>2007</v>
      </c>
      <c r="F15">
        <v>109</v>
      </c>
      <c r="G15">
        <v>390</v>
      </c>
      <c r="H15">
        <v>499</v>
      </c>
    </row>
    <row r="16" spans="1:8" x14ac:dyDescent="0.3">
      <c r="A16" s="1">
        <v>2005</v>
      </c>
      <c r="B16" s="1" t="s">
        <v>6</v>
      </c>
      <c r="C16" s="1">
        <v>90</v>
      </c>
      <c r="E16" s="39">
        <v>2008</v>
      </c>
      <c r="F16">
        <v>114</v>
      </c>
      <c r="G16">
        <v>450</v>
      </c>
      <c r="H16">
        <v>564</v>
      </c>
    </row>
    <row r="17" spans="1:13" x14ac:dyDescent="0.3">
      <c r="A17" s="1">
        <v>2005</v>
      </c>
      <c r="B17" s="1" t="s">
        <v>7</v>
      </c>
      <c r="C17" s="1">
        <v>230</v>
      </c>
      <c r="E17" s="39">
        <v>2009</v>
      </c>
      <c r="F17">
        <v>117</v>
      </c>
      <c r="G17">
        <v>540</v>
      </c>
      <c r="H17">
        <v>657</v>
      </c>
    </row>
    <row r="18" spans="1:13" x14ac:dyDescent="0.3">
      <c r="A18" s="1">
        <v>2006</v>
      </c>
      <c r="B18" s="1" t="s">
        <v>6</v>
      </c>
      <c r="C18" s="1">
        <v>100</v>
      </c>
      <c r="E18" s="39">
        <v>2010</v>
      </c>
      <c r="F18">
        <v>118</v>
      </c>
      <c r="G18">
        <v>590</v>
      </c>
      <c r="H18">
        <v>708</v>
      </c>
    </row>
    <row r="19" spans="1:13" x14ac:dyDescent="0.3">
      <c r="A19" s="1">
        <v>2006</v>
      </c>
      <c r="B19" s="1" t="s">
        <v>7</v>
      </c>
      <c r="C19" s="1">
        <v>320</v>
      </c>
      <c r="E19" s="39">
        <v>2011</v>
      </c>
      <c r="F19">
        <v>118</v>
      </c>
      <c r="G19">
        <v>760</v>
      </c>
      <c r="H19">
        <v>878</v>
      </c>
    </row>
    <row r="20" spans="1:13" x14ac:dyDescent="0.3">
      <c r="A20" s="1">
        <v>2007</v>
      </c>
      <c r="B20" s="1" t="s">
        <v>6</v>
      </c>
      <c r="C20" s="1">
        <v>109</v>
      </c>
      <c r="E20" s="39">
        <v>2012</v>
      </c>
      <c r="F20">
        <v>119</v>
      </c>
      <c r="G20">
        <v>960</v>
      </c>
      <c r="H20">
        <v>1079</v>
      </c>
    </row>
    <row r="21" spans="1:13" x14ac:dyDescent="0.3">
      <c r="A21" s="1">
        <v>2007</v>
      </c>
      <c r="B21" s="1" t="s">
        <v>7</v>
      </c>
      <c r="C21" s="1">
        <v>390</v>
      </c>
      <c r="E21" s="39">
        <v>2013</v>
      </c>
      <c r="F21">
        <v>123</v>
      </c>
      <c r="G21">
        <v>1100</v>
      </c>
      <c r="H21">
        <v>1223</v>
      </c>
    </row>
    <row r="22" spans="1:13" x14ac:dyDescent="0.3">
      <c r="A22" s="1">
        <v>2008</v>
      </c>
      <c r="B22" s="1" t="s">
        <v>6</v>
      </c>
      <c r="C22" s="1">
        <v>114</v>
      </c>
      <c r="E22" s="39">
        <v>2014</v>
      </c>
      <c r="F22">
        <v>128</v>
      </c>
      <c r="G22">
        <v>1500</v>
      </c>
      <c r="H22">
        <v>1628</v>
      </c>
    </row>
    <row r="23" spans="1:13" x14ac:dyDescent="0.3">
      <c r="A23" s="1">
        <v>2008</v>
      </c>
      <c r="B23" s="1" t="s">
        <v>7</v>
      </c>
      <c r="C23" s="1">
        <v>450</v>
      </c>
      <c r="E23" s="39">
        <v>2015</v>
      </c>
      <c r="F23">
        <v>134</v>
      </c>
      <c r="G23">
        <v>2000</v>
      </c>
      <c r="H23">
        <v>2134</v>
      </c>
      <c r="J23" s="22" t="s">
        <v>65</v>
      </c>
      <c r="K23" s="41" t="s">
        <v>76</v>
      </c>
      <c r="L23" s="22" t="s">
        <v>66</v>
      </c>
      <c r="M23" s="22" t="s">
        <v>69</v>
      </c>
    </row>
    <row r="24" spans="1:13" x14ac:dyDescent="0.3">
      <c r="A24" s="1">
        <v>2009</v>
      </c>
      <c r="B24" s="1" t="s">
        <v>6</v>
      </c>
      <c r="C24" s="1">
        <v>117</v>
      </c>
      <c r="E24" s="39">
        <v>2016</v>
      </c>
      <c r="F24">
        <v>137</v>
      </c>
      <c r="G24">
        <v>2600</v>
      </c>
      <c r="H24">
        <v>2737</v>
      </c>
      <c r="J24" s="22" t="s">
        <v>15</v>
      </c>
      <c r="K24" s="41" t="s">
        <v>72</v>
      </c>
      <c r="L24" s="22" t="s">
        <v>70</v>
      </c>
      <c r="M24" s="22" t="s">
        <v>71</v>
      </c>
    </row>
    <row r="25" spans="1:13" x14ac:dyDescent="0.3">
      <c r="A25" s="1">
        <v>2009</v>
      </c>
      <c r="B25" s="1" t="s">
        <v>7</v>
      </c>
      <c r="C25" s="1">
        <v>540</v>
      </c>
      <c r="E25" s="39">
        <v>2017</v>
      </c>
      <c r="F25">
        <v>137</v>
      </c>
      <c r="G25">
        <v>3500</v>
      </c>
      <c r="H25">
        <v>3637</v>
      </c>
      <c r="J25" s="22" t="s">
        <v>26</v>
      </c>
      <c r="K25" s="41" t="s">
        <v>73</v>
      </c>
      <c r="L25" s="22" t="s">
        <v>68</v>
      </c>
      <c r="M25" s="22" t="s">
        <v>67</v>
      </c>
    </row>
    <row r="26" spans="1:13" x14ac:dyDescent="0.3">
      <c r="A26" s="1">
        <v>2010</v>
      </c>
      <c r="B26" s="1" t="s">
        <v>6</v>
      </c>
      <c r="C26" s="1">
        <v>118</v>
      </c>
      <c r="E26" s="39">
        <v>2018</v>
      </c>
      <c r="F26">
        <v>140</v>
      </c>
      <c r="G26">
        <v>4600</v>
      </c>
      <c r="H26">
        <v>4740</v>
      </c>
    </row>
    <row r="27" spans="1:13" x14ac:dyDescent="0.3">
      <c r="A27" s="1">
        <v>2010</v>
      </c>
      <c r="B27" s="1" t="s">
        <v>7</v>
      </c>
      <c r="C27" s="1">
        <v>590</v>
      </c>
      <c r="E27" s="39">
        <v>2019</v>
      </c>
      <c r="F27">
        <v>145</v>
      </c>
      <c r="G27">
        <v>5400</v>
      </c>
      <c r="H27">
        <v>5545</v>
      </c>
      <c r="L27" s="40"/>
    </row>
    <row r="28" spans="1:13" x14ac:dyDescent="0.3">
      <c r="A28" s="1">
        <v>2011</v>
      </c>
      <c r="B28" s="1" t="s">
        <v>6</v>
      </c>
      <c r="C28" s="1">
        <v>118</v>
      </c>
      <c r="E28" s="39">
        <v>2020</v>
      </c>
      <c r="F28">
        <v>150</v>
      </c>
      <c r="G28">
        <v>6700</v>
      </c>
      <c r="H28">
        <v>6850</v>
      </c>
      <c r="L28" s="40"/>
    </row>
    <row r="29" spans="1:13" x14ac:dyDescent="0.3">
      <c r="A29" s="1">
        <v>2011</v>
      </c>
      <c r="B29" s="1" t="s">
        <v>7</v>
      </c>
      <c r="C29" s="1">
        <v>760</v>
      </c>
      <c r="E29" s="39">
        <v>2021</v>
      </c>
      <c r="F29">
        <v>152</v>
      </c>
      <c r="G29">
        <v>7200</v>
      </c>
      <c r="H29">
        <v>7352</v>
      </c>
    </row>
    <row r="30" spans="1:13" x14ac:dyDescent="0.3">
      <c r="A30" s="1">
        <v>2012</v>
      </c>
      <c r="B30" s="1" t="s">
        <v>6</v>
      </c>
      <c r="C30" s="1">
        <v>119</v>
      </c>
      <c r="E30" s="39">
        <v>2022</v>
      </c>
      <c r="F30">
        <v>155</v>
      </c>
      <c r="G30">
        <v>7900</v>
      </c>
      <c r="H30">
        <v>8055</v>
      </c>
    </row>
    <row r="31" spans="1:13" x14ac:dyDescent="0.3">
      <c r="A31" s="1">
        <v>2012</v>
      </c>
      <c r="B31" s="1" t="s">
        <v>7</v>
      </c>
      <c r="C31" s="1">
        <v>960</v>
      </c>
      <c r="E31" s="39">
        <v>2023</v>
      </c>
      <c r="F31">
        <v>157</v>
      </c>
      <c r="G31">
        <v>8200</v>
      </c>
      <c r="H31">
        <v>8357</v>
      </c>
    </row>
    <row r="32" spans="1:13" x14ac:dyDescent="0.3">
      <c r="A32" s="1">
        <v>2013</v>
      </c>
      <c r="B32" s="1" t="s">
        <v>6</v>
      </c>
      <c r="C32" s="1">
        <v>123</v>
      </c>
      <c r="E32" s="39">
        <v>2024</v>
      </c>
      <c r="F32">
        <v>158</v>
      </c>
      <c r="G32">
        <v>8500</v>
      </c>
      <c r="H32">
        <v>8658</v>
      </c>
    </row>
    <row r="33" spans="1:8" x14ac:dyDescent="0.3">
      <c r="A33" s="1">
        <v>2013</v>
      </c>
      <c r="B33" s="1" t="s">
        <v>7</v>
      </c>
      <c r="C33" s="1">
        <v>1100</v>
      </c>
      <c r="E33" s="39" t="s">
        <v>62</v>
      </c>
      <c r="F33">
        <v>2831</v>
      </c>
      <c r="G33">
        <v>63905</v>
      </c>
      <c r="H33">
        <v>66736</v>
      </c>
    </row>
    <row r="34" spans="1:8" x14ac:dyDescent="0.3">
      <c r="A34" s="1">
        <v>2014</v>
      </c>
      <c r="B34" s="1" t="s">
        <v>6</v>
      </c>
      <c r="C34" s="1">
        <v>128</v>
      </c>
    </row>
    <row r="35" spans="1:8" x14ac:dyDescent="0.3">
      <c r="A35" s="1">
        <v>2014</v>
      </c>
      <c r="B35" s="1" t="s">
        <v>7</v>
      </c>
      <c r="C35" s="1">
        <v>1500</v>
      </c>
    </row>
    <row r="36" spans="1:8" x14ac:dyDescent="0.3">
      <c r="A36" s="1">
        <v>2015</v>
      </c>
      <c r="B36" s="1" t="s">
        <v>6</v>
      </c>
      <c r="C36" s="1">
        <v>134</v>
      </c>
    </row>
    <row r="37" spans="1:8" x14ac:dyDescent="0.3">
      <c r="A37" s="1">
        <v>2015</v>
      </c>
      <c r="B37" s="1" t="s">
        <v>7</v>
      </c>
      <c r="C37" s="1">
        <v>2000</v>
      </c>
    </row>
    <row r="38" spans="1:8" x14ac:dyDescent="0.3">
      <c r="A38" s="1">
        <v>2016</v>
      </c>
      <c r="B38" s="1" t="s">
        <v>6</v>
      </c>
      <c r="C38" s="1">
        <v>137</v>
      </c>
    </row>
    <row r="39" spans="1:8" x14ac:dyDescent="0.3">
      <c r="A39" s="1">
        <v>2016</v>
      </c>
      <c r="B39" s="1" t="s">
        <v>7</v>
      </c>
      <c r="C39" s="1">
        <v>2600</v>
      </c>
    </row>
    <row r="40" spans="1:8" x14ac:dyDescent="0.3">
      <c r="A40" s="1">
        <v>2017</v>
      </c>
      <c r="B40" s="1" t="s">
        <v>6</v>
      </c>
      <c r="C40" s="1">
        <v>137</v>
      </c>
    </row>
    <row r="41" spans="1:8" x14ac:dyDescent="0.3">
      <c r="A41" s="1">
        <v>2017</v>
      </c>
      <c r="B41" s="1" t="s">
        <v>7</v>
      </c>
      <c r="C41" s="1">
        <v>3500</v>
      </c>
    </row>
    <row r="42" spans="1:8" x14ac:dyDescent="0.3">
      <c r="A42" s="1">
        <v>2018</v>
      </c>
      <c r="B42" s="1" t="s">
        <v>6</v>
      </c>
      <c r="C42" s="1">
        <v>140</v>
      </c>
    </row>
    <row r="43" spans="1:8" x14ac:dyDescent="0.3">
      <c r="A43" s="1">
        <v>2018</v>
      </c>
      <c r="B43" s="1" t="s">
        <v>7</v>
      </c>
      <c r="C43" s="1">
        <v>4600</v>
      </c>
    </row>
    <row r="44" spans="1:8" x14ac:dyDescent="0.3">
      <c r="A44" s="1">
        <v>2019</v>
      </c>
      <c r="B44" s="1" t="s">
        <v>6</v>
      </c>
      <c r="C44" s="1">
        <v>145</v>
      </c>
    </row>
    <row r="45" spans="1:8" x14ac:dyDescent="0.3">
      <c r="A45" s="1">
        <v>2019</v>
      </c>
      <c r="B45" s="1" t="s">
        <v>7</v>
      </c>
      <c r="C45" s="1">
        <v>5400</v>
      </c>
    </row>
    <row r="46" spans="1:8" x14ac:dyDescent="0.3">
      <c r="A46" s="1">
        <v>2020</v>
      </c>
      <c r="B46" s="1" t="s">
        <v>6</v>
      </c>
      <c r="C46" s="1">
        <v>150</v>
      </c>
    </row>
    <row r="47" spans="1:8" x14ac:dyDescent="0.3">
      <c r="A47" s="1">
        <v>2020</v>
      </c>
      <c r="B47" s="1" t="s">
        <v>7</v>
      </c>
      <c r="C47" s="1">
        <v>6700</v>
      </c>
    </row>
    <row r="48" spans="1:8" x14ac:dyDescent="0.3">
      <c r="A48" s="1">
        <v>2021</v>
      </c>
      <c r="B48" s="1" t="s">
        <v>6</v>
      </c>
      <c r="C48" s="1">
        <v>152</v>
      </c>
    </row>
    <row r="49" spans="1:6" x14ac:dyDescent="0.3">
      <c r="A49" s="1">
        <v>2021</v>
      </c>
      <c r="B49" s="1" t="s">
        <v>7</v>
      </c>
      <c r="C49" s="1">
        <v>7200</v>
      </c>
    </row>
    <row r="50" spans="1:6" x14ac:dyDescent="0.3">
      <c r="A50" s="1">
        <v>2022</v>
      </c>
      <c r="B50" s="1" t="s">
        <v>6</v>
      </c>
      <c r="C50" s="1">
        <v>155</v>
      </c>
    </row>
    <row r="51" spans="1:6" x14ac:dyDescent="0.3">
      <c r="A51" s="1">
        <v>2022</v>
      </c>
      <c r="B51" s="1" t="s">
        <v>7</v>
      </c>
      <c r="C51" s="1">
        <v>7900</v>
      </c>
    </row>
    <row r="52" spans="1:6" x14ac:dyDescent="0.3">
      <c r="A52" s="1">
        <v>2023</v>
      </c>
      <c r="B52" s="1" t="s">
        <v>6</v>
      </c>
      <c r="C52" s="1">
        <v>157</v>
      </c>
    </row>
    <row r="53" spans="1:6" x14ac:dyDescent="0.3">
      <c r="A53" s="1">
        <v>2023</v>
      </c>
      <c r="B53" s="1" t="s">
        <v>7</v>
      </c>
      <c r="C53" s="1">
        <v>8200</v>
      </c>
    </row>
    <row r="54" spans="1:6" x14ac:dyDescent="0.3">
      <c r="A54" s="1">
        <v>2024</v>
      </c>
      <c r="B54" s="1" t="s">
        <v>6</v>
      </c>
      <c r="C54" s="1">
        <v>158</v>
      </c>
      <c r="E54" t="s">
        <v>8</v>
      </c>
      <c r="F54" t="s">
        <v>8</v>
      </c>
    </row>
    <row r="55" spans="1:6" x14ac:dyDescent="0.3">
      <c r="A55" s="1">
        <v>2024</v>
      </c>
      <c r="B55" s="1" t="s">
        <v>7</v>
      </c>
      <c r="C55" s="1">
        <v>8500</v>
      </c>
      <c r="E55" t="s">
        <v>8</v>
      </c>
      <c r="F55" t="s">
        <v>8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 1</vt:lpstr>
      <vt:lpstr>PREGUNTA 2</vt:lpstr>
      <vt:lpstr>PREGUNTA 3 FILTRO POR PRODUCTO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207070653</cp:lastModifiedBy>
  <dcterms:created xsi:type="dcterms:W3CDTF">2024-10-01T17:52:54Z</dcterms:created>
  <dcterms:modified xsi:type="dcterms:W3CDTF">2024-10-10T14:43:50Z</dcterms:modified>
</cp:coreProperties>
</file>