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\Desktop\Codes\Apuntes_2024\2024-2\Evaluación de proyectos\Excels\"/>
    </mc:Choice>
  </mc:AlternateContent>
  <xr:revisionPtr revIDLastSave="0" documentId="13_ncr:1_{A324F95E-AF3D-4CD4-AB22-8D68982198F0}" xr6:coauthVersionLast="47" xr6:coauthVersionMax="47" xr10:uidLastSave="{00000000-0000-0000-0000-000000000000}"/>
  <bookViews>
    <workbookView xWindow="-120" yWindow="-120" windowWidth="29040" windowHeight="15840" activeTab="4" xr2:uid="{5EF18D62-F360-4B27-9D55-BA32710D8F2E}"/>
  </bookViews>
  <sheets>
    <sheet name="TEMPLATE FLUJO DE CAJA" sheetId="3" r:id="rId1"/>
    <sheet name="TEMPLATE LEASING OPERATIVO" sheetId="4" r:id="rId2"/>
    <sheet name="TEMPLATE LEASING FINANCIERO" sheetId="5" r:id="rId3"/>
    <sheet name="Ejercicio 1" sheetId="7" r:id="rId4"/>
    <sheet name="Ejercicio 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1" i="2" l="1"/>
  <c r="K72" i="2" s="1"/>
  <c r="A69" i="2" s="1"/>
  <c r="H68" i="2"/>
  <c r="G68" i="2"/>
  <c r="F68" i="2"/>
  <c r="E68" i="2"/>
  <c r="D68" i="2"/>
  <c r="D67" i="2"/>
  <c r="E67" i="2" s="1"/>
  <c r="F67" i="2" s="1"/>
  <c r="G67" i="2" s="1"/>
  <c r="H67" i="2" s="1"/>
  <c r="C76" i="2"/>
  <c r="E64" i="2"/>
  <c r="F64" i="2" s="1"/>
  <c r="G64" i="2" s="1"/>
  <c r="H64" i="2" s="1"/>
  <c r="E63" i="2"/>
  <c r="E65" i="2" s="1"/>
  <c r="C78" i="2"/>
  <c r="D65" i="2"/>
  <c r="E48" i="2"/>
  <c r="D49" i="2"/>
  <c r="K46" i="2"/>
  <c r="D69" i="2" l="1"/>
  <c r="D76" i="2"/>
  <c r="E76" i="2" s="1"/>
  <c r="C77" i="2"/>
  <c r="F63" i="2"/>
  <c r="D71" i="2"/>
  <c r="D72" i="2" s="1"/>
  <c r="D73" i="2" s="1"/>
  <c r="E69" i="2"/>
  <c r="K47" i="2"/>
  <c r="G51" i="2"/>
  <c r="F51" i="2"/>
  <c r="E51" i="2"/>
  <c r="D51" i="2"/>
  <c r="C51" i="2"/>
  <c r="H43" i="2"/>
  <c r="G43" i="2"/>
  <c r="F43" i="2"/>
  <c r="E43" i="2"/>
  <c r="D43" i="2"/>
  <c r="D42" i="2"/>
  <c r="E42" i="2" s="1"/>
  <c r="F42" i="2" s="1"/>
  <c r="G42" i="2" s="1"/>
  <c r="H42" i="2" s="1"/>
  <c r="E39" i="2"/>
  <c r="F39" i="2" s="1"/>
  <c r="G39" i="2" s="1"/>
  <c r="H39" i="2" s="1"/>
  <c r="F38" i="2"/>
  <c r="F40" i="2" s="1"/>
  <c r="E38" i="2"/>
  <c r="E40" i="2" s="1"/>
  <c r="C53" i="2"/>
  <c r="D40" i="2"/>
  <c r="C26" i="2"/>
  <c r="A12" i="2"/>
  <c r="L9" i="2"/>
  <c r="C25" i="2"/>
  <c r="L4" i="2" s="1"/>
  <c r="H26" i="2" a="1"/>
  <c r="H26" i="2" s="1"/>
  <c r="G26" i="2"/>
  <c r="F26" i="2"/>
  <c r="E26" i="2"/>
  <c r="D26" i="2"/>
  <c r="D10" i="2"/>
  <c r="E10" i="2" s="1"/>
  <c r="F10" i="2" s="1"/>
  <c r="G10" i="2" s="1"/>
  <c r="H10" i="2" s="1"/>
  <c r="E11" i="2"/>
  <c r="F11" i="2"/>
  <c r="G11" i="2"/>
  <c r="H11" i="2"/>
  <c r="D11" i="2"/>
  <c r="F7" i="2"/>
  <c r="G7" i="2" s="1"/>
  <c r="H7" i="2" s="1"/>
  <c r="E7" i="2"/>
  <c r="F6" i="2"/>
  <c r="G6" i="2" s="1"/>
  <c r="E6" i="2"/>
  <c r="C28" i="2"/>
  <c r="H24" i="2"/>
  <c r="H23" i="2"/>
  <c r="H22" i="2"/>
  <c r="D12" i="2"/>
  <c r="E8" i="2"/>
  <c r="D8" i="2"/>
  <c r="E70" i="7"/>
  <c r="F70" i="7" s="1"/>
  <c r="G70" i="7" s="1"/>
  <c r="H70" i="7" s="1"/>
  <c r="D68" i="7"/>
  <c r="C76" i="7" s="1"/>
  <c r="C77" i="7" s="1"/>
  <c r="E67" i="7"/>
  <c r="F67" i="7" s="1"/>
  <c r="G67" i="7" s="1"/>
  <c r="H67" i="7" s="1"/>
  <c r="E64" i="7"/>
  <c r="F64" i="7" s="1"/>
  <c r="G64" i="7" s="1"/>
  <c r="H64" i="7" s="1"/>
  <c r="E63" i="7"/>
  <c r="E65" i="7" s="1"/>
  <c r="C78" i="7"/>
  <c r="K69" i="7"/>
  <c r="A69" i="7" s="1"/>
  <c r="D69" i="7" s="1"/>
  <c r="D65" i="7"/>
  <c r="H19" i="5"/>
  <c r="C20" i="5"/>
  <c r="C19" i="5"/>
  <c r="K12" i="5"/>
  <c r="A12" i="5" s="1"/>
  <c r="D12" i="5" s="1"/>
  <c r="E12" i="5" s="1"/>
  <c r="F12" i="5" s="1"/>
  <c r="G12" i="5" s="1"/>
  <c r="H12" i="5" s="1"/>
  <c r="K47" i="7"/>
  <c r="D44" i="7"/>
  <c r="C52" i="7" s="1"/>
  <c r="C53" i="7" s="1"/>
  <c r="E43" i="7"/>
  <c r="F43" i="7" s="1"/>
  <c r="G43" i="7" s="1"/>
  <c r="H43" i="7" s="1"/>
  <c r="E40" i="7"/>
  <c r="F40" i="7" s="1"/>
  <c r="G40" i="7" s="1"/>
  <c r="H40" i="7" s="1"/>
  <c r="E39" i="7"/>
  <c r="F39" i="7" s="1"/>
  <c r="F44" i="7" s="1"/>
  <c r="C54" i="7"/>
  <c r="K48" i="7"/>
  <c r="A45" i="7" s="1"/>
  <c r="D45" i="7" s="1"/>
  <c r="D41" i="7"/>
  <c r="C23" i="4"/>
  <c r="C22" i="4"/>
  <c r="C21" i="4"/>
  <c r="C20" i="4"/>
  <c r="H19" i="4"/>
  <c r="C19" i="4"/>
  <c r="K14" i="4"/>
  <c r="K15" i="4" s="1"/>
  <c r="F14" i="7"/>
  <c r="G14" i="7" s="1"/>
  <c r="H14" i="7" s="1"/>
  <c r="E14" i="7"/>
  <c r="C25" i="7"/>
  <c r="A12" i="7"/>
  <c r="D11" i="7"/>
  <c r="C26" i="7" s="1"/>
  <c r="E10" i="7"/>
  <c r="F10" i="7" s="1"/>
  <c r="G10" i="7" s="1"/>
  <c r="H10" i="7" s="1"/>
  <c r="F7" i="7"/>
  <c r="G7" i="7" s="1"/>
  <c r="E7" i="7"/>
  <c r="E6" i="7"/>
  <c r="F6" i="7" s="1"/>
  <c r="C28" i="7"/>
  <c r="H24" i="7"/>
  <c r="H23" i="7"/>
  <c r="H22" i="7"/>
  <c r="N12" i="7"/>
  <c r="D12" i="7"/>
  <c r="L9" i="7"/>
  <c r="L10" i="7" s="1"/>
  <c r="D8" i="7"/>
  <c r="L4" i="7"/>
  <c r="H26" i="3"/>
  <c r="H23" i="3"/>
  <c r="H24" i="3"/>
  <c r="H22" i="3"/>
  <c r="F27" i="3"/>
  <c r="E27" i="3"/>
  <c r="D27" i="3"/>
  <c r="C27" i="3"/>
  <c r="C26" i="3"/>
  <c r="L9" i="3"/>
  <c r="C21" i="5"/>
  <c r="D8" i="5"/>
  <c r="D8" i="4"/>
  <c r="D12" i="3"/>
  <c r="D19" i="3" s="1"/>
  <c r="C28" i="3"/>
  <c r="D8" i="3"/>
  <c r="F76" i="2" l="1"/>
  <c r="G76" i="2"/>
  <c r="H76" i="2" s="1" a="1"/>
  <c r="H76" i="2" s="1"/>
  <c r="F65" i="2"/>
  <c r="G63" i="2"/>
  <c r="D74" i="2"/>
  <c r="D77" i="2" s="1"/>
  <c r="E71" i="2"/>
  <c r="E72" i="2" s="1"/>
  <c r="E73" i="2" s="1"/>
  <c r="F69" i="2"/>
  <c r="A44" i="2"/>
  <c r="D44" i="2" s="1"/>
  <c r="C52" i="2"/>
  <c r="G38" i="2"/>
  <c r="N12" i="2"/>
  <c r="K13" i="2" s="1"/>
  <c r="L10" i="2"/>
  <c r="L13" i="2" s="1"/>
  <c r="M13" i="2" s="1"/>
  <c r="N13" i="2" s="1"/>
  <c r="C27" i="2"/>
  <c r="F8" i="2"/>
  <c r="G8" i="2"/>
  <c r="H6" i="2"/>
  <c r="H8" i="2" s="1"/>
  <c r="D19" i="2"/>
  <c r="E12" i="2"/>
  <c r="E68" i="7"/>
  <c r="F63" i="7"/>
  <c r="F68" i="7" s="1"/>
  <c r="E44" i="7"/>
  <c r="E41" i="7"/>
  <c r="E11" i="7"/>
  <c r="F11" i="7"/>
  <c r="G6" i="7"/>
  <c r="F8" i="7"/>
  <c r="E8" i="7"/>
  <c r="F65" i="7"/>
  <c r="G63" i="7"/>
  <c r="G68" i="7" s="1"/>
  <c r="E69" i="7"/>
  <c r="D71" i="7"/>
  <c r="D72" i="7" s="1"/>
  <c r="D73" i="7" s="1"/>
  <c r="H76" i="7"/>
  <c r="E14" i="5"/>
  <c r="E8" i="5"/>
  <c r="G39" i="7"/>
  <c r="G44" i="7" s="1"/>
  <c r="F41" i="7"/>
  <c r="E45" i="7"/>
  <c r="D47" i="7"/>
  <c r="D48" i="7" s="1"/>
  <c r="D49" i="7" s="1"/>
  <c r="H52" i="7"/>
  <c r="A12" i="4"/>
  <c r="D12" i="4" s="1"/>
  <c r="K13" i="7"/>
  <c r="C27" i="7"/>
  <c r="G8" i="7"/>
  <c r="H7" i="7"/>
  <c r="L15" i="7"/>
  <c r="L16" i="7"/>
  <c r="L17" i="7"/>
  <c r="L13" i="7"/>
  <c r="M13" i="7" s="1"/>
  <c r="L14" i="7"/>
  <c r="H26" i="7"/>
  <c r="D19" i="7"/>
  <c r="E12" i="7"/>
  <c r="C23" i="5"/>
  <c r="D14" i="5"/>
  <c r="D15" i="5" s="1"/>
  <c r="D16" i="5" s="1"/>
  <c r="E8" i="4"/>
  <c r="F8" i="4"/>
  <c r="E12" i="3"/>
  <c r="E8" i="3"/>
  <c r="G65" i="2" l="1"/>
  <c r="H63" i="2"/>
  <c r="H65" i="2" s="1"/>
  <c r="G69" i="2"/>
  <c r="F71" i="2"/>
  <c r="F72" i="2" s="1"/>
  <c r="F73" i="2" s="1"/>
  <c r="E74" i="2"/>
  <c r="E77" i="2" s="1"/>
  <c r="D46" i="2"/>
  <c r="D47" i="2" s="1"/>
  <c r="D48" i="2" s="1"/>
  <c r="D52" i="2" s="1"/>
  <c r="E44" i="2"/>
  <c r="E46" i="2" s="1"/>
  <c r="E47" i="2" s="1"/>
  <c r="H51" i="2" a="1"/>
  <c r="H51" i="2" s="1"/>
  <c r="G40" i="2"/>
  <c r="H38" i="2"/>
  <c r="H40" i="2" s="1"/>
  <c r="L15" i="2"/>
  <c r="L16" i="2"/>
  <c r="L14" i="2"/>
  <c r="L17" i="2"/>
  <c r="F12" i="2"/>
  <c r="E19" i="2"/>
  <c r="K14" i="2"/>
  <c r="H6" i="7"/>
  <c r="H11" i="7" s="1"/>
  <c r="G11" i="7"/>
  <c r="G65" i="7"/>
  <c r="H63" i="7"/>
  <c r="D74" i="7"/>
  <c r="D77" i="7" s="1"/>
  <c r="E71" i="7"/>
  <c r="E72" i="7" s="1"/>
  <c r="E73" i="7" s="1"/>
  <c r="F69" i="7"/>
  <c r="E16" i="5"/>
  <c r="F16" i="5" s="1"/>
  <c r="G16" i="5" s="1"/>
  <c r="H16" i="5" s="1"/>
  <c r="D17" i="5"/>
  <c r="D20" i="5" s="1"/>
  <c r="E15" i="5"/>
  <c r="F14" i="5"/>
  <c r="F8" i="5"/>
  <c r="D50" i="7"/>
  <c r="D53" i="7" s="1"/>
  <c r="H39" i="7"/>
  <c r="G41" i="7"/>
  <c r="F45" i="7"/>
  <c r="E47" i="7"/>
  <c r="E48" i="7" s="1"/>
  <c r="E49" i="7" s="1"/>
  <c r="D14" i="4"/>
  <c r="E12" i="4"/>
  <c r="N13" i="7"/>
  <c r="F12" i="7"/>
  <c r="E19" i="7"/>
  <c r="C22" i="5"/>
  <c r="G8" i="5"/>
  <c r="G8" i="4"/>
  <c r="E19" i="3"/>
  <c r="F12" i="3"/>
  <c r="F8" i="3"/>
  <c r="F74" i="2" l="1"/>
  <c r="F77" i="2" s="1"/>
  <c r="H69" i="2"/>
  <c r="H71" i="2" s="1"/>
  <c r="H72" i="2" s="1"/>
  <c r="G71" i="2"/>
  <c r="G72" i="2" s="1"/>
  <c r="G73" i="2" s="1"/>
  <c r="F44" i="2"/>
  <c r="G44" i="2" s="1"/>
  <c r="E49" i="2"/>
  <c r="E52" i="2" s="1"/>
  <c r="M14" i="2"/>
  <c r="N14" i="2" s="1"/>
  <c r="G12" i="2"/>
  <c r="F19" i="2"/>
  <c r="H65" i="7"/>
  <c r="H68" i="7"/>
  <c r="H41" i="7"/>
  <c r="H44" i="7"/>
  <c r="H8" i="7"/>
  <c r="F71" i="7"/>
  <c r="F72" i="7" s="1"/>
  <c r="F73" i="7" s="1"/>
  <c r="G69" i="7"/>
  <c r="E74" i="7"/>
  <c r="E77" i="7" s="1"/>
  <c r="F15" i="5"/>
  <c r="H14" i="5"/>
  <c r="G14" i="5"/>
  <c r="G15" i="5" s="1"/>
  <c r="E50" i="7"/>
  <c r="E53" i="7" s="1"/>
  <c r="F47" i="7"/>
  <c r="F48" i="7" s="1"/>
  <c r="F49" i="7" s="1"/>
  <c r="G45" i="7"/>
  <c r="D15" i="4"/>
  <c r="D16" i="4" s="1"/>
  <c r="F12" i="4"/>
  <c r="E14" i="4"/>
  <c r="E15" i="4" s="1"/>
  <c r="G12" i="7"/>
  <c r="F19" i="7"/>
  <c r="K14" i="7"/>
  <c r="E17" i="5"/>
  <c r="E20" i="5" s="1"/>
  <c r="H8" i="4"/>
  <c r="G12" i="3"/>
  <c r="F19" i="3"/>
  <c r="G8" i="3"/>
  <c r="H73" i="2" l="1"/>
  <c r="H74" i="2" s="1"/>
  <c r="H77" i="2" s="1"/>
  <c r="G74" i="2"/>
  <c r="G77" i="2" s="1"/>
  <c r="C80" i="2" s="1"/>
  <c r="F46" i="2"/>
  <c r="F47" i="2" s="1"/>
  <c r="F48" i="2" s="1"/>
  <c r="F49" i="2" s="1"/>
  <c r="F52" i="2" s="1"/>
  <c r="H44" i="2"/>
  <c r="H46" i="2" s="1"/>
  <c r="H47" i="2" s="1"/>
  <c r="G46" i="2"/>
  <c r="G47" i="2" s="1"/>
  <c r="E16" i="4"/>
  <c r="D17" i="4"/>
  <c r="D20" i="4" s="1"/>
  <c r="K15" i="2"/>
  <c r="H12" i="2"/>
  <c r="G19" i="2"/>
  <c r="F74" i="7"/>
  <c r="F77" i="7" s="1"/>
  <c r="G71" i="7"/>
  <c r="G72" i="7" s="1"/>
  <c r="G73" i="7" s="1"/>
  <c r="H69" i="7"/>
  <c r="H71" i="7" s="1"/>
  <c r="H72" i="7" s="1"/>
  <c r="H8" i="5"/>
  <c r="H15" i="5" s="1"/>
  <c r="F50" i="7"/>
  <c r="F53" i="7" s="1"/>
  <c r="H45" i="7"/>
  <c r="H47" i="7" s="1"/>
  <c r="H48" i="7" s="1"/>
  <c r="G47" i="7"/>
  <c r="G48" i="7" s="1"/>
  <c r="G49" i="7" s="1"/>
  <c r="G12" i="4"/>
  <c r="F14" i="4"/>
  <c r="F15" i="4" s="1"/>
  <c r="M14" i="7"/>
  <c r="H12" i="7"/>
  <c r="G19" i="7"/>
  <c r="F17" i="5"/>
  <c r="F20" i="5" s="1"/>
  <c r="G19" i="3"/>
  <c r="H12" i="3"/>
  <c r="H19" i="3" s="1"/>
  <c r="H8" i="3"/>
  <c r="C79" i="2" l="1"/>
  <c r="G48" i="2"/>
  <c r="G49" i="2" s="1"/>
  <c r="G52" i="2" s="1"/>
  <c r="E17" i="4"/>
  <c r="E20" i="4" s="1"/>
  <c r="F16" i="4"/>
  <c r="M15" i="2"/>
  <c r="H19" i="2"/>
  <c r="G74" i="7"/>
  <c r="G77" i="7" s="1"/>
  <c r="H73" i="7"/>
  <c r="H74" i="7" s="1"/>
  <c r="H77" i="7" s="1"/>
  <c r="H49" i="7"/>
  <c r="H50" i="7" s="1"/>
  <c r="H53" i="7" s="1"/>
  <c r="C56" i="7" s="1"/>
  <c r="G50" i="7"/>
  <c r="G53" i="7" s="1"/>
  <c r="H12" i="4"/>
  <c r="H14" i="4" s="1"/>
  <c r="H15" i="4" s="1"/>
  <c r="G14" i="4"/>
  <c r="G15" i="4" s="1"/>
  <c r="H19" i="7"/>
  <c r="N14" i="7"/>
  <c r="G17" i="5"/>
  <c r="G20" i="5" s="1"/>
  <c r="H17" i="5"/>
  <c r="H20" i="5" s="1"/>
  <c r="H48" i="2" l="1"/>
  <c r="H49" i="2" s="1"/>
  <c r="H52" i="2" s="1"/>
  <c r="C55" i="2" s="1"/>
  <c r="G16" i="4"/>
  <c r="F17" i="4"/>
  <c r="F20" i="4" s="1"/>
  <c r="N15" i="2"/>
  <c r="C80" i="7"/>
  <c r="C55" i="7"/>
  <c r="C79" i="7"/>
  <c r="K15" i="7"/>
  <c r="C54" i="2" l="1"/>
  <c r="H16" i="4"/>
  <c r="H17" i="4" s="1"/>
  <c r="H20" i="4" s="1"/>
  <c r="G17" i="4"/>
  <c r="G20" i="4" s="1"/>
  <c r="K16" i="2"/>
  <c r="M16" i="2" s="1"/>
  <c r="N16" i="2" s="1"/>
  <c r="C92" i="7"/>
  <c r="C88" i="7"/>
  <c r="C91" i="7"/>
  <c r="C93" i="7" s="1"/>
  <c r="C87" i="7"/>
  <c r="M15" i="7"/>
  <c r="K17" i="2" l="1"/>
  <c r="D13" i="2" s="1" a="1"/>
  <c r="D13" i="2" s="1"/>
  <c r="N15" i="7"/>
  <c r="M17" i="2" l="1"/>
  <c r="K16" i="7"/>
  <c r="D15" i="2" l="1"/>
  <c r="E15" i="2"/>
  <c r="E16" i="2" s="1"/>
  <c r="F15" i="2"/>
  <c r="F16" i="2" s="1"/>
  <c r="G15" i="2"/>
  <c r="G16" i="2" s="1"/>
  <c r="H15" i="2"/>
  <c r="H16" i="2" s="1"/>
  <c r="D20" i="2" a="1"/>
  <c r="D20" i="2" s="1"/>
  <c r="N17" i="2"/>
  <c r="M16" i="7"/>
  <c r="D16" i="2" l="1"/>
  <c r="D17" i="2" s="1"/>
  <c r="N16" i="7"/>
  <c r="D18" i="2" l="1"/>
  <c r="D27" i="2" s="1"/>
  <c r="E17" i="2"/>
  <c r="E18" i="2" s="1"/>
  <c r="E27" i="2" s="1"/>
  <c r="K17" i="7"/>
  <c r="F17" i="2" l="1"/>
  <c r="F18" i="2" s="1"/>
  <c r="F27" i="2" s="1"/>
  <c r="M17" i="7"/>
  <c r="D13" i="7" a="1"/>
  <c r="G17" i="2" l="1"/>
  <c r="H17" i="2" s="1"/>
  <c r="H18" i="2" s="1"/>
  <c r="H27" i="2" s="1"/>
  <c r="D13" i="7"/>
  <c r="D15" i="7" s="1"/>
  <c r="D16" i="7" s="1"/>
  <c r="D17" i="7" s="1"/>
  <c r="E15" i="7"/>
  <c r="E16" i="7" s="1"/>
  <c r="F15" i="7"/>
  <c r="F16" i="7" s="1"/>
  <c r="G15" i="7"/>
  <c r="G16" i="7" s="1"/>
  <c r="H15" i="7"/>
  <c r="H16" i="7" s="1"/>
  <c r="D20" i="7" a="1"/>
  <c r="D20" i="7" s="1"/>
  <c r="N17" i="7"/>
  <c r="G18" i="2" l="1"/>
  <c r="G27" i="2" s="1"/>
  <c r="C30" i="2" s="1"/>
  <c r="D18" i="7"/>
  <c r="D27" i="7" s="1"/>
  <c r="E17" i="7"/>
  <c r="C29" i="2" l="1"/>
  <c r="E18" i="7"/>
  <c r="E27" i="7" s="1"/>
  <c r="F17" i="7"/>
  <c r="G17" i="7" l="1"/>
  <c r="F18" i="7"/>
  <c r="F27" i="7" s="1"/>
  <c r="G18" i="7" l="1"/>
  <c r="G27" i="7" s="1"/>
  <c r="H17" i="7"/>
  <c r="H18" i="7" s="1"/>
  <c r="H27" i="7" s="1"/>
  <c r="C30" i="7" s="1"/>
  <c r="C29" i="7" l="1"/>
  <c r="C86" i="7" s="1"/>
  <c r="C30" i="3" l="1"/>
  <c r="L10" i="3"/>
  <c r="L13" i="3" s="1"/>
  <c r="L4" i="3"/>
  <c r="N12" i="3" s="1"/>
  <c r="K13" i="3" l="1"/>
  <c r="L14" i="3"/>
  <c r="L16" i="3"/>
  <c r="L17" i="3"/>
  <c r="L15" i="3"/>
  <c r="M13" i="3" l="1"/>
  <c r="N13" i="3" l="1"/>
  <c r="K14" i="3" l="1"/>
  <c r="M14" i="3" l="1"/>
  <c r="N14" i="3" l="1"/>
  <c r="K15" i="3" l="1"/>
  <c r="M15" i="3" l="1"/>
  <c r="N15" i="3" l="1"/>
  <c r="K16" i="3" l="1"/>
  <c r="M16" i="3" l="1"/>
  <c r="N16" i="3" l="1"/>
  <c r="K17" i="3" l="1"/>
  <c r="M17" i="3" l="1"/>
  <c r="D13" i="3" a="1"/>
  <c r="F15" i="3" l="1"/>
  <c r="F16" i="3" s="1"/>
  <c r="E15" i="3"/>
  <c r="E16" i="3" s="1"/>
  <c r="G15" i="3"/>
  <c r="G16" i="3" s="1"/>
  <c r="D13" i="3"/>
  <c r="D15" i="3" s="1"/>
  <c r="D16" i="3" s="1"/>
  <c r="D17" i="3" s="1"/>
  <c r="H15" i="3"/>
  <c r="H16" i="3" s="1"/>
  <c r="D20" i="3" a="1"/>
  <c r="D20" i="3" s="1"/>
  <c r="N17" i="3"/>
  <c r="D18" i="3" l="1"/>
  <c r="C29" i="3" s="1"/>
  <c r="E17" i="3"/>
  <c r="F17" i="3" l="1"/>
  <c r="E18" i="3"/>
  <c r="G17" i="3" l="1"/>
  <c r="F18" i="3"/>
  <c r="H17" i="3" l="1"/>
  <c r="H18" i="3" s="1"/>
  <c r="H27" i="3" s="1"/>
  <c r="G18" i="3"/>
  <c r="G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<sst xmlns="http://schemas.openxmlformats.org/spreadsheetml/2006/main" count="416" uniqueCount="60">
  <si>
    <t>INGRESOS</t>
  </si>
  <si>
    <t>CANTIDAD</t>
  </si>
  <si>
    <t>PRECIO</t>
  </si>
  <si>
    <t>COSTOS</t>
  </si>
  <si>
    <t>FIJOS</t>
  </si>
  <si>
    <t>VARIABLE</t>
  </si>
  <si>
    <t>DEPRECIACIÓN</t>
  </si>
  <si>
    <t>INTERESES</t>
  </si>
  <si>
    <t>MANTENCIÓN</t>
  </si>
  <si>
    <t>UTILIDAD</t>
  </si>
  <si>
    <t>IMPUESTO</t>
  </si>
  <si>
    <t>UTILIDAD DESPUES IMPUESTO</t>
  </si>
  <si>
    <t>AMORTIZACIÓN</t>
  </si>
  <si>
    <t>INVERSIONES</t>
  </si>
  <si>
    <t>TERRENO</t>
  </si>
  <si>
    <t>EDIFICACION</t>
  </si>
  <si>
    <t>MAQUINARIA</t>
  </si>
  <si>
    <t>CREDITO</t>
  </si>
  <si>
    <t>CAPITAL TRABAJO</t>
  </si>
  <si>
    <t>FLUJO</t>
  </si>
  <si>
    <t>CAPM</t>
  </si>
  <si>
    <t>VAN</t>
  </si>
  <si>
    <t>TIR</t>
  </si>
  <si>
    <t>CRÉDITO</t>
  </si>
  <si>
    <t>PERIODO(AÑOS)</t>
  </si>
  <si>
    <t>TASA NOMINAL ANUAL COMPUESTA TRIMESTRAL</t>
  </si>
  <si>
    <t>CUOTA</t>
  </si>
  <si>
    <t>TASA INTERES REAL EFECTIVA</t>
  </si>
  <si>
    <t>SALDO</t>
  </si>
  <si>
    <t>PERIODOS</t>
  </si>
  <si>
    <t xml:space="preserve">CRÉDITO CON BANCO BCI </t>
  </si>
  <si>
    <t>Rf</t>
  </si>
  <si>
    <t>beta</t>
  </si>
  <si>
    <t>Rm-Rf</t>
  </si>
  <si>
    <t>FLUJO LEASING OPERATIVO</t>
  </si>
  <si>
    <t>LEASING</t>
  </si>
  <si>
    <t>TASA NOMINAL ANUAL COMPUESTA SEMESTRAL</t>
  </si>
  <si>
    <t>FLUJO LEASING FINANCIERO</t>
  </si>
  <si>
    <t>TASA INTERES</t>
  </si>
  <si>
    <t>I</t>
  </si>
  <si>
    <t>II</t>
  </si>
  <si>
    <t>III</t>
  </si>
  <si>
    <t>FLUJO DE CAJA</t>
  </si>
  <si>
    <t>RELLENAR</t>
  </si>
  <si>
    <t>RELLENAR(%)</t>
  </si>
  <si>
    <t xml:space="preserve">RELLENAR </t>
  </si>
  <si>
    <t>Rf %</t>
  </si>
  <si>
    <t>Rm-Rf %</t>
  </si>
  <si>
    <t>TASA INTERES REAL</t>
  </si>
  <si>
    <t>RESPUESTA A PREGUNTAS</t>
  </si>
  <si>
    <t>FLUJO CON CRÉDITO</t>
  </si>
  <si>
    <t>FLUJO CON LEASING OPERATIVO</t>
  </si>
  <si>
    <t>FLUJO CON LEASING FINANCIERO</t>
  </si>
  <si>
    <t>La mejor alternativa es el flujo con crédito</t>
  </si>
  <si>
    <t>VARIACIÓN DEL VAN</t>
  </si>
  <si>
    <t>El VAN del leasing operativo es $557488 más que el leasing financiero</t>
  </si>
  <si>
    <t>CANTIDAD DE UNIDADES MINIMAS PARA UN VAN&gt;=0</t>
  </si>
  <si>
    <t>*USANDO LA HERRAMIENTA BUSCAR OBJETIVO</t>
  </si>
  <si>
    <t>TASA NOMINAL TRIMESTRAL COMPUESTA MENSUAL</t>
  </si>
  <si>
    <t>TASA NOMINAL MENSUAL COMPUESTA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</si>
</sst>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&quot;$&quot;\-#,##0.00"/>
    <numFmt numFmtId="42" formatCode="_ &quot;$&quot;* #,##0_ ;_ &quot;$&quot;* \-#,##0_ ;_ &quot;$&quot;* &quot;-&quot;_ ;_ @_ "/>
    <numFmt numFmtId="164" formatCode="_ &quot;$&quot;* #,##0.0000_ ;_ &quot;$&quot;* \-#,##0.0000_ ;_ &quot;$&quot;* &quot;-&quot;????_ ;_ @_ "/>
    <numFmt numFmtId="165" formatCode="&quot;$&quot;#,##0.0000;[Red]&quot;$&quot;\-#,##0.0000"/>
    <numFmt numFmtId="168" formatCode="0.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42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  <xf numFmtId="42" fontId="0" fillId="0" borderId="0" xfId="0" applyNumberFormat="1" applyFill="1" applyAlignment="1">
      <alignment vertical="center"/>
    </xf>
    <xf numFmtId="42" fontId="2" fillId="0" borderId="0" xfId="0" applyNumberFormat="1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2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2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2" fontId="0" fillId="0" borderId="1" xfId="1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42" fontId="0" fillId="0" borderId="1" xfId="1" applyFont="1" applyBorder="1" applyAlignment="1">
      <alignment horizontal="center" vertical="center" wrapText="1"/>
    </xf>
    <xf numFmtId="4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2" fontId="0" fillId="0" borderId="0" xfId="0" applyNumberFormat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42" fontId="0" fillId="0" borderId="1" xfId="1" applyNumberFormat="1" applyFont="1" applyBorder="1" applyAlignment="1">
      <alignment horizontal="center" vertical="center" wrapText="1"/>
    </xf>
    <xf numFmtId="168" fontId="0" fillId="0" borderId="1" xfId="2" applyNumberFormat="1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2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2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2" fontId="0" fillId="0" borderId="0" xfId="0" applyNumberFormat="1" applyFill="1" applyAlignment="1">
      <alignment horizontal="center" vertical="center" wrapText="1"/>
    </xf>
    <xf numFmtId="42" fontId="2" fillId="0" borderId="0" xfId="0" applyNumberFormat="1" applyFont="1" applyFill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9" fontId="0" fillId="0" borderId="1" xfId="2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133349</xdr:colOff>
      <xdr:row>1</xdr:row>
      <xdr:rowOff>70804</xdr:rowOff>
    </xdr:from>
    <xdr:to>
      <xdr:col>17</xdr:col>
      <xdr:colOff>533666</xdr:colOff>
      <xdr:row>28</xdr:row>
      <xdr:rowOff>27892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4CFE9-744A-481E-88E4-B6BA1E546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4949" y="261304"/>
          <a:ext cx="3410217" cy="5148213"/>
        </a:xfrm>
        <a:prstGeom prst="rect">
          <a:avLst/>
        </a:prstGeom>
      </xdr:spPr>
    </xdr:pic>
    <xdr:clientData/>
  </xdr:twoCellAnchor>
  <xdr:twoCellAnchor editAs="oneCell">
    <xdr:from>
      <xdr:col>14</xdr:col>
      <xdr:colOff>135334</xdr:colOff>
      <xdr:row>28</xdr:row>
      <xdr:rowOff>61228</xdr:rowOff>
    </xdr:from>
    <xdr:to>
      <xdr:col>17</xdr:col>
      <xdr:colOff>541479</xdr:colOff>
      <xdr:row>36</xdr:row>
      <xdr:rowOff>123824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61083-1A8E-493A-B04F-2C7FB7918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36934" y="5442853"/>
          <a:ext cx="3416045" cy="16342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652155</xdr:colOff>
      <xdr:row>0</xdr:row>
      <xdr:rowOff>0</xdr:rowOff>
    </xdr:from>
    <xdr:to>
      <xdr:col>20</xdr:col>
      <xdr:colOff>411881</xdr:colOff>
      <xdr:row>25</xdr:row>
      <xdr:rowOff>265718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F8B022-575F-5F3B-139A-8C6F38D51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0155" y="0"/>
          <a:ext cx="4331726" cy="5837843"/>
        </a:xfrm>
        <a:prstGeom prst="rect">
          <a:avLst/>
        </a:prstGeom>
      </xdr:spPr>
    </xdr:pic>
    <xdr:clientData/>
  </xdr:twoCellAnchor>
  <xdr:twoCellAnchor editAs="oneCell">
    <xdr:from>
      <xdr:col>14</xdr:col>
      <xdr:colOff>653083</xdr:colOff>
      <xdr:row>26</xdr:row>
      <xdr:rowOff>22747</xdr:rowOff>
    </xdr:from>
    <xdr:to>
      <xdr:col>20</xdr:col>
      <xdr:colOff>310645</xdr:colOff>
      <xdr:row>30</xdr:row>
      <xdr:rowOff>171451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1B4B90-ABD9-B92F-5F4B-C8E4902F9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06958" y="5975872"/>
          <a:ext cx="4229562" cy="91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BF48-0FAD-4262-8E4B-0C8CF14C8737}">
  <dimension ref="A2:Q85"/>
  <sheetViews>
    <sheetView workbookViewId="0">
      <selection activeCell="J33" sqref="J33"/>
    </sheetView>
  </sheetViews>
  <sheetFormatPr baseColWidth="10" defaultRowHeight="15" x14ac:dyDescent="0.25"/>
  <cols>
    <col min="1" max="1" width="10" style="28" bestFit="1" customWidth="1"/>
    <col min="2" max="2" width="27" style="28" bestFit="1" customWidth="1"/>
    <col min="3" max="3" width="10.28515625" style="28" bestFit="1" customWidth="1"/>
    <col min="4" max="8" width="10" style="28" bestFit="1" customWidth="1"/>
    <col min="9" max="9" width="9.5703125" style="28" bestFit="1" customWidth="1"/>
    <col min="10" max="10" width="9" style="28" bestFit="1" customWidth="1"/>
    <col min="11" max="11" width="10.140625" style="28" bestFit="1" customWidth="1"/>
    <col min="12" max="12" width="10" style="28" bestFit="1" customWidth="1"/>
    <col min="13" max="13" width="14.5703125" style="28" bestFit="1" customWidth="1"/>
    <col min="14" max="14" width="10" style="28" bestFit="1" customWidth="1"/>
    <col min="15" max="15" width="15.28515625" style="28" bestFit="1" customWidth="1"/>
    <col min="16" max="16" width="14.5703125" style="28" bestFit="1" customWidth="1"/>
    <col min="17" max="17" width="15.28515625" style="28" bestFit="1" customWidth="1"/>
    <col min="18" max="16384" width="11.42578125" style="28"/>
  </cols>
  <sheetData>
    <row r="2" spans="1:14" s="37" customFormat="1" ht="18.75" x14ac:dyDescent="0.25">
      <c r="B2" s="39" t="s">
        <v>42</v>
      </c>
    </row>
    <row r="4" spans="1:14" x14ac:dyDescent="0.25">
      <c r="B4" s="40"/>
      <c r="C4" s="40"/>
      <c r="D4" s="40">
        <v>1</v>
      </c>
      <c r="E4" s="40">
        <v>2</v>
      </c>
      <c r="F4" s="40">
        <v>3</v>
      </c>
      <c r="G4" s="40">
        <v>4</v>
      </c>
      <c r="H4" s="40">
        <v>5</v>
      </c>
      <c r="J4" s="13" t="s">
        <v>23</v>
      </c>
      <c r="K4" s="13"/>
      <c r="L4" s="45" t="str">
        <f>C25</f>
        <v>RELLENAR</v>
      </c>
    </row>
    <row r="5" spans="1:14" x14ac:dyDescent="0.25">
      <c r="B5" s="41" t="s">
        <v>0</v>
      </c>
      <c r="C5" s="40"/>
      <c r="D5" s="40"/>
      <c r="E5" s="40"/>
      <c r="F5" s="40"/>
      <c r="G5" s="40"/>
      <c r="H5" s="40"/>
      <c r="J5" s="13" t="s">
        <v>25</v>
      </c>
      <c r="K5" s="13"/>
      <c r="L5" s="55" t="s">
        <v>43</v>
      </c>
    </row>
    <row r="6" spans="1:14" x14ac:dyDescent="0.25">
      <c r="B6" s="42" t="s">
        <v>1</v>
      </c>
      <c r="C6" s="40"/>
      <c r="D6" s="43" t="s">
        <v>43</v>
      </c>
      <c r="E6" s="43" t="s">
        <v>43</v>
      </c>
      <c r="F6" s="43" t="s">
        <v>43</v>
      </c>
      <c r="G6" s="43" t="s">
        <v>43</v>
      </c>
      <c r="H6" s="43" t="s">
        <v>43</v>
      </c>
      <c r="J6" s="13"/>
      <c r="K6" s="13"/>
      <c r="L6" s="13"/>
    </row>
    <row r="7" spans="1:14" x14ac:dyDescent="0.25">
      <c r="B7" s="42" t="s">
        <v>2</v>
      </c>
      <c r="C7" s="40"/>
      <c r="D7" s="56" t="s">
        <v>43</v>
      </c>
      <c r="E7" s="56" t="s">
        <v>43</v>
      </c>
      <c r="F7" s="56" t="s">
        <v>43</v>
      </c>
      <c r="G7" s="56" t="s">
        <v>43</v>
      </c>
      <c r="H7" s="56" t="s">
        <v>43</v>
      </c>
      <c r="J7" s="13"/>
      <c r="K7" s="13"/>
      <c r="L7" s="13"/>
    </row>
    <row r="8" spans="1:14" x14ac:dyDescent="0.25">
      <c r="B8" s="42" t="s">
        <v>0</v>
      </c>
      <c r="C8" s="40"/>
      <c r="D8" s="45" t="e">
        <f>D6*D7</f>
        <v>#VALUE!</v>
      </c>
      <c r="E8" s="45" t="e">
        <f>E6*E7</f>
        <v>#VALUE!</v>
      </c>
      <c r="F8" s="45" t="e">
        <f>F6*F7</f>
        <v>#VALUE!</v>
      </c>
      <c r="G8" s="45" t="e">
        <f>G6*G7</f>
        <v>#VALUE!</v>
      </c>
      <c r="H8" s="45" t="e">
        <f>H6*H7</f>
        <v>#VALUE!</v>
      </c>
      <c r="J8" s="13" t="s">
        <v>24</v>
      </c>
      <c r="K8" s="13"/>
      <c r="L8" s="40" t="s">
        <v>43</v>
      </c>
    </row>
    <row r="9" spans="1:14" x14ac:dyDescent="0.25">
      <c r="B9" s="41" t="s">
        <v>3</v>
      </c>
      <c r="C9" s="40"/>
      <c r="D9" s="40"/>
      <c r="E9" s="40"/>
      <c r="F9" s="40"/>
      <c r="G9" s="40"/>
      <c r="H9" s="40"/>
      <c r="J9" s="13" t="s">
        <v>27</v>
      </c>
      <c r="K9" s="13"/>
      <c r="L9" s="57" t="e">
        <f>POWER(1+L5/4,4)-1</f>
        <v>#VALUE!</v>
      </c>
    </row>
    <row r="10" spans="1:14" x14ac:dyDescent="0.25">
      <c r="B10" s="42" t="s">
        <v>4</v>
      </c>
      <c r="C10" s="40"/>
      <c r="D10" s="56" t="s">
        <v>43</v>
      </c>
      <c r="E10" s="56" t="s">
        <v>43</v>
      </c>
      <c r="F10" s="56" t="s">
        <v>43</v>
      </c>
      <c r="G10" s="56" t="s">
        <v>43</v>
      </c>
      <c r="H10" s="56" t="s">
        <v>43</v>
      </c>
      <c r="J10" s="13" t="s">
        <v>26</v>
      </c>
      <c r="K10" s="13"/>
      <c r="L10" s="45" t="e">
        <f>-PMT(L9,L8,L4)</f>
        <v>#VALUE!</v>
      </c>
    </row>
    <row r="11" spans="1:14" x14ac:dyDescent="0.25">
      <c r="B11" s="42" t="s">
        <v>5</v>
      </c>
      <c r="C11" s="45" t="s">
        <v>43</v>
      </c>
      <c r="D11" s="56" t="s">
        <v>43</v>
      </c>
      <c r="E11" s="56" t="s">
        <v>43</v>
      </c>
      <c r="F11" s="56" t="s">
        <v>43</v>
      </c>
      <c r="G11" s="56" t="s">
        <v>43</v>
      </c>
      <c r="H11" s="56" t="s">
        <v>43</v>
      </c>
      <c r="J11" s="58" t="s">
        <v>30</v>
      </c>
      <c r="K11" s="58"/>
      <c r="L11" s="58"/>
      <c r="M11" s="58"/>
      <c r="N11" s="59" t="s">
        <v>28</v>
      </c>
    </row>
    <row r="12" spans="1:14" ht="30" x14ac:dyDescent="0.25">
      <c r="A12" s="50" t="s">
        <v>43</v>
      </c>
      <c r="B12" s="42" t="s">
        <v>6</v>
      </c>
      <c r="C12" s="45"/>
      <c r="D12" s="45" t="str">
        <f>A12</f>
        <v>RELLENAR</v>
      </c>
      <c r="E12" s="45" t="str">
        <f>D12</f>
        <v>RELLENAR</v>
      </c>
      <c r="F12" s="45" t="str">
        <f>E12</f>
        <v>RELLENAR</v>
      </c>
      <c r="G12" s="45" t="str">
        <f>F12</f>
        <v>RELLENAR</v>
      </c>
      <c r="H12" s="45" t="str">
        <f>G12</f>
        <v>RELLENAR</v>
      </c>
      <c r="J12" s="59" t="s">
        <v>29</v>
      </c>
      <c r="K12" s="59" t="s">
        <v>7</v>
      </c>
      <c r="L12" s="59" t="s">
        <v>26</v>
      </c>
      <c r="M12" s="59" t="s">
        <v>12</v>
      </c>
      <c r="N12" s="60" t="str">
        <f>L4</f>
        <v>RELLENAR</v>
      </c>
    </row>
    <row r="13" spans="1:14" x14ac:dyDescent="0.25">
      <c r="B13" s="42" t="s">
        <v>7</v>
      </c>
      <c r="C13" s="40"/>
      <c r="D13" s="56" t="e" cm="1">
        <f t="array" ref="D13:H13">-TRANSPOSE(K13:K17)</f>
        <v>#VALUE!</v>
      </c>
      <c r="E13" s="56" t="e">
        <v>#VALUE!</v>
      </c>
      <c r="F13" s="56" t="e">
        <v>#VALUE!</v>
      </c>
      <c r="G13" s="56" t="e">
        <v>#VALUE!</v>
      </c>
      <c r="H13" s="56" t="e">
        <v>#VALUE!</v>
      </c>
      <c r="J13" s="59">
        <v>1</v>
      </c>
      <c r="K13" s="60" t="e">
        <f>N12*L9</f>
        <v>#VALUE!</v>
      </c>
      <c r="L13" s="60" t="e">
        <f>L10</f>
        <v>#VALUE!</v>
      </c>
      <c r="M13" s="60" t="e">
        <f>L13-K13</f>
        <v>#VALUE!</v>
      </c>
      <c r="N13" s="60" t="e">
        <f>N12-M13</f>
        <v>#VALUE!</v>
      </c>
    </row>
    <row r="14" spans="1:14" x14ac:dyDescent="0.25">
      <c r="B14" s="42" t="s">
        <v>8</v>
      </c>
      <c r="C14" s="40"/>
      <c r="D14" s="56" t="s">
        <v>43</v>
      </c>
      <c r="E14" s="56" t="s">
        <v>43</v>
      </c>
      <c r="F14" s="56" t="s">
        <v>43</v>
      </c>
      <c r="G14" s="56" t="s">
        <v>43</v>
      </c>
      <c r="H14" s="56" t="s">
        <v>43</v>
      </c>
      <c r="J14" s="59">
        <v>2</v>
      </c>
      <c r="K14" s="60" t="e">
        <f>N13*L9</f>
        <v>#VALUE!</v>
      </c>
      <c r="L14" s="60" t="e">
        <f>L10</f>
        <v>#VALUE!</v>
      </c>
      <c r="M14" s="60" t="e">
        <f>L14-K14</f>
        <v>#VALUE!</v>
      </c>
      <c r="N14" s="60" t="e">
        <f>N13-M14</f>
        <v>#VALUE!</v>
      </c>
    </row>
    <row r="15" spans="1:14" x14ac:dyDescent="0.25">
      <c r="B15" s="42" t="s">
        <v>3</v>
      </c>
      <c r="C15" s="40"/>
      <c r="D15" s="45" t="e">
        <f>SUM(D10:D14)</f>
        <v>#VALUE!</v>
      </c>
      <c r="E15" s="45" t="e">
        <f>SUM(E10:E14)</f>
        <v>#VALUE!</v>
      </c>
      <c r="F15" s="45" t="e">
        <f>SUM(F10:F14)</f>
        <v>#VALUE!</v>
      </c>
      <c r="G15" s="45" t="e">
        <f>SUM(G10:G14)</f>
        <v>#VALUE!</v>
      </c>
      <c r="H15" s="45" t="e">
        <f>SUM(H10:H14)</f>
        <v>#VALUE!</v>
      </c>
      <c r="J15" s="59">
        <v>3</v>
      </c>
      <c r="K15" s="60" t="e">
        <f>N14*L9</f>
        <v>#VALUE!</v>
      </c>
      <c r="L15" s="60" t="e">
        <f>L10</f>
        <v>#VALUE!</v>
      </c>
      <c r="M15" s="60" t="e">
        <f>L15-K15</f>
        <v>#VALUE!</v>
      </c>
      <c r="N15" s="60" t="e">
        <f>N14-M15</f>
        <v>#VALUE!</v>
      </c>
    </row>
    <row r="16" spans="1:14" x14ac:dyDescent="0.25">
      <c r="B16" s="42" t="s">
        <v>9</v>
      </c>
      <c r="C16" s="40"/>
      <c r="D16" s="45" t="e">
        <f>D8+D15</f>
        <v>#VALUE!</v>
      </c>
      <c r="E16" s="45" t="e">
        <f>E8+E15</f>
        <v>#VALUE!</v>
      </c>
      <c r="F16" s="45" t="e">
        <f>F8+F15</f>
        <v>#VALUE!</v>
      </c>
      <c r="G16" s="45" t="e">
        <f>G8+G15</f>
        <v>#VALUE!</v>
      </c>
      <c r="H16" s="45" t="e">
        <f>H8+H15</f>
        <v>#VALUE!</v>
      </c>
      <c r="J16" s="61">
        <v>4</v>
      </c>
      <c r="K16" s="60" t="e">
        <f>N15*L9</f>
        <v>#VALUE!</v>
      </c>
      <c r="L16" s="60" t="e">
        <f>L10</f>
        <v>#VALUE!</v>
      </c>
      <c r="M16" s="62" t="e">
        <f>L16-K16</f>
        <v>#VALUE!</v>
      </c>
      <c r="N16" s="62" t="e">
        <f>N15-M16</f>
        <v>#VALUE!</v>
      </c>
    </row>
    <row r="17" spans="1:14" ht="30" x14ac:dyDescent="0.25">
      <c r="B17" s="42" t="s">
        <v>10</v>
      </c>
      <c r="C17" s="51" t="s">
        <v>44</v>
      </c>
      <c r="D17" s="56" t="e">
        <f>D16*C17</f>
        <v>#VALUE!</v>
      </c>
      <c r="E17" s="56" t="e">
        <f>IF(D17&lt;0,E16*C17,E16*C17+D17)</f>
        <v>#VALUE!</v>
      </c>
      <c r="F17" s="56" t="e">
        <f>IF(E17&lt;0,F16*C17,F16*C17+E17)</f>
        <v>#VALUE!</v>
      </c>
      <c r="G17" s="56" t="e">
        <f>IF(F17&lt;0,G16*C17,G16*C17+F17)</f>
        <v>#VALUE!</v>
      </c>
      <c r="H17" s="56" t="e">
        <f>IF(G17&lt;0,H16*C17,H16*C17+G17)</f>
        <v>#VALUE!</v>
      </c>
      <c r="J17" s="63">
        <v>5</v>
      </c>
      <c r="K17" s="60" t="e">
        <f>N16*L9</f>
        <v>#VALUE!</v>
      </c>
      <c r="L17" s="60" t="e">
        <f>L10</f>
        <v>#VALUE!</v>
      </c>
      <c r="M17" s="62" t="e">
        <f>L17-K17</f>
        <v>#VALUE!</v>
      </c>
      <c r="N17" s="62" t="e">
        <f>N16-M17</f>
        <v>#VALUE!</v>
      </c>
    </row>
    <row r="18" spans="1:14" x14ac:dyDescent="0.25">
      <c r="B18" s="41" t="s">
        <v>11</v>
      </c>
      <c r="C18" s="40"/>
      <c r="D18" s="56" t="e">
        <f>IF(D17&gt;0,D16,D16+D17)</f>
        <v>#VALUE!</v>
      </c>
      <c r="E18" s="56" t="e">
        <f>IF(E17&gt;0,E16,E16+E17)</f>
        <v>#VALUE!</v>
      </c>
      <c r="F18" s="56" t="e">
        <f>IF(F17&gt;0,F16,F16+F17)</f>
        <v>#VALUE!</v>
      </c>
      <c r="G18" s="56" t="e">
        <f>IF(G17&gt;0,G16,G16+G17)</f>
        <v>#VALUE!</v>
      </c>
      <c r="H18" s="56" t="e">
        <f>IF(H17&gt;0,H16,H16+H17)</f>
        <v>#VALUE!</v>
      </c>
    </row>
    <row r="19" spans="1:14" x14ac:dyDescent="0.25">
      <c r="B19" s="42" t="s">
        <v>6</v>
      </c>
      <c r="C19" s="40"/>
      <c r="D19" s="45" t="e">
        <f>-D12</f>
        <v>#VALUE!</v>
      </c>
      <c r="E19" s="45" t="e">
        <f>-E12</f>
        <v>#VALUE!</v>
      </c>
      <c r="F19" s="45" t="e">
        <f>-F12</f>
        <v>#VALUE!</v>
      </c>
      <c r="G19" s="45" t="e">
        <f>-G12</f>
        <v>#VALUE!</v>
      </c>
      <c r="H19" s="45" t="e">
        <f>-H12</f>
        <v>#VALUE!</v>
      </c>
    </row>
    <row r="20" spans="1:14" x14ac:dyDescent="0.25">
      <c r="B20" s="42" t="s">
        <v>12</v>
      </c>
      <c r="C20" s="40"/>
      <c r="D20" s="56" t="e" cm="1">
        <f t="array" ref="D20:H20">-TRANSPOSE(M13:M17)</f>
        <v>#VALUE!</v>
      </c>
      <c r="E20" s="56" t="e">
        <v>#VALUE!</v>
      </c>
      <c r="F20" s="56" t="e">
        <v>#VALUE!</v>
      </c>
      <c r="G20" s="56" t="e">
        <v>#VALUE!</v>
      </c>
      <c r="H20" s="56" t="e">
        <v>#VALUE!</v>
      </c>
    </row>
    <row r="21" spans="1:14" x14ac:dyDescent="0.25">
      <c r="B21" s="41" t="s">
        <v>13</v>
      </c>
      <c r="C21" s="40"/>
      <c r="D21" s="40"/>
      <c r="E21" s="40"/>
      <c r="F21" s="40"/>
      <c r="G21" s="40"/>
      <c r="H21" s="40"/>
    </row>
    <row r="22" spans="1:14" x14ac:dyDescent="0.25">
      <c r="B22" s="42" t="s">
        <v>14</v>
      </c>
      <c r="C22" s="56" t="s">
        <v>43</v>
      </c>
      <c r="D22" s="40"/>
      <c r="E22" s="40"/>
      <c r="F22" s="40"/>
      <c r="G22" s="40"/>
      <c r="H22" s="56" t="e">
        <f>C22*I22</f>
        <v>#VALUE!</v>
      </c>
      <c r="I22" s="64" t="s">
        <v>45</v>
      </c>
    </row>
    <row r="23" spans="1:14" x14ac:dyDescent="0.25">
      <c r="B23" s="42" t="s">
        <v>15</v>
      </c>
      <c r="C23" s="56" t="s">
        <v>43</v>
      </c>
      <c r="D23" s="40"/>
      <c r="E23" s="40"/>
      <c r="F23" s="40"/>
      <c r="G23" s="40"/>
      <c r="H23" s="56" t="e">
        <f>C23*I23</f>
        <v>#VALUE!</v>
      </c>
      <c r="I23" s="64" t="s">
        <v>45</v>
      </c>
    </row>
    <row r="24" spans="1:14" x14ac:dyDescent="0.25">
      <c r="B24" s="42" t="s">
        <v>16</v>
      </c>
      <c r="C24" s="56" t="s">
        <v>43</v>
      </c>
      <c r="D24" s="40"/>
      <c r="E24" s="40"/>
      <c r="F24" s="40"/>
      <c r="G24" s="40"/>
      <c r="H24" s="56" t="e">
        <f t="shared" ref="H23:H24" si="0">C24*I24</f>
        <v>#VALUE!</v>
      </c>
      <c r="I24" s="64" t="s">
        <v>45</v>
      </c>
    </row>
    <row r="25" spans="1:14" x14ac:dyDescent="0.25">
      <c r="B25" s="42" t="s">
        <v>17</v>
      </c>
      <c r="C25" s="45" t="s">
        <v>43</v>
      </c>
      <c r="D25" s="40"/>
      <c r="E25" s="40"/>
      <c r="F25" s="40"/>
      <c r="G25" s="40"/>
      <c r="H25" s="40"/>
    </row>
    <row r="26" spans="1:14" x14ac:dyDescent="0.25">
      <c r="A26" s="64" t="s">
        <v>43</v>
      </c>
      <c r="B26" s="42" t="s">
        <v>18</v>
      </c>
      <c r="C26" s="45" t="e">
        <f>A26*D11</f>
        <v>#VALUE!</v>
      </c>
      <c r="D26" s="40"/>
      <c r="E26" s="40"/>
      <c r="F26" s="40"/>
      <c r="G26" s="40"/>
      <c r="H26" s="45" t="e">
        <f>I26*C26</f>
        <v>#VALUE!</v>
      </c>
      <c r="I26" s="64" t="s">
        <v>45</v>
      </c>
    </row>
    <row r="27" spans="1:14" x14ac:dyDescent="0.25">
      <c r="B27" s="42" t="s">
        <v>19</v>
      </c>
      <c r="C27" s="56" t="e">
        <f>SUM(C18:C26)</f>
        <v>#VALUE!</v>
      </c>
      <c r="D27" s="56" t="e">
        <f>SUM(D18:D26)</f>
        <v>#VALUE!</v>
      </c>
      <c r="E27" s="56" t="e">
        <f>SUM(E18:E26)</f>
        <v>#VALUE!</v>
      </c>
      <c r="F27" s="56" t="e">
        <f>SUM(F18:F26)</f>
        <v>#VALUE!</v>
      </c>
      <c r="G27" s="56" t="e">
        <f>SUM(G18:G26)</f>
        <v>#VALUE!</v>
      </c>
      <c r="H27" s="56" t="e">
        <f>SUM(H18:H26)</f>
        <v>#VALUE!</v>
      </c>
    </row>
    <row r="28" spans="1:14" x14ac:dyDescent="0.25">
      <c r="B28" s="42" t="s">
        <v>20</v>
      </c>
      <c r="C28" s="52" t="e">
        <f>K28+K29*K30</f>
        <v>#VALUE!</v>
      </c>
      <c r="D28" s="40"/>
      <c r="E28" s="40"/>
      <c r="F28" s="40"/>
      <c r="G28" s="40"/>
      <c r="H28" s="40"/>
      <c r="J28" s="31" t="s">
        <v>46</v>
      </c>
      <c r="K28" s="53" t="s">
        <v>43</v>
      </c>
    </row>
    <row r="29" spans="1:14" x14ac:dyDescent="0.25">
      <c r="B29" s="41" t="s">
        <v>21</v>
      </c>
      <c r="C29" s="45" t="e">
        <f>NPV(C28,D27:H27)+C27</f>
        <v>#VALUE!</v>
      </c>
      <c r="D29" s="40"/>
      <c r="E29" s="40"/>
      <c r="F29" s="40"/>
      <c r="G29" s="40"/>
      <c r="H29" s="40"/>
      <c r="J29" s="31" t="s">
        <v>32</v>
      </c>
      <c r="K29" s="65" t="s">
        <v>43</v>
      </c>
    </row>
    <row r="30" spans="1:14" x14ac:dyDescent="0.25">
      <c r="B30" s="41" t="s">
        <v>22</v>
      </c>
      <c r="C30" s="53" t="e">
        <f>IRR(C27:H27)</f>
        <v>#VALUE!</v>
      </c>
      <c r="D30" s="40"/>
      <c r="E30" s="40"/>
      <c r="F30" s="40"/>
      <c r="G30" s="40"/>
      <c r="H30" s="40"/>
      <c r="J30" s="31" t="s">
        <v>47</v>
      </c>
      <c r="K30" s="53" t="s">
        <v>43</v>
      </c>
    </row>
    <row r="35" spans="17:17" s="66" customFormat="1" x14ac:dyDescent="0.25"/>
    <row r="36" spans="17:17" s="66" customFormat="1" x14ac:dyDescent="0.25"/>
    <row r="37" spans="17:17" s="66" customFormat="1" x14ac:dyDescent="0.25"/>
    <row r="38" spans="17:17" s="66" customFormat="1" x14ac:dyDescent="0.25"/>
    <row r="39" spans="17:17" s="66" customFormat="1" x14ac:dyDescent="0.25"/>
    <row r="40" spans="17:17" s="66" customFormat="1" x14ac:dyDescent="0.25"/>
    <row r="41" spans="17:17" s="66" customFormat="1" x14ac:dyDescent="0.25"/>
    <row r="42" spans="17:17" s="66" customFormat="1" x14ac:dyDescent="0.25"/>
    <row r="43" spans="17:17" s="66" customFormat="1" x14ac:dyDescent="0.25"/>
    <row r="44" spans="17:17" s="66" customFormat="1" x14ac:dyDescent="0.25"/>
    <row r="45" spans="17:17" s="66" customFormat="1" x14ac:dyDescent="0.25">
      <c r="Q45" s="67"/>
    </row>
    <row r="46" spans="17:17" s="66" customFormat="1" x14ac:dyDescent="0.25">
      <c r="Q46" s="67"/>
    </row>
    <row r="47" spans="17:17" s="66" customFormat="1" x14ac:dyDescent="0.25">
      <c r="Q47" s="67"/>
    </row>
    <row r="48" spans="17:17" s="66" customFormat="1" x14ac:dyDescent="0.25">
      <c r="Q48" s="67"/>
    </row>
    <row r="49" spans="1:17" s="66" customFormat="1" ht="18.75" x14ac:dyDescent="0.25">
      <c r="Q49" s="68"/>
    </row>
    <row r="50" spans="1:17" s="66" customFormat="1" ht="18.75" x14ac:dyDescent="0.25">
      <c r="Q50" s="68"/>
    </row>
    <row r="51" spans="1:17" s="66" customFormat="1" x14ac:dyDescent="0.25"/>
    <row r="52" spans="1:17" s="66" customFormat="1" x14ac:dyDescent="0.25"/>
    <row r="53" spans="1:17" s="66" customFormat="1" x14ac:dyDescent="0.25"/>
    <row r="54" spans="1:17" s="66" customFormat="1" x14ac:dyDescent="0.25"/>
    <row r="55" spans="1:17" s="66" customFormat="1" x14ac:dyDescent="0.25"/>
    <row r="56" spans="1:17" s="66" customFormat="1" x14ac:dyDescent="0.25"/>
    <row r="57" spans="1:17" s="66" customFormat="1" x14ac:dyDescent="0.25"/>
    <row r="58" spans="1:17" s="66" customFormat="1" x14ac:dyDescent="0.25"/>
    <row r="59" spans="1:17" s="66" customFormat="1" x14ac:dyDescent="0.25"/>
    <row r="60" spans="1:17" s="66" customFormat="1" x14ac:dyDescent="0.25"/>
    <row r="61" spans="1:17" x14ac:dyDescent="0.2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</row>
    <row r="62" spans="1:17" x14ac:dyDescent="0.2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</row>
    <row r="63" spans="1:17" x14ac:dyDescent="0.2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</row>
    <row r="64" spans="1:17" x14ac:dyDescent="0.2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</row>
    <row r="65" spans="1:16" x14ac:dyDescent="0.2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</row>
    <row r="66" spans="1:16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</row>
    <row r="67" spans="1:16" x14ac:dyDescent="0.2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</row>
    <row r="68" spans="1:16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</row>
    <row r="69" spans="1:16" x14ac:dyDescent="0.2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</row>
    <row r="70" spans="1:16" x14ac:dyDescent="0.2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</row>
    <row r="71" spans="1:16" x14ac:dyDescent="0.2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</row>
    <row r="72" spans="1:16" x14ac:dyDescent="0.2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</row>
    <row r="73" spans="1:16" x14ac:dyDescent="0.2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</row>
    <row r="74" spans="1:16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</row>
    <row r="75" spans="1:16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</row>
    <row r="76" spans="1:16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</row>
    <row r="77" spans="1:16" x14ac:dyDescent="0.2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</row>
    <row r="78" spans="1:16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</row>
    <row r="79" spans="1:16" x14ac:dyDescent="0.2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</row>
    <row r="80" spans="1:16" x14ac:dyDescent="0.2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</row>
    <row r="81" spans="1:16" x14ac:dyDescent="0.2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</row>
    <row r="82" spans="1:16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</row>
    <row r="83" spans="1:16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</row>
    <row r="84" spans="1:16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</row>
    <row r="85" spans="1:16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</row>
  </sheetData>
  <mergeCells count="7">
    <mergeCell ref="J4:K4"/>
    <mergeCell ref="J11:M11"/>
    <mergeCell ref="J9:K9"/>
    <mergeCell ref="J10:K10"/>
    <mergeCell ref="J5:K7"/>
    <mergeCell ref="L5:L7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26E2-7BF2-4C8A-A5FB-1089E8C460DE}">
  <dimension ref="A1:P23"/>
  <sheetViews>
    <sheetView workbookViewId="0">
      <selection activeCell="D16" sqref="D16:H16"/>
    </sheetView>
  </sheetViews>
  <sheetFormatPr baseColWidth="10" defaultRowHeight="15" x14ac:dyDescent="0.25"/>
  <cols>
    <col min="1" max="1" width="13.42578125" style="28" bestFit="1" customWidth="1"/>
    <col min="2" max="2" width="32.7109375" style="28" bestFit="1" customWidth="1"/>
    <col min="3" max="3" width="9.85546875" style="28" customWidth="1"/>
    <col min="4" max="8" width="10" style="28" bestFit="1" customWidth="1"/>
    <col min="9" max="9" width="11.42578125" style="28"/>
    <col min="10" max="10" width="17.85546875" style="28" customWidth="1"/>
    <col min="11" max="11" width="13.42578125" style="28" bestFit="1" customWidth="1"/>
    <col min="12" max="16384" width="11.42578125" style="28"/>
  </cols>
  <sheetData>
    <row r="1" spans="1:16" s="37" customFormat="1" ht="18.75" x14ac:dyDescent="0.25">
      <c r="B1" s="39" t="s">
        <v>34</v>
      </c>
    </row>
    <row r="4" spans="1:16" x14ac:dyDescent="0.25">
      <c r="B4" s="40"/>
      <c r="C4" s="40"/>
      <c r="D4" s="40">
        <v>1</v>
      </c>
      <c r="E4" s="40">
        <v>2</v>
      </c>
      <c r="F4" s="40">
        <v>3</v>
      </c>
      <c r="G4" s="40">
        <v>4</v>
      </c>
      <c r="H4" s="40">
        <v>5</v>
      </c>
    </row>
    <row r="5" spans="1:16" x14ac:dyDescent="0.25">
      <c r="B5" s="41" t="s">
        <v>0</v>
      </c>
      <c r="C5" s="40"/>
      <c r="D5" s="40"/>
      <c r="E5" s="40"/>
      <c r="F5" s="40"/>
      <c r="G5" s="40"/>
      <c r="H5" s="40"/>
    </row>
    <row r="6" spans="1:16" x14ac:dyDescent="0.25">
      <c r="B6" s="42" t="s">
        <v>1</v>
      </c>
      <c r="C6" s="40"/>
      <c r="D6" s="43" t="s">
        <v>43</v>
      </c>
      <c r="E6" s="43" t="s">
        <v>43</v>
      </c>
      <c r="F6" s="43" t="s">
        <v>43</v>
      </c>
      <c r="G6" s="43" t="s">
        <v>43</v>
      </c>
      <c r="H6" s="43" t="s">
        <v>43</v>
      </c>
    </row>
    <row r="7" spans="1:16" x14ac:dyDescent="0.25">
      <c r="B7" s="42" t="s">
        <v>2</v>
      </c>
      <c r="C7" s="40"/>
      <c r="D7" s="44" t="s">
        <v>43</v>
      </c>
      <c r="E7" s="44" t="s">
        <v>43</v>
      </c>
      <c r="F7" s="44" t="s">
        <v>43</v>
      </c>
      <c r="G7" s="44" t="s">
        <v>43</v>
      </c>
      <c r="H7" s="44" t="s">
        <v>43</v>
      </c>
    </row>
    <row r="8" spans="1:16" x14ac:dyDescent="0.25">
      <c r="B8" s="42" t="s">
        <v>0</v>
      </c>
      <c r="C8" s="40"/>
      <c r="D8" s="45" t="e">
        <f>D6*D7</f>
        <v>#VALUE!</v>
      </c>
      <c r="E8" s="45" t="e">
        <f>E6*E7</f>
        <v>#VALUE!</v>
      </c>
      <c r="F8" s="45" t="e">
        <f>F6*F7</f>
        <v>#VALUE!</v>
      </c>
      <c r="G8" s="45" t="e">
        <f>G6*G7</f>
        <v>#VALUE!</v>
      </c>
      <c r="H8" s="45" t="e">
        <f>H6*H7</f>
        <v>#VALUE!</v>
      </c>
    </row>
    <row r="9" spans="1:16" x14ac:dyDescent="0.25">
      <c r="B9" s="41" t="s">
        <v>3</v>
      </c>
      <c r="C9" s="40"/>
      <c r="D9" s="40"/>
      <c r="E9" s="40"/>
      <c r="F9" s="40"/>
      <c r="G9" s="40"/>
      <c r="H9" s="40"/>
      <c r="J9" s="40" t="s">
        <v>23</v>
      </c>
      <c r="K9" s="45" t="s">
        <v>43</v>
      </c>
      <c r="M9" s="46"/>
      <c r="N9" s="46"/>
      <c r="O9" s="46"/>
      <c r="P9" s="46"/>
    </row>
    <row r="10" spans="1:16" x14ac:dyDescent="0.25">
      <c r="B10" s="42" t="s">
        <v>4</v>
      </c>
      <c r="C10" s="40"/>
      <c r="D10" s="44" t="s">
        <v>43</v>
      </c>
      <c r="E10" s="44" t="s">
        <v>43</v>
      </c>
      <c r="F10" s="44" t="s">
        <v>43</v>
      </c>
      <c r="G10" s="44" t="s">
        <v>43</v>
      </c>
      <c r="H10" s="44" t="s">
        <v>43</v>
      </c>
      <c r="J10" s="13" t="s">
        <v>36</v>
      </c>
      <c r="K10" s="55" t="s">
        <v>43</v>
      </c>
    </row>
    <row r="11" spans="1:16" ht="15.75" customHeight="1" x14ac:dyDescent="0.25">
      <c r="B11" s="42" t="s">
        <v>5</v>
      </c>
      <c r="C11" s="40" t="s">
        <v>43</v>
      </c>
      <c r="D11" s="40" t="s">
        <v>43</v>
      </c>
      <c r="E11" s="40" t="s">
        <v>43</v>
      </c>
      <c r="F11" s="40" t="s">
        <v>43</v>
      </c>
      <c r="G11" s="40" t="s">
        <v>43</v>
      </c>
      <c r="H11" s="40" t="s">
        <v>43</v>
      </c>
      <c r="J11" s="13"/>
      <c r="K11" s="55"/>
      <c r="N11" s="47"/>
      <c r="O11" s="48"/>
      <c r="P11" s="49"/>
    </row>
    <row r="12" spans="1:16" x14ac:dyDescent="0.25">
      <c r="A12" s="50" t="e">
        <f>K15</f>
        <v>#VALUE!</v>
      </c>
      <c r="B12" s="42" t="s">
        <v>35</v>
      </c>
      <c r="C12" s="45"/>
      <c r="D12" s="45" t="e">
        <f>A12</f>
        <v>#VALUE!</v>
      </c>
      <c r="E12" s="45" t="e">
        <f>D12</f>
        <v>#VALUE!</v>
      </c>
      <c r="F12" s="45" t="e">
        <f t="shared" ref="F12:H12" si="0">E12</f>
        <v>#VALUE!</v>
      </c>
      <c r="G12" s="45" t="e">
        <f t="shared" si="0"/>
        <v>#VALUE!</v>
      </c>
      <c r="H12" s="45" t="e">
        <f t="shared" si="0"/>
        <v>#VALUE!</v>
      </c>
      <c r="J12" s="13"/>
      <c r="K12" s="55"/>
      <c r="N12" s="47"/>
      <c r="O12" s="48"/>
    </row>
    <row r="13" spans="1:16" x14ac:dyDescent="0.25">
      <c r="B13" s="42" t="s">
        <v>8</v>
      </c>
      <c r="C13" s="40"/>
      <c r="D13" s="45">
        <v>0</v>
      </c>
      <c r="E13" s="45">
        <v>0</v>
      </c>
      <c r="F13" s="45">
        <v>0</v>
      </c>
      <c r="G13" s="45">
        <v>0</v>
      </c>
      <c r="H13" s="45">
        <v>0</v>
      </c>
      <c r="J13" s="40" t="s">
        <v>24</v>
      </c>
      <c r="K13" s="40" t="s">
        <v>43</v>
      </c>
      <c r="N13" s="47"/>
      <c r="O13" s="48"/>
    </row>
    <row r="14" spans="1:16" x14ac:dyDescent="0.25">
      <c r="B14" s="42" t="s">
        <v>3</v>
      </c>
      <c r="C14" s="40"/>
      <c r="D14" s="45" t="e">
        <f>SUM(D10:D13)</f>
        <v>#VALUE!</v>
      </c>
      <c r="E14" s="45" t="e">
        <f>SUM(E10:E13)</f>
        <v>#VALUE!</v>
      </c>
      <c r="F14" s="45" t="e">
        <f>SUM(F10:F13)</f>
        <v>#VALUE!</v>
      </c>
      <c r="G14" s="45" t="e">
        <f>SUM(G10:G13)</f>
        <v>#VALUE!</v>
      </c>
      <c r="H14" s="45" t="e">
        <f>SUM(H10:H13)</f>
        <v>#VALUE!</v>
      </c>
      <c r="J14" s="40" t="s">
        <v>48</v>
      </c>
      <c r="K14" s="51" t="e">
        <f>POWER(1+K10/2,2)-1</f>
        <v>#VALUE!</v>
      </c>
      <c r="N14" s="47"/>
      <c r="O14" s="48"/>
    </row>
    <row r="15" spans="1:16" x14ac:dyDescent="0.25">
      <c r="B15" s="42" t="s">
        <v>9</v>
      </c>
      <c r="C15" s="40"/>
      <c r="D15" s="45" t="e">
        <f>D8+D14</f>
        <v>#VALUE!</v>
      </c>
      <c r="E15" s="45" t="e">
        <f>E8+E14</f>
        <v>#VALUE!</v>
      </c>
      <c r="F15" s="45" t="e">
        <f>F8+F14</f>
        <v>#VALUE!</v>
      </c>
      <c r="G15" s="45" t="e">
        <f>G8+G14</f>
        <v>#VALUE!</v>
      </c>
      <c r="H15" s="45" t="e">
        <f>H8+H14</f>
        <v>#VALUE!</v>
      </c>
      <c r="J15" s="40" t="s">
        <v>35</v>
      </c>
      <c r="K15" s="54" t="e">
        <f>PMT(K14,K13,K9)</f>
        <v>#VALUE!</v>
      </c>
      <c r="N15" s="47"/>
      <c r="O15" s="48"/>
    </row>
    <row r="16" spans="1:16" x14ac:dyDescent="0.25">
      <c r="B16" s="42" t="s">
        <v>10</v>
      </c>
      <c r="C16" s="51" t="s">
        <v>43</v>
      </c>
      <c r="D16" s="56" t="e">
        <f>D15*C16</f>
        <v>#VALUE!</v>
      </c>
      <c r="E16" s="56" t="e">
        <f>IF(D16&lt;0,E15*C16,E15*C16+D16)</f>
        <v>#VALUE!</v>
      </c>
      <c r="F16" s="56" t="e">
        <f>IF(E16&lt;0,F15*C16,F15*C16+E16)</f>
        <v>#VALUE!</v>
      </c>
      <c r="G16" s="56" t="e">
        <f>IF(F16&lt;0,G15*C16,G15*C16+F16)</f>
        <v>#VALUE!</v>
      </c>
      <c r="H16" s="56" t="e">
        <f>IF(G16&lt;0,H15*C16,H15*C16+G16)</f>
        <v>#VALUE!</v>
      </c>
    </row>
    <row r="17" spans="1:11" x14ac:dyDescent="0.25">
      <c r="B17" s="41" t="s">
        <v>11</v>
      </c>
      <c r="C17" s="40"/>
      <c r="D17" s="44" t="e">
        <f>IF(D16&gt;0,D15,D15+D16)</f>
        <v>#VALUE!</v>
      </c>
      <c r="E17" s="44" t="e">
        <f>IF(E16&gt;0,E15,E15+E16)</f>
        <v>#VALUE!</v>
      </c>
      <c r="F17" s="44" t="e">
        <f>IF(F16&gt;0,F15,F15+F16)</f>
        <v>#VALUE!</v>
      </c>
      <c r="G17" s="44" t="e">
        <f>IF(G16&gt;0,G15,G15+G16)</f>
        <v>#VALUE!</v>
      </c>
      <c r="H17" s="44" t="e">
        <f>IF(H16&gt;0,H15,H15+H16)</f>
        <v>#VALUE!</v>
      </c>
    </row>
    <row r="18" spans="1:11" x14ac:dyDescent="0.25">
      <c r="B18" s="41" t="s">
        <v>13</v>
      </c>
      <c r="C18" s="40"/>
      <c r="D18" s="40"/>
      <c r="E18" s="40"/>
      <c r="F18" s="40"/>
      <c r="G18" s="40"/>
      <c r="H18" s="40"/>
    </row>
    <row r="19" spans="1:11" x14ac:dyDescent="0.25">
      <c r="A19" s="28" t="s">
        <v>43</v>
      </c>
      <c r="B19" s="42" t="s">
        <v>18</v>
      </c>
      <c r="C19" s="45" t="e">
        <f>A19*D11</f>
        <v>#VALUE!</v>
      </c>
      <c r="D19" s="40"/>
      <c r="E19" s="40"/>
      <c r="F19" s="40"/>
      <c r="G19" s="40"/>
      <c r="H19" s="45" t="e">
        <f>I19*C19</f>
        <v>#VALUE!</v>
      </c>
      <c r="I19" s="28" t="s">
        <v>43</v>
      </c>
    </row>
    <row r="20" spans="1:11" x14ac:dyDescent="0.25">
      <c r="B20" s="42" t="s">
        <v>19</v>
      </c>
      <c r="C20" s="44" t="e">
        <f>SUM(C17:C19)</f>
        <v>#VALUE!</v>
      </c>
      <c r="D20" s="44" t="e">
        <f>SUM(D17:D19)</f>
        <v>#VALUE!</v>
      </c>
      <c r="E20" s="44" t="e">
        <f>SUM(E17:E19)</f>
        <v>#VALUE!</v>
      </c>
      <c r="F20" s="44" t="e">
        <f>SUM(F17:F19)</f>
        <v>#VALUE!</v>
      </c>
      <c r="G20" s="44" t="e">
        <f>SUM(G17:G19)</f>
        <v>#VALUE!</v>
      </c>
      <c r="H20" s="44" t="e">
        <f>SUM(H17:H19)</f>
        <v>#VALUE!</v>
      </c>
    </row>
    <row r="21" spans="1:11" x14ac:dyDescent="0.25">
      <c r="B21" s="42" t="s">
        <v>20</v>
      </c>
      <c r="C21" s="51" t="e">
        <f>K21+K22*K23</f>
        <v>#VALUE!</v>
      </c>
      <c r="D21" s="40"/>
      <c r="E21" s="40"/>
      <c r="F21" s="40"/>
      <c r="G21" s="40"/>
      <c r="H21" s="40"/>
      <c r="J21" s="31" t="s">
        <v>31</v>
      </c>
      <c r="K21" s="53" t="s">
        <v>43</v>
      </c>
    </row>
    <row r="22" spans="1:11" x14ac:dyDescent="0.25">
      <c r="B22" s="41" t="s">
        <v>21</v>
      </c>
      <c r="C22" s="45" t="e">
        <f>NPV(C21,D20:H20)+C20</f>
        <v>#VALUE!</v>
      </c>
      <c r="D22" s="40"/>
      <c r="E22" s="40"/>
      <c r="F22" s="40"/>
      <c r="G22" s="40"/>
      <c r="H22" s="40"/>
      <c r="J22" s="31" t="s">
        <v>32</v>
      </c>
      <c r="K22" s="40" t="s">
        <v>43</v>
      </c>
    </row>
    <row r="23" spans="1:11" x14ac:dyDescent="0.25">
      <c r="B23" s="41" t="s">
        <v>22</v>
      </c>
      <c r="C23" s="53" t="e">
        <f>IRR(C20:H20)</f>
        <v>#VALUE!</v>
      </c>
      <c r="D23" s="40"/>
      <c r="E23" s="40"/>
      <c r="F23" s="40"/>
      <c r="G23" s="40"/>
      <c r="H23" s="40"/>
      <c r="J23" s="31" t="s">
        <v>33</v>
      </c>
      <c r="K23" s="53" t="s">
        <v>43</v>
      </c>
    </row>
  </sheetData>
  <mergeCells count="3">
    <mergeCell ref="M9:P9"/>
    <mergeCell ref="J10:J12"/>
    <mergeCell ref="K10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55B6-BC11-4B64-815D-2C163D9FFCF8}">
  <dimension ref="A1:K23"/>
  <sheetViews>
    <sheetView workbookViewId="0">
      <selection activeCell="J13" sqref="J13"/>
    </sheetView>
  </sheetViews>
  <sheetFormatPr baseColWidth="10" defaultRowHeight="15" x14ac:dyDescent="0.25"/>
  <cols>
    <col min="1" max="1" width="9.5703125" style="28" bestFit="1" customWidth="1"/>
    <col min="2" max="2" width="33.85546875" style="28" bestFit="1" customWidth="1"/>
    <col min="3" max="8" width="10" style="28" bestFit="1" customWidth="1"/>
    <col min="9" max="9" width="9.5703125" style="28" bestFit="1" customWidth="1"/>
    <col min="10" max="10" width="10.85546875" style="28" bestFit="1" customWidth="1"/>
    <col min="11" max="11" width="10" style="28" bestFit="1" customWidth="1"/>
    <col min="12" max="16384" width="11.42578125" style="28"/>
  </cols>
  <sheetData>
    <row r="1" spans="1:11" s="37" customFormat="1" ht="18.75" x14ac:dyDescent="0.25">
      <c r="B1" s="39" t="s">
        <v>37</v>
      </c>
    </row>
    <row r="4" spans="1:11" x14ac:dyDescent="0.25">
      <c r="B4" s="40"/>
      <c r="C4" s="40"/>
      <c r="D4" s="40">
        <v>1</v>
      </c>
      <c r="E4" s="40">
        <v>2</v>
      </c>
      <c r="F4" s="40">
        <v>3</v>
      </c>
      <c r="G4" s="40">
        <v>4</v>
      </c>
      <c r="H4" s="40">
        <v>5</v>
      </c>
    </row>
    <row r="5" spans="1:11" x14ac:dyDescent="0.25">
      <c r="B5" s="41" t="s">
        <v>0</v>
      </c>
      <c r="C5" s="40"/>
      <c r="D5" s="40"/>
      <c r="E5" s="40"/>
      <c r="F5" s="40"/>
      <c r="G5" s="40"/>
      <c r="H5" s="40"/>
    </row>
    <row r="6" spans="1:11" x14ac:dyDescent="0.25">
      <c r="B6" s="42" t="s">
        <v>1</v>
      </c>
      <c r="C6" s="40"/>
      <c r="D6" s="43" t="s">
        <v>43</v>
      </c>
      <c r="E6" s="43" t="s">
        <v>43</v>
      </c>
      <c r="F6" s="43" t="s">
        <v>43</v>
      </c>
      <c r="G6" s="43" t="s">
        <v>43</v>
      </c>
      <c r="H6" s="43" t="s">
        <v>43</v>
      </c>
    </row>
    <row r="7" spans="1:11" x14ac:dyDescent="0.25">
      <c r="B7" s="42" t="s">
        <v>2</v>
      </c>
      <c r="C7" s="40"/>
      <c r="D7" s="44" t="s">
        <v>43</v>
      </c>
      <c r="E7" s="44" t="s">
        <v>43</v>
      </c>
      <c r="F7" s="44" t="s">
        <v>43</v>
      </c>
      <c r="G7" s="44" t="s">
        <v>43</v>
      </c>
      <c r="H7" s="44" t="s">
        <v>43</v>
      </c>
    </row>
    <row r="8" spans="1:11" x14ac:dyDescent="0.25">
      <c r="B8" s="42" t="s">
        <v>0</v>
      </c>
      <c r="C8" s="40"/>
      <c r="D8" s="45" t="e">
        <f>D6*D7</f>
        <v>#VALUE!</v>
      </c>
      <c r="E8" s="45" t="e">
        <f>E6*E7</f>
        <v>#VALUE!</v>
      </c>
      <c r="F8" s="45" t="e">
        <f>F6*F7</f>
        <v>#VALUE!</v>
      </c>
      <c r="G8" s="45" t="e">
        <f>G6*G7</f>
        <v>#VALUE!</v>
      </c>
      <c r="H8" s="45" t="e">
        <f>H6*H7</f>
        <v>#VALUE!</v>
      </c>
    </row>
    <row r="9" spans="1:11" x14ac:dyDescent="0.25">
      <c r="B9" s="41" t="s">
        <v>3</v>
      </c>
      <c r="C9" s="40"/>
      <c r="D9" s="40"/>
      <c r="E9" s="40"/>
      <c r="F9" s="40"/>
      <c r="G9" s="40"/>
      <c r="H9" s="40"/>
      <c r="J9" s="38" t="s">
        <v>23</v>
      </c>
      <c r="K9" s="45" t="s">
        <v>43</v>
      </c>
    </row>
    <row r="10" spans="1:11" ht="30" x14ac:dyDescent="0.25">
      <c r="B10" s="42" t="s">
        <v>4</v>
      </c>
      <c r="C10" s="40"/>
      <c r="D10" s="44" t="s">
        <v>43</v>
      </c>
      <c r="E10" s="44" t="s">
        <v>43</v>
      </c>
      <c r="F10" s="44" t="s">
        <v>43</v>
      </c>
      <c r="G10" s="44" t="s">
        <v>43</v>
      </c>
      <c r="H10" s="44" t="s">
        <v>43</v>
      </c>
      <c r="J10" s="38" t="s">
        <v>24</v>
      </c>
      <c r="K10" s="40" t="s">
        <v>43</v>
      </c>
    </row>
    <row r="11" spans="1:11" ht="30" x14ac:dyDescent="0.25">
      <c r="B11" s="42" t="s">
        <v>5</v>
      </c>
      <c r="C11" s="45" t="s">
        <v>43</v>
      </c>
      <c r="D11" s="45" t="s">
        <v>43</v>
      </c>
      <c r="E11" s="45" t="s">
        <v>43</v>
      </c>
      <c r="F11" s="45" t="s">
        <v>43</v>
      </c>
      <c r="G11" s="45" t="s">
        <v>43</v>
      </c>
      <c r="H11" s="45" t="s">
        <v>43</v>
      </c>
      <c r="J11" s="38" t="s">
        <v>38</v>
      </c>
      <c r="K11" s="51" t="s">
        <v>43</v>
      </c>
    </row>
    <row r="12" spans="1:11" x14ac:dyDescent="0.25">
      <c r="A12" s="50" t="e">
        <f>K12</f>
        <v>#VALUE!</v>
      </c>
      <c r="B12" s="42" t="s">
        <v>35</v>
      </c>
      <c r="C12" s="45"/>
      <c r="D12" s="45" t="e">
        <f>A12</f>
        <v>#VALUE!</v>
      </c>
      <c r="E12" s="45" t="e">
        <f>D12</f>
        <v>#VALUE!</v>
      </c>
      <c r="F12" s="45" t="e">
        <f t="shared" ref="F12:H12" si="0">E12</f>
        <v>#VALUE!</v>
      </c>
      <c r="G12" s="45" t="e">
        <f t="shared" si="0"/>
        <v>#VALUE!</v>
      </c>
      <c r="H12" s="45" t="e">
        <f t="shared" si="0"/>
        <v>#VALUE!</v>
      </c>
      <c r="J12" s="38" t="s">
        <v>35</v>
      </c>
      <c r="K12" s="45" t="e">
        <f>PMT(K11,K10,K9)</f>
        <v>#VALUE!</v>
      </c>
    </row>
    <row r="13" spans="1:11" x14ac:dyDescent="0.25">
      <c r="B13" s="42" t="s">
        <v>8</v>
      </c>
      <c r="C13" s="40"/>
      <c r="D13" s="45" t="s">
        <v>43</v>
      </c>
      <c r="E13" s="45" t="s">
        <v>43</v>
      </c>
      <c r="F13" s="45" t="s">
        <v>43</v>
      </c>
      <c r="G13" s="45" t="s">
        <v>43</v>
      </c>
      <c r="H13" s="45" t="s">
        <v>43</v>
      </c>
    </row>
    <row r="14" spans="1:11" x14ac:dyDescent="0.25">
      <c r="B14" s="42" t="s">
        <v>3</v>
      </c>
      <c r="C14" s="40"/>
      <c r="D14" s="45" t="e">
        <f>SUM(D10:D13)</f>
        <v>#VALUE!</v>
      </c>
      <c r="E14" s="45" t="e">
        <f>SUM(E10:E13)</f>
        <v>#VALUE!</v>
      </c>
      <c r="F14" s="45" t="e">
        <f>SUM(F10:F13)</f>
        <v>#VALUE!</v>
      </c>
      <c r="G14" s="45" t="e">
        <f>SUM(G10:G13)</f>
        <v>#VALUE!</v>
      </c>
      <c r="H14" s="45" t="e">
        <f>SUM(H10:H13)</f>
        <v>#VALUE!</v>
      </c>
    </row>
    <row r="15" spans="1:11" x14ac:dyDescent="0.25">
      <c r="B15" s="42" t="s">
        <v>9</v>
      </c>
      <c r="C15" s="40"/>
      <c r="D15" s="45" t="e">
        <f>D8+D14</f>
        <v>#VALUE!</v>
      </c>
      <c r="E15" s="45" t="e">
        <f>E8+E14</f>
        <v>#VALUE!</v>
      </c>
      <c r="F15" s="45" t="e">
        <f>F8+F14</f>
        <v>#VALUE!</v>
      </c>
      <c r="G15" s="45" t="e">
        <f>G8+G14</f>
        <v>#VALUE!</v>
      </c>
      <c r="H15" s="45" t="e">
        <f>H8+H14</f>
        <v>#VALUE!</v>
      </c>
    </row>
    <row r="16" spans="1:11" x14ac:dyDescent="0.25">
      <c r="B16" s="42" t="s">
        <v>10</v>
      </c>
      <c r="C16" s="51" t="s">
        <v>43</v>
      </c>
      <c r="D16" s="69" t="e">
        <f>D15*C16</f>
        <v>#VALUE!</v>
      </c>
      <c r="E16" s="44" t="e">
        <f>IF(D16&lt;0,E15*C16,E15*C16+D16)</f>
        <v>#VALUE!</v>
      </c>
      <c r="F16" s="44" t="e">
        <f>IF(E16&lt;0,F15*C16,F15*C16+E16)</f>
        <v>#VALUE!</v>
      </c>
      <c r="G16" s="44" t="e">
        <f>IF(F16&lt;0,G15*C16,G15*C16+F16)</f>
        <v>#VALUE!</v>
      </c>
      <c r="H16" s="44" t="e">
        <f>IF(G16&lt;0,H15*C16,H15*C16+G16)</f>
        <v>#VALUE!</v>
      </c>
    </row>
    <row r="17" spans="1:11" x14ac:dyDescent="0.25">
      <c r="B17" s="41" t="s">
        <v>11</v>
      </c>
      <c r="C17" s="40"/>
      <c r="D17" s="44" t="e">
        <f>IF(D16&gt;0,D15,D15+D16)</f>
        <v>#VALUE!</v>
      </c>
      <c r="E17" s="44" t="e">
        <f>IF(E16&gt;0,E15,E15+E16)</f>
        <v>#VALUE!</v>
      </c>
      <c r="F17" s="44" t="e">
        <f>IF(F16&gt;0,F15,F15+F16)</f>
        <v>#VALUE!</v>
      </c>
      <c r="G17" s="44" t="e">
        <f>IF(G16&gt;0,G15,G15+G16)</f>
        <v>#VALUE!</v>
      </c>
      <c r="H17" s="44" t="e">
        <f>IF(H16&gt;0,H15,H15+H16)</f>
        <v>#VALUE!</v>
      </c>
    </row>
    <row r="18" spans="1:11" x14ac:dyDescent="0.25">
      <c r="B18" s="41" t="s">
        <v>13</v>
      </c>
      <c r="C18" s="40"/>
      <c r="D18" s="40"/>
      <c r="E18" s="40"/>
      <c r="F18" s="40"/>
      <c r="G18" s="40"/>
      <c r="H18" s="40"/>
    </row>
    <row r="19" spans="1:11" x14ac:dyDescent="0.25">
      <c r="A19" s="28" t="s">
        <v>43</v>
      </c>
      <c r="B19" s="42" t="s">
        <v>18</v>
      </c>
      <c r="C19" s="45" t="e">
        <f>A19*D11</f>
        <v>#VALUE!</v>
      </c>
      <c r="D19" s="40"/>
      <c r="E19" s="40"/>
      <c r="F19" s="40"/>
      <c r="G19" s="40"/>
      <c r="H19" s="45" t="e">
        <f>I19*C19</f>
        <v>#VALUE!</v>
      </c>
      <c r="I19" s="28" t="s">
        <v>43</v>
      </c>
    </row>
    <row r="20" spans="1:11" x14ac:dyDescent="0.25">
      <c r="B20" s="42" t="s">
        <v>19</v>
      </c>
      <c r="C20" s="44" t="e">
        <f>SUM(C17:C19)</f>
        <v>#VALUE!</v>
      </c>
      <c r="D20" s="44" t="e">
        <f>SUM(D17:D19)</f>
        <v>#VALUE!</v>
      </c>
      <c r="E20" s="44" t="e">
        <f>SUM(E17:E19)</f>
        <v>#VALUE!</v>
      </c>
      <c r="F20" s="44" t="e">
        <f>SUM(F17:F19)</f>
        <v>#VALUE!</v>
      </c>
      <c r="G20" s="44" t="e">
        <f>SUM(G17:G19)</f>
        <v>#VALUE!</v>
      </c>
      <c r="H20" s="44" t="e">
        <f>SUM(H17:H19)</f>
        <v>#VALUE!</v>
      </c>
    </row>
    <row r="21" spans="1:11" x14ac:dyDescent="0.25">
      <c r="B21" s="42" t="s">
        <v>20</v>
      </c>
      <c r="C21" s="52" t="e">
        <f>K21+K22*K23</f>
        <v>#VALUE!</v>
      </c>
      <c r="D21" s="40"/>
      <c r="E21" s="40"/>
      <c r="F21" s="40"/>
      <c r="G21" s="40"/>
      <c r="H21" s="40"/>
      <c r="J21" s="31" t="s">
        <v>31</v>
      </c>
      <c r="K21" s="53" t="s">
        <v>43</v>
      </c>
    </row>
    <row r="22" spans="1:11" x14ac:dyDescent="0.25">
      <c r="B22" s="41" t="s">
        <v>21</v>
      </c>
      <c r="C22" s="45" t="e">
        <f>NPV(C21,D20:H20)+C20</f>
        <v>#VALUE!</v>
      </c>
      <c r="D22" s="40"/>
      <c r="E22" s="40"/>
      <c r="F22" s="40"/>
      <c r="G22" s="40"/>
      <c r="H22" s="40"/>
      <c r="J22" s="31" t="s">
        <v>32</v>
      </c>
      <c r="K22" s="40" t="s">
        <v>43</v>
      </c>
    </row>
    <row r="23" spans="1:11" x14ac:dyDescent="0.25">
      <c r="B23" s="41" t="s">
        <v>22</v>
      </c>
      <c r="C23" s="53" t="e">
        <f>IRR(C20:H20)</f>
        <v>#VALUE!</v>
      </c>
      <c r="D23" s="40"/>
      <c r="E23" s="40"/>
      <c r="F23" s="40"/>
      <c r="G23" s="40"/>
      <c r="H23" s="40"/>
      <c r="J23" s="31" t="s">
        <v>33</v>
      </c>
      <c r="K23" s="5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BCF-D22D-4A09-866D-6D58253CA436}">
  <dimension ref="A2:Q98"/>
  <sheetViews>
    <sheetView topLeftCell="A24" workbookViewId="0">
      <selection activeCell="H35" sqref="H35"/>
    </sheetView>
  </sheetViews>
  <sheetFormatPr baseColWidth="10" defaultRowHeight="15" x14ac:dyDescent="0.25"/>
  <cols>
    <col min="1" max="1" width="11.7109375" bestFit="1" customWidth="1"/>
    <col min="2" max="2" width="33.85546875" bestFit="1" customWidth="1"/>
    <col min="3" max="3" width="11.7109375" bestFit="1" customWidth="1"/>
    <col min="4" max="8" width="12.7109375" bestFit="1" customWidth="1"/>
    <col min="10" max="10" width="9.85546875" customWidth="1"/>
    <col min="11" max="11" width="16.5703125" customWidth="1"/>
    <col min="12" max="12" width="11" bestFit="1" customWidth="1"/>
    <col min="13" max="13" width="14.5703125" bestFit="1" customWidth="1"/>
    <col min="14" max="14" width="11" bestFit="1" customWidth="1"/>
    <col min="15" max="15" width="15.28515625" bestFit="1" customWidth="1"/>
    <col min="16" max="16" width="14.5703125" bestFit="1" customWidth="1"/>
    <col min="17" max="17" width="15.28515625" bestFit="1" customWidth="1"/>
  </cols>
  <sheetData>
    <row r="2" spans="1:14" s="5" customFormat="1" ht="18.75" x14ac:dyDescent="0.3">
      <c r="B2" s="6" t="s">
        <v>42</v>
      </c>
    </row>
    <row r="3" spans="1:14" x14ac:dyDescent="0.25">
      <c r="J3" s="4"/>
    </row>
    <row r="4" spans="1:14" x14ac:dyDescent="0.25">
      <c r="A4" s="3"/>
      <c r="B4" s="16"/>
      <c r="C4" s="16"/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3"/>
      <c r="J4" s="12" t="s">
        <v>23</v>
      </c>
      <c r="K4" s="12"/>
      <c r="L4" s="15">
        <f>C25</f>
        <v>4500000</v>
      </c>
      <c r="M4" s="3"/>
      <c r="N4" s="3"/>
    </row>
    <row r="5" spans="1:14" x14ac:dyDescent="0.25">
      <c r="A5" s="3"/>
      <c r="B5" s="23" t="s">
        <v>0</v>
      </c>
      <c r="C5" s="16"/>
      <c r="D5" s="16"/>
      <c r="E5" s="16"/>
      <c r="F5" s="16"/>
      <c r="G5" s="16"/>
      <c r="H5" s="16"/>
      <c r="I5" s="3"/>
      <c r="J5" s="13" t="s">
        <v>25</v>
      </c>
      <c r="K5" s="13"/>
      <c r="L5" s="14">
        <v>0.18</v>
      </c>
      <c r="M5" s="3"/>
      <c r="N5" s="3"/>
    </row>
    <row r="6" spans="1:14" x14ac:dyDescent="0.25">
      <c r="A6" s="3"/>
      <c r="B6" s="24" t="s">
        <v>1</v>
      </c>
      <c r="C6" s="16"/>
      <c r="D6" s="25">
        <v>1500</v>
      </c>
      <c r="E6" s="25">
        <f>D6*1.08</f>
        <v>1620</v>
      </c>
      <c r="F6" s="25">
        <f>E6*1.08</f>
        <v>1749.6000000000001</v>
      </c>
      <c r="G6" s="25">
        <f>F6*1.12</f>
        <v>1959.5520000000004</v>
      </c>
      <c r="H6" s="25">
        <f>G6*1.12</f>
        <v>2194.6982400000006</v>
      </c>
      <c r="I6" s="3"/>
      <c r="J6" s="13"/>
      <c r="K6" s="13"/>
      <c r="L6" s="12"/>
      <c r="M6" s="3"/>
      <c r="N6" s="3"/>
    </row>
    <row r="7" spans="1:14" x14ac:dyDescent="0.25">
      <c r="A7" s="3"/>
      <c r="B7" s="24" t="s">
        <v>2</v>
      </c>
      <c r="C7" s="16"/>
      <c r="D7" s="33">
        <v>8000</v>
      </c>
      <c r="E7" s="33">
        <f>D7*1.025</f>
        <v>8200</v>
      </c>
      <c r="F7" s="33">
        <f t="shared" ref="F7:H7" si="0">E7*1.025</f>
        <v>8405</v>
      </c>
      <c r="G7" s="33">
        <f t="shared" si="0"/>
        <v>8615.125</v>
      </c>
      <c r="H7" s="33">
        <f t="shared" si="0"/>
        <v>8830.5031249999993</v>
      </c>
      <c r="I7" s="3"/>
      <c r="J7" s="13"/>
      <c r="K7" s="13"/>
      <c r="L7" s="12"/>
      <c r="M7" s="3"/>
      <c r="N7" s="3"/>
    </row>
    <row r="8" spans="1:14" x14ac:dyDescent="0.25">
      <c r="A8" s="3"/>
      <c r="B8" s="24" t="s">
        <v>0</v>
      </c>
      <c r="C8" s="16"/>
      <c r="D8" s="15">
        <f>D6*D7</f>
        <v>12000000</v>
      </c>
      <c r="E8" s="15">
        <f>E6*E7</f>
        <v>13284000</v>
      </c>
      <c r="F8" s="15">
        <f>F6*F7</f>
        <v>14705388.000000002</v>
      </c>
      <c r="G8" s="15">
        <f>G6*G7</f>
        <v>16881785.424000002</v>
      </c>
      <c r="H8" s="15">
        <f>H6*H7</f>
        <v>19380289.666752003</v>
      </c>
      <c r="I8" s="3"/>
      <c r="J8" s="12" t="s">
        <v>24</v>
      </c>
      <c r="K8" s="12"/>
      <c r="L8" s="16">
        <v>5</v>
      </c>
      <c r="M8" s="3"/>
      <c r="N8" s="3"/>
    </row>
    <row r="9" spans="1:14" x14ac:dyDescent="0.25">
      <c r="A9" s="3"/>
      <c r="B9" s="23" t="s">
        <v>3</v>
      </c>
      <c r="C9" s="16"/>
      <c r="D9" s="16"/>
      <c r="E9" s="16"/>
      <c r="F9" s="16"/>
      <c r="G9" s="16"/>
      <c r="H9" s="16"/>
      <c r="I9" s="3"/>
      <c r="J9" s="12" t="s">
        <v>27</v>
      </c>
      <c r="K9" s="12"/>
      <c r="L9" s="17">
        <f>POWER(1+L5/4,4)-1</f>
        <v>0.19251860062499948</v>
      </c>
      <c r="M9" s="3"/>
      <c r="N9" s="3"/>
    </row>
    <row r="10" spans="1:14" x14ac:dyDescent="0.25">
      <c r="A10" s="3"/>
      <c r="B10" s="24" t="s">
        <v>4</v>
      </c>
      <c r="C10" s="16"/>
      <c r="D10" s="33">
        <v>-9000000</v>
      </c>
      <c r="E10" s="33">
        <f>D10*1.05</f>
        <v>-9450000</v>
      </c>
      <c r="F10" s="33">
        <f t="shared" ref="F10:H10" si="1">E10*1.05</f>
        <v>-9922500</v>
      </c>
      <c r="G10" s="33">
        <f t="shared" si="1"/>
        <v>-10418625</v>
      </c>
      <c r="H10" s="33">
        <f t="shared" si="1"/>
        <v>-10939556.25</v>
      </c>
      <c r="I10" s="3"/>
      <c r="J10" s="12" t="s">
        <v>26</v>
      </c>
      <c r="K10" s="12"/>
      <c r="L10" s="15">
        <f>-PMT(L9,L8,L4)</f>
        <v>1480008.7726711251</v>
      </c>
      <c r="M10" s="3"/>
      <c r="N10" s="3"/>
    </row>
    <row r="11" spans="1:14" x14ac:dyDescent="0.25">
      <c r="A11" s="3"/>
      <c r="B11" s="24" t="s">
        <v>5</v>
      </c>
      <c r="C11" s="15">
        <v>-1000</v>
      </c>
      <c r="D11" s="33">
        <f>$C$11*D6*POWER(1.025,D4-1)</f>
        <v>-1500000</v>
      </c>
      <c r="E11" s="33">
        <f>$C$11*E6*POWER(1.025,E4-1)</f>
        <v>-1660499.9999999998</v>
      </c>
      <c r="F11" s="33">
        <f t="shared" ref="E11:H11" si="2">$C$11*F6*POWER(1.025,F4-1)</f>
        <v>-1838173.5</v>
      </c>
      <c r="G11" s="33">
        <f t="shared" si="2"/>
        <v>-2110223.1780000003</v>
      </c>
      <c r="H11" s="33">
        <f t="shared" si="2"/>
        <v>-2422536.2083440004</v>
      </c>
      <c r="I11" s="3"/>
      <c r="J11" s="11" t="s">
        <v>30</v>
      </c>
      <c r="K11" s="11"/>
      <c r="L11" s="11"/>
      <c r="M11" s="11"/>
      <c r="N11" s="18" t="s">
        <v>28</v>
      </c>
    </row>
    <row r="12" spans="1:14" x14ac:dyDescent="0.25">
      <c r="A12" s="26">
        <f>(C23+C24)/12</f>
        <v>-291666.66666666669</v>
      </c>
      <c r="B12" s="24" t="s">
        <v>6</v>
      </c>
      <c r="C12" s="15"/>
      <c r="D12" s="15">
        <f>A12</f>
        <v>-291666.66666666669</v>
      </c>
      <c r="E12" s="15">
        <f>D12</f>
        <v>-291666.66666666669</v>
      </c>
      <c r="F12" s="15">
        <f>E12</f>
        <v>-291666.66666666669</v>
      </c>
      <c r="G12" s="15">
        <f>F12</f>
        <v>-291666.66666666669</v>
      </c>
      <c r="H12" s="15">
        <f>G12</f>
        <v>-291666.66666666669</v>
      </c>
      <c r="I12" s="3"/>
      <c r="J12" s="18" t="s">
        <v>29</v>
      </c>
      <c r="K12" s="18" t="s">
        <v>7</v>
      </c>
      <c r="L12" s="18" t="s">
        <v>26</v>
      </c>
      <c r="M12" s="18" t="s">
        <v>12</v>
      </c>
      <c r="N12" s="19">
        <f>L4</f>
        <v>4500000</v>
      </c>
    </row>
    <row r="13" spans="1:14" x14ac:dyDescent="0.25">
      <c r="A13" s="3"/>
      <c r="B13" s="24" t="s">
        <v>7</v>
      </c>
      <c r="C13" s="16"/>
      <c r="D13" s="33" cm="1">
        <f t="array" ref="D13:H13">-TRANSPOSE(K13:K17)</f>
        <v>-866333.70281249762</v>
      </c>
      <c r="E13" s="33">
        <v>-748189.83712486597</v>
      </c>
      <c r="F13" s="33">
        <v>-607301.07974262338</v>
      </c>
      <c r="G13" s="33">
        <v>-439288.61594535643</v>
      </c>
      <c r="H13" s="33">
        <v>-238930.6277302813</v>
      </c>
      <c r="I13" s="3"/>
      <c r="J13" s="18">
        <v>1</v>
      </c>
      <c r="K13" s="19">
        <f>N12*L9</f>
        <v>866333.70281249762</v>
      </c>
      <c r="L13" s="19">
        <f>L10</f>
        <v>1480008.7726711251</v>
      </c>
      <c r="M13" s="19">
        <f>L13-K13</f>
        <v>613675.06985862751</v>
      </c>
      <c r="N13" s="19">
        <f>N12-M13</f>
        <v>3886324.9301413726</v>
      </c>
    </row>
    <row r="14" spans="1:14" x14ac:dyDescent="0.25">
      <c r="A14" s="3"/>
      <c r="B14" s="24" t="s">
        <v>8</v>
      </c>
      <c r="C14" s="16"/>
      <c r="D14" s="33">
        <v>-300000</v>
      </c>
      <c r="E14" s="33">
        <f>D14*1.025</f>
        <v>-307500</v>
      </c>
      <c r="F14" s="33">
        <f t="shared" ref="F14:H14" si="3">E14*1.025</f>
        <v>-315187.5</v>
      </c>
      <c r="G14" s="33">
        <f t="shared" si="3"/>
        <v>-323067.1875</v>
      </c>
      <c r="H14" s="33">
        <f t="shared" si="3"/>
        <v>-331143.8671875</v>
      </c>
      <c r="I14" s="3"/>
      <c r="J14" s="18">
        <v>2</v>
      </c>
      <c r="K14" s="19">
        <f>N13*L9</f>
        <v>748189.83712486597</v>
      </c>
      <c r="L14" s="19">
        <f>L10</f>
        <v>1480008.7726711251</v>
      </c>
      <c r="M14" s="19">
        <f>L14-K14</f>
        <v>731818.93554625916</v>
      </c>
      <c r="N14" s="19">
        <f>N13-M14</f>
        <v>3154505.9945951132</v>
      </c>
    </row>
    <row r="15" spans="1:14" x14ac:dyDescent="0.25">
      <c r="A15" s="3"/>
      <c r="B15" s="24" t="s">
        <v>3</v>
      </c>
      <c r="C15" s="16"/>
      <c r="D15" s="15">
        <f>SUM(D10:D14)</f>
        <v>-11958000.369479164</v>
      </c>
      <c r="E15" s="15">
        <f>SUM(E10:E14)</f>
        <v>-12457856.503791532</v>
      </c>
      <c r="F15" s="15">
        <f>SUM(F10:F14)</f>
        <v>-12974828.74640929</v>
      </c>
      <c r="G15" s="15">
        <f>SUM(G10:G14)</f>
        <v>-13582870.648112021</v>
      </c>
      <c r="H15" s="15">
        <f>SUM(H10:H14)</f>
        <v>-14223833.619928449</v>
      </c>
      <c r="I15" s="3"/>
      <c r="J15" s="18">
        <v>3</v>
      </c>
      <c r="K15" s="19">
        <f>N14*L9</f>
        <v>607301.07974262338</v>
      </c>
      <c r="L15" s="19">
        <f>L10</f>
        <v>1480008.7726711251</v>
      </c>
      <c r="M15" s="19">
        <f>L15-K15</f>
        <v>872707.69292850175</v>
      </c>
      <c r="N15" s="19">
        <f>N14-M15</f>
        <v>2281798.3016666113</v>
      </c>
    </row>
    <row r="16" spans="1:14" x14ac:dyDescent="0.25">
      <c r="A16" s="3"/>
      <c r="B16" s="24" t="s">
        <v>9</v>
      </c>
      <c r="C16" s="16"/>
      <c r="D16" s="15">
        <f>D8+D15</f>
        <v>41999.630520835519</v>
      </c>
      <c r="E16" s="15">
        <f>E8+E15</f>
        <v>826143.49620846845</v>
      </c>
      <c r="F16" s="15">
        <f>F8+F15</f>
        <v>1730559.2535907123</v>
      </c>
      <c r="G16" s="15">
        <f>G8+G15</f>
        <v>3298914.7758879811</v>
      </c>
      <c r="H16" s="15">
        <f>H8+H15</f>
        <v>5156456.0468235537</v>
      </c>
      <c r="I16" s="3"/>
      <c r="J16" s="20">
        <v>4</v>
      </c>
      <c r="K16" s="19">
        <f>N15*L9</f>
        <v>439288.61594535643</v>
      </c>
      <c r="L16" s="19">
        <f>L10</f>
        <v>1480008.7726711251</v>
      </c>
      <c r="M16" s="21">
        <f>L16-K16</f>
        <v>1040720.1567257687</v>
      </c>
      <c r="N16" s="21">
        <f>N15-M16</f>
        <v>1241078.1449408426</v>
      </c>
    </row>
    <row r="17" spans="1:14" x14ac:dyDescent="0.25">
      <c r="A17" s="3"/>
      <c r="B17" s="24" t="s">
        <v>10</v>
      </c>
      <c r="C17" s="27">
        <v>-0.25</v>
      </c>
      <c r="D17" s="33">
        <f>D16*C17</f>
        <v>-10499.90763020888</v>
      </c>
      <c r="E17" s="33">
        <f>IF(D17&lt;0,E16*C17,E16*C17+D17)</f>
        <v>-206535.87405211711</v>
      </c>
      <c r="F17" s="33">
        <f>IF(E17&lt;0,F16*C17,F16*C17+E17)</f>
        <v>-432639.81339767808</v>
      </c>
      <c r="G17" s="33">
        <f>IF(F17&lt;0,G16*C17,G16*C17+F17)</f>
        <v>-824728.69397199526</v>
      </c>
      <c r="H17" s="33">
        <f>IF(G17&lt;0,H16*C17,H16*C17+G17)</f>
        <v>-1289114.0117058884</v>
      </c>
      <c r="I17" s="3"/>
      <c r="J17" s="22">
        <v>5</v>
      </c>
      <c r="K17" s="19">
        <f>N16*L9</f>
        <v>238930.6277302813</v>
      </c>
      <c r="L17" s="19">
        <f>L10</f>
        <v>1480008.7726711251</v>
      </c>
      <c r="M17" s="21">
        <f>L17-K17</f>
        <v>1241078.1449408438</v>
      </c>
      <c r="N17" s="21">
        <f>N16-M17</f>
        <v>0</v>
      </c>
    </row>
    <row r="18" spans="1:14" x14ac:dyDescent="0.25">
      <c r="A18" s="3"/>
      <c r="B18" s="23" t="s">
        <v>11</v>
      </c>
      <c r="C18" s="16"/>
      <c r="D18" s="33">
        <f>IF(D17&gt;0,D16,D16+D17)</f>
        <v>31499.722890626639</v>
      </c>
      <c r="E18" s="33">
        <f>IF(E17&gt;0,E16,E16+E17)</f>
        <v>619607.62215635134</v>
      </c>
      <c r="F18" s="33">
        <f>IF(F17&gt;0,F16,F16+F17)</f>
        <v>1297919.4401930342</v>
      </c>
      <c r="G18" s="33">
        <f>IF(G17&gt;0,G16,G16+G17)</f>
        <v>2474186.0819159858</v>
      </c>
      <c r="H18" s="33">
        <f>IF(H17&gt;0,H16,H16+H17)</f>
        <v>3867342.0351176653</v>
      </c>
      <c r="I18" s="3"/>
      <c r="J18" s="28"/>
      <c r="K18" s="3"/>
      <c r="L18" s="3"/>
      <c r="M18" s="3"/>
      <c r="N18" s="3"/>
    </row>
    <row r="19" spans="1:14" x14ac:dyDescent="0.25">
      <c r="A19" s="3"/>
      <c r="B19" s="24" t="s">
        <v>6</v>
      </c>
      <c r="C19" s="16"/>
      <c r="D19" s="15">
        <f>-D12</f>
        <v>291666.66666666669</v>
      </c>
      <c r="E19" s="15">
        <f>-E12</f>
        <v>291666.66666666669</v>
      </c>
      <c r="F19" s="15">
        <f>-F12</f>
        <v>291666.66666666669</v>
      </c>
      <c r="G19" s="15">
        <f>-G12</f>
        <v>291666.66666666669</v>
      </c>
      <c r="H19" s="15">
        <f>-H12</f>
        <v>291666.66666666669</v>
      </c>
      <c r="I19" s="3"/>
      <c r="J19" s="28"/>
      <c r="K19" s="3"/>
      <c r="L19" s="3"/>
      <c r="M19" s="3"/>
      <c r="N19" s="3"/>
    </row>
    <row r="20" spans="1:14" x14ac:dyDescent="0.25">
      <c r="A20" s="3"/>
      <c r="B20" s="24" t="s">
        <v>12</v>
      </c>
      <c r="C20" s="16"/>
      <c r="D20" s="33" cm="1">
        <f t="array" ref="D20:H20">-TRANSPOSE(M13:M17)</f>
        <v>-613675.06985862751</v>
      </c>
      <c r="E20" s="33">
        <v>-731818.93554625916</v>
      </c>
      <c r="F20" s="33">
        <v>-872707.69292850175</v>
      </c>
      <c r="G20" s="33">
        <v>-1040720.1567257687</v>
      </c>
      <c r="H20" s="33">
        <v>-1241078.1449408438</v>
      </c>
      <c r="I20" s="3"/>
      <c r="J20" s="28"/>
      <c r="K20" s="3"/>
      <c r="L20" s="3"/>
      <c r="M20" s="3"/>
      <c r="N20" s="3"/>
    </row>
    <row r="21" spans="1:14" x14ac:dyDescent="0.25">
      <c r="A21" s="3"/>
      <c r="B21" s="23" t="s">
        <v>13</v>
      </c>
      <c r="C21" s="16"/>
      <c r="D21" s="16"/>
      <c r="E21" s="16"/>
      <c r="F21" s="16"/>
      <c r="G21" s="16"/>
      <c r="H21" s="16"/>
      <c r="I21" s="3"/>
      <c r="J21" s="28"/>
      <c r="K21" s="3"/>
      <c r="L21" s="3"/>
      <c r="M21" s="3"/>
      <c r="N21" s="3"/>
    </row>
    <row r="22" spans="1:14" x14ac:dyDescent="0.25">
      <c r="A22" s="3"/>
      <c r="B22" s="24" t="s">
        <v>14</v>
      </c>
      <c r="C22" s="33">
        <v>-1000000</v>
      </c>
      <c r="D22" s="16"/>
      <c r="E22" s="16"/>
      <c r="F22" s="16"/>
      <c r="G22" s="16"/>
      <c r="H22" s="33">
        <f>C22*I22</f>
        <v>700000</v>
      </c>
      <c r="I22" s="34">
        <v>-0.7</v>
      </c>
      <c r="J22" s="28"/>
      <c r="K22" s="3"/>
      <c r="L22" s="3"/>
      <c r="M22" s="3"/>
      <c r="N22" s="3"/>
    </row>
    <row r="23" spans="1:14" x14ac:dyDescent="0.25">
      <c r="A23" s="3"/>
      <c r="B23" s="24" t="s">
        <v>15</v>
      </c>
      <c r="C23" s="33">
        <v>-1500000</v>
      </c>
      <c r="D23" s="16"/>
      <c r="E23" s="16"/>
      <c r="F23" s="16"/>
      <c r="G23" s="16"/>
      <c r="H23" s="33">
        <f>C23*I23</f>
        <v>1050000</v>
      </c>
      <c r="I23" s="34">
        <v>-0.7</v>
      </c>
      <c r="J23" s="28"/>
      <c r="K23" s="3"/>
      <c r="L23" s="3"/>
      <c r="M23" s="3"/>
      <c r="N23" s="3"/>
    </row>
    <row r="24" spans="1:14" x14ac:dyDescent="0.25">
      <c r="A24" s="3"/>
      <c r="B24" s="24" t="s">
        <v>16</v>
      </c>
      <c r="C24" s="33">
        <v>-2000000</v>
      </c>
      <c r="D24" s="16"/>
      <c r="E24" s="16"/>
      <c r="F24" s="16"/>
      <c r="G24" s="16"/>
      <c r="H24" s="33">
        <f t="shared" ref="H24" si="4">C24*I24</f>
        <v>1400000</v>
      </c>
      <c r="I24" s="34">
        <v>-0.7</v>
      </c>
      <c r="J24" s="28"/>
      <c r="K24" s="3"/>
      <c r="L24" s="3"/>
      <c r="M24" s="3"/>
      <c r="N24" s="3"/>
    </row>
    <row r="25" spans="1:14" x14ac:dyDescent="0.25">
      <c r="A25" s="3"/>
      <c r="B25" s="24" t="s">
        <v>17</v>
      </c>
      <c r="C25" s="15">
        <f>-(SUM(C22:C24))</f>
        <v>4500000</v>
      </c>
      <c r="D25" s="16"/>
      <c r="E25" s="16"/>
      <c r="F25" s="16"/>
      <c r="G25" s="16"/>
      <c r="H25" s="16"/>
      <c r="I25" s="3"/>
      <c r="J25" s="28"/>
      <c r="K25" s="3"/>
      <c r="L25" s="3"/>
      <c r="M25" s="3"/>
      <c r="N25" s="3"/>
    </row>
    <row r="26" spans="1:14" x14ac:dyDescent="0.25">
      <c r="A26" s="34">
        <v>1.5</v>
      </c>
      <c r="B26" s="24" t="s">
        <v>18</v>
      </c>
      <c r="C26" s="15">
        <f>A26*D11</f>
        <v>-2250000</v>
      </c>
      <c r="D26" s="16"/>
      <c r="E26" s="16"/>
      <c r="F26" s="16"/>
      <c r="G26" s="16"/>
      <c r="H26" s="15">
        <f>I26*C26</f>
        <v>1912500</v>
      </c>
      <c r="I26" s="34">
        <v>-0.85</v>
      </c>
      <c r="J26" s="3"/>
      <c r="K26" s="3"/>
      <c r="L26" s="3"/>
      <c r="M26" s="3"/>
      <c r="N26" s="3"/>
    </row>
    <row r="27" spans="1:14" x14ac:dyDescent="0.25">
      <c r="A27" s="3"/>
      <c r="B27" s="24" t="s">
        <v>19</v>
      </c>
      <c r="C27" s="33">
        <f>SUM(C18:C26)</f>
        <v>-2250000</v>
      </c>
      <c r="D27" s="33">
        <f>SUM(D18:D26)</f>
        <v>-290508.68030133419</v>
      </c>
      <c r="E27" s="33">
        <f>SUM(E18:E26)</f>
        <v>179455.35327675892</v>
      </c>
      <c r="F27" s="33">
        <f>SUM(F18:F26)</f>
        <v>716878.41393119923</v>
      </c>
      <c r="G27" s="33">
        <f>SUM(G18:G26)</f>
        <v>1725132.5918568836</v>
      </c>
      <c r="H27" s="33">
        <f>SUM(H18:H26)</f>
        <v>7980430.5568434875</v>
      </c>
      <c r="I27" s="3"/>
      <c r="J27" s="3"/>
      <c r="K27" s="3"/>
      <c r="L27" s="3"/>
      <c r="M27" s="3"/>
      <c r="N27" s="3"/>
    </row>
    <row r="28" spans="1:14" x14ac:dyDescent="0.25">
      <c r="A28" s="3"/>
      <c r="B28" s="24" t="s">
        <v>20</v>
      </c>
      <c r="C28" s="29">
        <f>K28+K29*K30</f>
        <v>0.13999999999999999</v>
      </c>
      <c r="D28" s="16"/>
      <c r="E28" s="16"/>
      <c r="F28" s="16"/>
      <c r="G28" s="16"/>
      <c r="H28" s="16"/>
      <c r="I28" s="3"/>
      <c r="J28" s="31" t="s">
        <v>46</v>
      </c>
      <c r="K28" s="30">
        <v>0.02</v>
      </c>
      <c r="L28" s="3"/>
      <c r="M28" s="3"/>
      <c r="N28" s="3"/>
    </row>
    <row r="29" spans="1:14" x14ac:dyDescent="0.25">
      <c r="A29" s="3"/>
      <c r="B29" s="23" t="s">
        <v>21</v>
      </c>
      <c r="C29" s="15">
        <f>NPV(C28,D27:H27)+C27</f>
        <v>3283327.9442483867</v>
      </c>
      <c r="D29" s="16"/>
      <c r="E29" s="16"/>
      <c r="F29" s="16"/>
      <c r="G29" s="16"/>
      <c r="H29" s="16"/>
      <c r="I29" s="3"/>
      <c r="J29" s="31" t="s">
        <v>32</v>
      </c>
      <c r="K29" s="32">
        <v>1.2</v>
      </c>
      <c r="L29" s="3"/>
      <c r="M29" s="3"/>
      <c r="N29" s="3"/>
    </row>
    <row r="30" spans="1:14" x14ac:dyDescent="0.25">
      <c r="A30" s="3"/>
      <c r="B30" s="23" t="s">
        <v>22</v>
      </c>
      <c r="C30" s="30">
        <f>IRR(C27:H27)</f>
        <v>0.37700420293637382</v>
      </c>
      <c r="D30" s="16"/>
      <c r="E30" s="16"/>
      <c r="F30" s="16"/>
      <c r="G30" s="16"/>
      <c r="H30" s="16"/>
      <c r="I30" s="3"/>
      <c r="J30" s="31" t="s">
        <v>47</v>
      </c>
      <c r="K30" s="30">
        <v>0.1</v>
      </c>
      <c r="L30" s="3"/>
      <c r="M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J32" s="4"/>
    </row>
    <row r="33" spans="1:17" x14ac:dyDescent="0.25">
      <c r="J33" s="4"/>
    </row>
    <row r="34" spans="1:17" s="5" customFormat="1" ht="18.75" x14ac:dyDescent="0.25">
      <c r="A34" s="37"/>
      <c r="B34" s="39" t="s">
        <v>34</v>
      </c>
      <c r="C34" s="37"/>
      <c r="D34" s="37"/>
      <c r="E34" s="37"/>
      <c r="F34" s="37"/>
      <c r="G34" s="37"/>
      <c r="H34" s="37"/>
      <c r="I34" s="37"/>
      <c r="J34" s="37"/>
      <c r="K34" s="37"/>
    </row>
    <row r="35" spans="1:17" s="7" customForma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pans="1:17" s="7" customForma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7" s="7" customFormat="1" x14ac:dyDescent="0.25">
      <c r="A37" s="28"/>
      <c r="B37" s="40"/>
      <c r="C37" s="40"/>
      <c r="D37" s="40">
        <v>1</v>
      </c>
      <c r="E37" s="40">
        <v>2</v>
      </c>
      <c r="F37" s="40">
        <v>3</v>
      </c>
      <c r="G37" s="40">
        <v>4</v>
      </c>
      <c r="H37" s="40">
        <v>5</v>
      </c>
      <c r="I37" s="28"/>
      <c r="J37" s="28"/>
      <c r="K37" s="28"/>
    </row>
    <row r="38" spans="1:17" s="7" customFormat="1" x14ac:dyDescent="0.25">
      <c r="A38" s="28"/>
      <c r="B38" s="41" t="s">
        <v>0</v>
      </c>
      <c r="C38" s="40"/>
      <c r="D38" s="40"/>
      <c r="E38" s="40"/>
      <c r="F38" s="40"/>
      <c r="G38" s="40"/>
      <c r="H38" s="40"/>
      <c r="I38" s="28"/>
      <c r="J38" s="28"/>
      <c r="K38" s="28"/>
    </row>
    <row r="39" spans="1:17" s="7" customFormat="1" x14ac:dyDescent="0.25">
      <c r="A39" s="28"/>
      <c r="B39" s="42" t="s">
        <v>1</v>
      </c>
      <c r="C39" s="40"/>
      <c r="D39" s="25">
        <v>1500</v>
      </c>
      <c r="E39" s="25">
        <f>D39*1.08</f>
        <v>1620</v>
      </c>
      <c r="F39" s="25">
        <f>E39*1.08</f>
        <v>1749.6000000000001</v>
      </c>
      <c r="G39" s="25">
        <f>F39*1.12</f>
        <v>1959.5520000000004</v>
      </c>
      <c r="H39" s="25">
        <f>G39*1.12</f>
        <v>2194.6982400000006</v>
      </c>
      <c r="I39" s="28"/>
      <c r="J39" s="28"/>
      <c r="K39" s="28"/>
    </row>
    <row r="40" spans="1:17" s="7" customFormat="1" x14ac:dyDescent="0.25">
      <c r="A40" s="28"/>
      <c r="B40" s="42" t="s">
        <v>2</v>
      </c>
      <c r="C40" s="40"/>
      <c r="D40" s="33">
        <v>8000</v>
      </c>
      <c r="E40" s="33">
        <f>D40*1.025</f>
        <v>8200</v>
      </c>
      <c r="F40" s="33">
        <f t="shared" ref="F40:H40" si="5">E40*1.025</f>
        <v>8405</v>
      </c>
      <c r="G40" s="33">
        <f t="shared" si="5"/>
        <v>8615.125</v>
      </c>
      <c r="H40" s="33">
        <f t="shared" si="5"/>
        <v>8830.5031249999993</v>
      </c>
      <c r="I40" s="28"/>
      <c r="J40" s="28"/>
      <c r="K40" s="28"/>
    </row>
    <row r="41" spans="1:17" s="7" customFormat="1" x14ac:dyDescent="0.25">
      <c r="A41" s="28"/>
      <c r="B41" s="42" t="s">
        <v>0</v>
      </c>
      <c r="C41" s="40"/>
      <c r="D41" s="45">
        <f>D39*D40</f>
        <v>12000000</v>
      </c>
      <c r="E41" s="45">
        <f>E39*E40</f>
        <v>13284000</v>
      </c>
      <c r="F41" s="45">
        <f>F39*F40</f>
        <v>14705388.000000002</v>
      </c>
      <c r="G41" s="45">
        <f>G39*G40</f>
        <v>16881785.424000002</v>
      </c>
      <c r="H41" s="45">
        <f>H39*H40</f>
        <v>19380289.666752003</v>
      </c>
      <c r="I41" s="28"/>
      <c r="J41" s="28"/>
      <c r="K41" s="28"/>
    </row>
    <row r="42" spans="1:17" s="7" customFormat="1" x14ac:dyDescent="0.25">
      <c r="A42" s="28"/>
      <c r="B42" s="41" t="s">
        <v>3</v>
      </c>
      <c r="C42" s="40"/>
      <c r="D42" s="40"/>
      <c r="E42" s="40"/>
      <c r="F42" s="40"/>
      <c r="G42" s="40"/>
      <c r="H42" s="40"/>
      <c r="I42" s="28"/>
      <c r="J42" s="40" t="s">
        <v>23</v>
      </c>
      <c r="K42" s="45">
        <v>4500000</v>
      </c>
    </row>
    <row r="43" spans="1:17" s="7" customFormat="1" x14ac:dyDescent="0.25">
      <c r="A43" s="28"/>
      <c r="B43" s="42" t="s">
        <v>4</v>
      </c>
      <c r="C43" s="40"/>
      <c r="D43" s="33">
        <v>-9000000</v>
      </c>
      <c r="E43" s="33">
        <f>D43*1.05</f>
        <v>-9450000</v>
      </c>
      <c r="F43" s="33">
        <f t="shared" ref="F43:H43" si="6">E43*1.05</f>
        <v>-9922500</v>
      </c>
      <c r="G43" s="33">
        <f t="shared" si="6"/>
        <v>-10418625</v>
      </c>
      <c r="H43" s="33">
        <f t="shared" si="6"/>
        <v>-10939556.25</v>
      </c>
      <c r="I43" s="28"/>
      <c r="J43" s="13" t="s">
        <v>36</v>
      </c>
      <c r="K43" s="55">
        <v>0.2</v>
      </c>
    </row>
    <row r="44" spans="1:17" s="7" customFormat="1" x14ac:dyDescent="0.25">
      <c r="A44" s="28"/>
      <c r="B44" s="42" t="s">
        <v>5</v>
      </c>
      <c r="C44" s="15">
        <v>-1000</v>
      </c>
      <c r="D44" s="33">
        <f>$C$11*D39*POWER(1.025,D37-1)</f>
        <v>-1500000</v>
      </c>
      <c r="E44" s="33">
        <f>$C$11*E39*POWER(1.025,E37-1)</f>
        <v>-1660499.9999999998</v>
      </c>
      <c r="F44" s="33">
        <f t="shared" ref="F44:H44" si="7">$C$11*F39*POWER(1.025,F37-1)</f>
        <v>-1838173.5</v>
      </c>
      <c r="G44" s="33">
        <f t="shared" si="7"/>
        <v>-2110223.1780000003</v>
      </c>
      <c r="H44" s="33">
        <f t="shared" si="7"/>
        <v>-2422536.2083440004</v>
      </c>
      <c r="I44" s="28"/>
      <c r="J44" s="13"/>
      <c r="K44" s="55"/>
      <c r="Q44" s="8"/>
    </row>
    <row r="45" spans="1:17" s="7" customFormat="1" x14ac:dyDescent="0.25">
      <c r="A45" s="50">
        <f>K48</f>
        <v>-1537943.9816397352</v>
      </c>
      <c r="B45" s="42" t="s">
        <v>35</v>
      </c>
      <c r="C45" s="45"/>
      <c r="D45" s="45">
        <f>A45</f>
        <v>-1537943.9816397352</v>
      </c>
      <c r="E45" s="45">
        <f>D45</f>
        <v>-1537943.9816397352</v>
      </c>
      <c r="F45" s="45">
        <f t="shared" ref="F45:H45" si="8">E45</f>
        <v>-1537943.9816397352</v>
      </c>
      <c r="G45" s="45">
        <f t="shared" si="8"/>
        <v>-1537943.9816397352</v>
      </c>
      <c r="H45" s="45">
        <f t="shared" si="8"/>
        <v>-1537943.9816397352</v>
      </c>
      <c r="I45" s="28"/>
      <c r="J45" s="13"/>
      <c r="K45" s="55"/>
      <c r="Q45" s="9"/>
    </row>
    <row r="46" spans="1:17" s="7" customFormat="1" ht="30" x14ac:dyDescent="0.25">
      <c r="A46" s="28"/>
      <c r="B46" s="42" t="s">
        <v>8</v>
      </c>
      <c r="C46" s="40"/>
      <c r="D46" s="45">
        <v>0</v>
      </c>
      <c r="E46" s="45">
        <v>0</v>
      </c>
      <c r="F46" s="45">
        <v>0</v>
      </c>
      <c r="G46" s="45">
        <v>0</v>
      </c>
      <c r="H46" s="45">
        <v>0</v>
      </c>
      <c r="I46" s="28"/>
      <c r="J46" s="40" t="s">
        <v>24</v>
      </c>
      <c r="K46" s="40">
        <v>5</v>
      </c>
      <c r="Q46" s="9"/>
    </row>
    <row r="47" spans="1:17" s="7" customFormat="1" ht="45" x14ac:dyDescent="0.25">
      <c r="A47" s="28"/>
      <c r="B47" s="42" t="s">
        <v>3</v>
      </c>
      <c r="C47" s="40"/>
      <c r="D47" s="45">
        <f>SUM(D43:D46)</f>
        <v>-12037943.981639735</v>
      </c>
      <c r="E47" s="45">
        <f>SUM(E43:E46)</f>
        <v>-12648443.981639735</v>
      </c>
      <c r="F47" s="45">
        <f>SUM(F43:F46)</f>
        <v>-13298617.481639735</v>
      </c>
      <c r="G47" s="45">
        <f>SUM(G43:G46)</f>
        <v>-14066792.159639735</v>
      </c>
      <c r="H47" s="45">
        <f>SUM(H43:H46)</f>
        <v>-14900036.439983737</v>
      </c>
      <c r="I47" s="28"/>
      <c r="J47" s="40" t="s">
        <v>48</v>
      </c>
      <c r="K47" s="70">
        <f>POWER(1+K43/2,2)-1</f>
        <v>0.21000000000000019</v>
      </c>
      <c r="Q47" s="9"/>
    </row>
    <row r="48" spans="1:17" s="7" customFormat="1" x14ac:dyDescent="0.25">
      <c r="A48" s="28"/>
      <c r="B48" s="42" t="s">
        <v>9</v>
      </c>
      <c r="C48" s="40"/>
      <c r="D48" s="45">
        <f>D41+D47</f>
        <v>-37943.981639735401</v>
      </c>
      <c r="E48" s="45">
        <f>E41+E47</f>
        <v>635556.0183602646</v>
      </c>
      <c r="F48" s="45">
        <f>F41+F47</f>
        <v>1406770.5183602665</v>
      </c>
      <c r="G48" s="45">
        <f>G41+G47</f>
        <v>2814993.2643602677</v>
      </c>
      <c r="H48" s="45">
        <f>H41+H47</f>
        <v>4480253.2267682664</v>
      </c>
      <c r="I48" s="28"/>
      <c r="J48" s="40" t="s">
        <v>35</v>
      </c>
      <c r="K48" s="54">
        <f>PMT(K47,K46,K42)</f>
        <v>-1537943.9816397352</v>
      </c>
      <c r="Q48" s="9"/>
    </row>
    <row r="49" spans="1:17" s="7" customFormat="1" ht="18.75" x14ac:dyDescent="0.25">
      <c r="A49" s="28"/>
      <c r="B49" s="42" t="s">
        <v>10</v>
      </c>
      <c r="C49" s="27">
        <v>-0.25</v>
      </c>
      <c r="D49" s="33">
        <f>D48*C49</f>
        <v>9485.9954099338502</v>
      </c>
      <c r="E49" s="33">
        <f>IF(D49&lt;0,E48*C49,E48*C49+D49)</f>
        <v>-149403.0091801323</v>
      </c>
      <c r="F49" s="33">
        <f>IF(E49&lt;0,F48*C49,F48*C49+E49)</f>
        <v>-351692.62959006662</v>
      </c>
      <c r="G49" s="33">
        <f>IF(F49&lt;0,G48*C49,G48*C49+F49)</f>
        <v>-703748.31609006692</v>
      </c>
      <c r="H49" s="33">
        <f>IF(G49&lt;0,H48*C49,H48*C49+G49)</f>
        <v>-1120063.3066920666</v>
      </c>
      <c r="I49" s="28"/>
      <c r="J49" s="28"/>
      <c r="K49" s="28"/>
      <c r="Q49" s="10"/>
    </row>
    <row r="50" spans="1:17" s="7" customFormat="1" ht="18.75" x14ac:dyDescent="0.25">
      <c r="A50" s="28"/>
      <c r="B50" s="41" t="s">
        <v>11</v>
      </c>
      <c r="C50" s="40"/>
      <c r="D50" s="33">
        <f>IF(D49&gt;0,D48,D48+D49)</f>
        <v>-37943.981639735401</v>
      </c>
      <c r="E50" s="33">
        <f>IF(E49&gt;0,E48,E48+E49)</f>
        <v>486153.0091801323</v>
      </c>
      <c r="F50" s="33">
        <f>IF(F49&gt;0,F48,F48+F49)</f>
        <v>1055077.8887701998</v>
      </c>
      <c r="G50" s="33">
        <f>IF(G49&gt;0,G48,G48+G49)</f>
        <v>2111244.9482702008</v>
      </c>
      <c r="H50" s="33">
        <f>IF(H49&gt;0,H48,H48+H49)</f>
        <v>3360189.9200761998</v>
      </c>
      <c r="I50" s="28"/>
      <c r="J50" s="28"/>
      <c r="K50" s="28"/>
      <c r="Q50" s="10"/>
    </row>
    <row r="51" spans="1:17" s="7" customFormat="1" x14ac:dyDescent="0.25">
      <c r="A51" s="28"/>
      <c r="B51" s="41" t="s">
        <v>13</v>
      </c>
      <c r="C51" s="40"/>
      <c r="D51" s="40"/>
      <c r="E51" s="40"/>
      <c r="F51" s="40"/>
      <c r="G51" s="40"/>
      <c r="H51" s="40"/>
      <c r="I51" s="28"/>
      <c r="J51" s="28"/>
      <c r="K51" s="28"/>
    </row>
    <row r="52" spans="1:17" s="7" customFormat="1" x14ac:dyDescent="0.25">
      <c r="A52" s="34">
        <v>1.5</v>
      </c>
      <c r="B52" s="42" t="s">
        <v>18</v>
      </c>
      <c r="C52" s="45">
        <f>A52*D44</f>
        <v>-2250000</v>
      </c>
      <c r="D52" s="40"/>
      <c r="E52" s="40"/>
      <c r="F52" s="40"/>
      <c r="G52" s="40"/>
      <c r="H52" s="65">
        <f>I52*C52</f>
        <v>1912500</v>
      </c>
      <c r="I52" s="34">
        <v>-0.85</v>
      </c>
      <c r="J52" s="28"/>
      <c r="K52" s="28"/>
    </row>
    <row r="53" spans="1:17" s="7" customFormat="1" x14ac:dyDescent="0.25">
      <c r="A53" s="28"/>
      <c r="B53" s="42" t="s">
        <v>19</v>
      </c>
      <c r="C53" s="44">
        <f>SUM(C50:C52)</f>
        <v>-2250000</v>
      </c>
      <c r="D53" s="44">
        <f>SUM(D50:D52)</f>
        <v>-37943.981639735401</v>
      </c>
      <c r="E53" s="44">
        <f>SUM(E50:E52)</f>
        <v>486153.0091801323</v>
      </c>
      <c r="F53" s="44">
        <f>SUM(F50:F52)</f>
        <v>1055077.8887701998</v>
      </c>
      <c r="G53" s="44">
        <f>SUM(G50:G52)</f>
        <v>2111244.9482702008</v>
      </c>
      <c r="H53" s="44">
        <f>SUM(H50:H52)</f>
        <v>5272689.9200761998</v>
      </c>
      <c r="I53" s="28"/>
      <c r="J53" s="28"/>
      <c r="K53" s="28"/>
    </row>
    <row r="54" spans="1:17" s="7" customFormat="1" x14ac:dyDescent="0.25">
      <c r="A54" s="28"/>
      <c r="B54" s="42" t="s">
        <v>20</v>
      </c>
      <c r="C54" s="51">
        <f>K54+K55*K56</f>
        <v>0.13999999999999999</v>
      </c>
      <c r="D54" s="40"/>
      <c r="E54" s="40"/>
      <c r="F54" s="40"/>
      <c r="G54" s="40"/>
      <c r="H54" s="40"/>
      <c r="I54" s="28"/>
      <c r="J54" s="31" t="s">
        <v>31</v>
      </c>
      <c r="K54" s="30">
        <v>0.02</v>
      </c>
    </row>
    <row r="55" spans="1:17" s="7" customFormat="1" x14ac:dyDescent="0.25">
      <c r="A55" s="28"/>
      <c r="B55" s="41" t="s">
        <v>21</v>
      </c>
      <c r="C55" s="45">
        <f>NPV(C54,D53:H53)+C53</f>
        <v>2791438.6982475305</v>
      </c>
      <c r="D55" s="40"/>
      <c r="E55" s="40"/>
      <c r="F55" s="40"/>
      <c r="G55" s="40"/>
      <c r="H55" s="40"/>
      <c r="I55" s="28"/>
      <c r="J55" s="31" t="s">
        <v>32</v>
      </c>
      <c r="K55" s="32">
        <v>1.2</v>
      </c>
    </row>
    <row r="56" spans="1:17" s="7" customFormat="1" x14ac:dyDescent="0.25">
      <c r="A56" s="28"/>
      <c r="B56" s="41" t="s">
        <v>22</v>
      </c>
      <c r="C56" s="53">
        <f>IRR(C53:H53)</f>
        <v>0.38222238264162578</v>
      </c>
      <c r="D56" s="40"/>
      <c r="E56" s="40"/>
      <c r="F56" s="40"/>
      <c r="G56" s="40"/>
      <c r="H56" s="40"/>
      <c r="I56" s="28"/>
      <c r="J56" s="31" t="s">
        <v>33</v>
      </c>
      <c r="K56" s="30">
        <v>0.1</v>
      </c>
    </row>
    <row r="57" spans="1:17" s="7" customFormat="1" x14ac:dyDescent="0.25"/>
    <row r="58" spans="1:17" s="37" customFormat="1" ht="18.75" x14ac:dyDescent="0.25">
      <c r="B58" s="39" t="s">
        <v>37</v>
      </c>
    </row>
    <row r="59" spans="1:17" s="28" customFormat="1" x14ac:dyDescent="0.25"/>
    <row r="60" spans="1:17" s="28" customFormat="1" x14ac:dyDescent="0.25"/>
    <row r="61" spans="1:17" s="28" customFormat="1" x14ac:dyDescent="0.25">
      <c r="B61" s="40"/>
      <c r="C61" s="40"/>
      <c r="D61" s="40">
        <v>1</v>
      </c>
      <c r="E61" s="40">
        <v>2</v>
      </c>
      <c r="F61" s="40">
        <v>3</v>
      </c>
      <c r="G61" s="40">
        <v>4</v>
      </c>
      <c r="H61" s="40">
        <v>5</v>
      </c>
    </row>
    <row r="62" spans="1:17" s="28" customFormat="1" x14ac:dyDescent="0.25">
      <c r="B62" s="41" t="s">
        <v>0</v>
      </c>
      <c r="C62" s="40"/>
      <c r="D62" s="40"/>
      <c r="E62" s="40"/>
      <c r="F62" s="40"/>
      <c r="G62" s="40"/>
      <c r="H62" s="40"/>
    </row>
    <row r="63" spans="1:17" s="28" customFormat="1" x14ac:dyDescent="0.25">
      <c r="B63" s="42" t="s">
        <v>1</v>
      </c>
      <c r="C63" s="40"/>
      <c r="D63" s="25">
        <v>1500</v>
      </c>
      <c r="E63" s="25">
        <f>D63*1.08</f>
        <v>1620</v>
      </c>
      <c r="F63" s="25">
        <f>E63*1.08</f>
        <v>1749.6000000000001</v>
      </c>
      <c r="G63" s="25">
        <f>F63*1.12</f>
        <v>1959.5520000000004</v>
      </c>
      <c r="H63" s="25">
        <f>G63*1.12</f>
        <v>2194.6982400000006</v>
      </c>
    </row>
    <row r="64" spans="1:17" s="28" customFormat="1" x14ac:dyDescent="0.25">
      <c r="B64" s="42" t="s">
        <v>2</v>
      </c>
      <c r="C64" s="40"/>
      <c r="D64" s="33">
        <v>8000</v>
      </c>
      <c r="E64" s="33">
        <f>D64*1.025</f>
        <v>8200</v>
      </c>
      <c r="F64" s="33">
        <f t="shared" ref="F64:H64" si="9">E64*1.025</f>
        <v>8405</v>
      </c>
      <c r="G64" s="33">
        <f t="shared" si="9"/>
        <v>8615.125</v>
      </c>
      <c r="H64" s="33">
        <f t="shared" si="9"/>
        <v>8830.5031249999993</v>
      </c>
    </row>
    <row r="65" spans="1:11" s="28" customFormat="1" x14ac:dyDescent="0.25">
      <c r="B65" s="42" t="s">
        <v>0</v>
      </c>
      <c r="C65" s="40"/>
      <c r="D65" s="45">
        <f>D63*D64</f>
        <v>12000000</v>
      </c>
      <c r="E65" s="45">
        <f>E63*E64</f>
        <v>13284000</v>
      </c>
      <c r="F65" s="45">
        <f>F63*F64</f>
        <v>14705388.000000002</v>
      </c>
      <c r="G65" s="45">
        <f>G63*G64</f>
        <v>16881785.424000002</v>
      </c>
      <c r="H65" s="45">
        <f>H63*H64</f>
        <v>19380289.666752003</v>
      </c>
    </row>
    <row r="66" spans="1:11" s="28" customFormat="1" x14ac:dyDescent="0.25">
      <c r="B66" s="41" t="s">
        <v>3</v>
      </c>
      <c r="C66" s="40"/>
      <c r="D66" s="40"/>
      <c r="E66" s="40"/>
      <c r="F66" s="40"/>
      <c r="G66" s="40"/>
      <c r="H66" s="40"/>
      <c r="J66" s="38" t="s">
        <v>23</v>
      </c>
      <c r="K66" s="45">
        <v>4500000</v>
      </c>
    </row>
    <row r="67" spans="1:11" s="28" customFormat="1" ht="30" x14ac:dyDescent="0.25">
      <c r="B67" s="42" t="s">
        <v>4</v>
      </c>
      <c r="C67" s="40"/>
      <c r="D67" s="33">
        <v>-9000000</v>
      </c>
      <c r="E67" s="33">
        <f>D67*1.05</f>
        <v>-9450000</v>
      </c>
      <c r="F67" s="33">
        <f t="shared" ref="F67:H67" si="10">E67*1.05</f>
        <v>-9922500</v>
      </c>
      <c r="G67" s="33">
        <f t="shared" si="10"/>
        <v>-10418625</v>
      </c>
      <c r="H67" s="33">
        <f t="shared" si="10"/>
        <v>-10939556.25</v>
      </c>
      <c r="J67" s="38" t="s">
        <v>24</v>
      </c>
      <c r="K67" s="40">
        <v>5</v>
      </c>
    </row>
    <row r="68" spans="1:11" s="28" customFormat="1" ht="30" x14ac:dyDescent="0.25">
      <c r="B68" s="42" t="s">
        <v>5</v>
      </c>
      <c r="C68" s="15">
        <v>-1000</v>
      </c>
      <c r="D68" s="33">
        <f>$C$11*D63*POWER(1.025,D61-1)</f>
        <v>-1500000</v>
      </c>
      <c r="E68" s="33">
        <f>$C$11*E63*POWER(1.025,E61-1)</f>
        <v>-1660499.9999999998</v>
      </c>
      <c r="F68" s="33">
        <f t="shared" ref="F68:H68" si="11">$C$11*F63*POWER(1.025,F61-1)</f>
        <v>-1838173.5</v>
      </c>
      <c r="G68" s="33">
        <f t="shared" si="11"/>
        <v>-2110223.1780000003</v>
      </c>
      <c r="H68" s="33">
        <f t="shared" si="11"/>
        <v>-2422536.2083440004</v>
      </c>
      <c r="J68" s="38" t="s">
        <v>38</v>
      </c>
      <c r="K68" s="51">
        <v>0.18</v>
      </c>
    </row>
    <row r="69" spans="1:11" s="28" customFormat="1" x14ac:dyDescent="0.25">
      <c r="A69" s="50">
        <f>K69</f>
        <v>-1439000.2880765409</v>
      </c>
      <c r="B69" s="42" t="s">
        <v>35</v>
      </c>
      <c r="C69" s="45"/>
      <c r="D69" s="45">
        <f>A69</f>
        <v>-1439000.2880765409</v>
      </c>
      <c r="E69" s="45">
        <f>D69</f>
        <v>-1439000.2880765409</v>
      </c>
      <c r="F69" s="45">
        <f t="shared" ref="F69:H69" si="12">E69</f>
        <v>-1439000.2880765409</v>
      </c>
      <c r="G69" s="45">
        <f t="shared" si="12"/>
        <v>-1439000.2880765409</v>
      </c>
      <c r="H69" s="45">
        <f t="shared" si="12"/>
        <v>-1439000.2880765409</v>
      </c>
      <c r="J69" s="38" t="s">
        <v>26</v>
      </c>
      <c r="K69" s="45">
        <f>PMT(K68,K67,K66)</f>
        <v>-1439000.2880765409</v>
      </c>
    </row>
    <row r="70" spans="1:11" s="28" customFormat="1" x14ac:dyDescent="0.25">
      <c r="B70" s="42" t="s">
        <v>8</v>
      </c>
      <c r="C70" s="40"/>
      <c r="D70" s="33">
        <v>-300000</v>
      </c>
      <c r="E70" s="33">
        <f>D70*1.025</f>
        <v>-307500</v>
      </c>
      <c r="F70" s="33">
        <f t="shared" ref="F70:H70" si="13">E70*1.025</f>
        <v>-315187.5</v>
      </c>
      <c r="G70" s="33">
        <f t="shared" si="13"/>
        <v>-323067.1875</v>
      </c>
      <c r="H70" s="33">
        <f t="shared" si="13"/>
        <v>-331143.8671875</v>
      </c>
    </row>
    <row r="71" spans="1:11" s="28" customFormat="1" x14ac:dyDescent="0.25">
      <c r="B71" s="42" t="s">
        <v>3</v>
      </c>
      <c r="C71" s="40"/>
      <c r="D71" s="45">
        <f>SUM(D67:D70)</f>
        <v>-12239000.28807654</v>
      </c>
      <c r="E71" s="45">
        <f>SUM(E67:E70)</f>
        <v>-12857000.28807654</v>
      </c>
      <c r="F71" s="45">
        <f>SUM(F67:F70)</f>
        <v>-13514861.28807654</v>
      </c>
      <c r="G71" s="45">
        <f>SUM(G67:G70)</f>
        <v>-14290915.65357654</v>
      </c>
      <c r="H71" s="45">
        <f>SUM(H67:H70)</f>
        <v>-15132236.613608042</v>
      </c>
    </row>
    <row r="72" spans="1:11" s="28" customFormat="1" x14ac:dyDescent="0.25">
      <c r="B72" s="42" t="s">
        <v>9</v>
      </c>
      <c r="C72" s="40"/>
      <c r="D72" s="45">
        <f>D65+D71</f>
        <v>-239000.28807654046</v>
      </c>
      <c r="E72" s="45">
        <f>E65+E71</f>
        <v>426999.71192345954</v>
      </c>
      <c r="F72" s="45">
        <f>F65+F71</f>
        <v>1190526.7119234614</v>
      </c>
      <c r="G72" s="45">
        <f>G65+G71</f>
        <v>2590869.7704234626</v>
      </c>
      <c r="H72" s="45">
        <f>H65+H71</f>
        <v>4248053.0531439614</v>
      </c>
    </row>
    <row r="73" spans="1:11" s="28" customFormat="1" x14ac:dyDescent="0.25">
      <c r="B73" s="42" t="s">
        <v>10</v>
      </c>
      <c r="C73" s="51">
        <v>-0.25</v>
      </c>
      <c r="D73" s="69">
        <f>D72*C73</f>
        <v>59750.072019135114</v>
      </c>
      <c r="E73" s="44">
        <f>IF(D73&lt;0,E72*C73,E72*C73+D73)</f>
        <v>-46999.855961729772</v>
      </c>
      <c r="F73" s="44">
        <f>IF(E73&lt;0,F72*C73,F72*C73+E73)</f>
        <v>-297631.67798086535</v>
      </c>
      <c r="G73" s="44">
        <f>IF(F73&lt;0,G72*C73,G72*C73+F73)</f>
        <v>-647717.44260586565</v>
      </c>
      <c r="H73" s="44">
        <f>IF(G73&lt;0,H72*C73,H72*C73+G73)</f>
        <v>-1062013.2632859903</v>
      </c>
    </row>
    <row r="74" spans="1:11" s="28" customFormat="1" x14ac:dyDescent="0.25">
      <c r="B74" s="41" t="s">
        <v>11</v>
      </c>
      <c r="C74" s="40"/>
      <c r="D74" s="44">
        <f>IF(D73&gt;0,D72,D72+D73)</f>
        <v>-239000.28807654046</v>
      </c>
      <c r="E74" s="44">
        <f>IF(E73&gt;0,E72,E72+E73)</f>
        <v>379999.85596172977</v>
      </c>
      <c r="F74" s="44">
        <f>IF(F73&gt;0,F72,F72+F73)</f>
        <v>892895.03394259606</v>
      </c>
      <c r="G74" s="44">
        <f>IF(G73&gt;0,G72,G72+G73)</f>
        <v>1943152.327817597</v>
      </c>
      <c r="H74" s="44">
        <f>IF(H73&gt;0,H72,H72+H73)</f>
        <v>3186039.789857971</v>
      </c>
    </row>
    <row r="75" spans="1:11" s="28" customFormat="1" x14ac:dyDescent="0.25">
      <c r="B75" s="41" t="s">
        <v>13</v>
      </c>
      <c r="C75" s="40"/>
      <c r="D75" s="40"/>
      <c r="E75" s="40"/>
      <c r="F75" s="40"/>
      <c r="G75" s="40"/>
      <c r="H75" s="40"/>
    </row>
    <row r="76" spans="1:11" s="28" customFormat="1" x14ac:dyDescent="0.25">
      <c r="A76" s="28">
        <v>1.5</v>
      </c>
      <c r="B76" s="42" t="s">
        <v>18</v>
      </c>
      <c r="C76" s="45">
        <f>A76*D68</f>
        <v>-2250000</v>
      </c>
      <c r="D76" s="40"/>
      <c r="E76" s="40"/>
      <c r="F76" s="40"/>
      <c r="G76" s="40"/>
      <c r="H76" s="45">
        <f>I76*C76</f>
        <v>1912500</v>
      </c>
      <c r="I76" s="28">
        <v>-0.85</v>
      </c>
    </row>
    <row r="77" spans="1:11" s="28" customFormat="1" x14ac:dyDescent="0.25">
      <c r="B77" s="42" t="s">
        <v>19</v>
      </c>
      <c r="C77" s="44">
        <f>SUM(C74:C76)</f>
        <v>-2250000</v>
      </c>
      <c r="D77" s="44">
        <f>SUM(D74:D76)</f>
        <v>-239000.28807654046</v>
      </c>
      <c r="E77" s="44">
        <f>SUM(E74:E76)</f>
        <v>379999.85596172977</v>
      </c>
      <c r="F77" s="44">
        <f>SUM(F74:F76)</f>
        <v>892895.03394259606</v>
      </c>
      <c r="G77" s="44">
        <f>SUM(G74:G76)</f>
        <v>1943152.327817597</v>
      </c>
      <c r="H77" s="44">
        <f>SUM(H74:H76)</f>
        <v>5098539.7898579706</v>
      </c>
    </row>
    <row r="78" spans="1:11" s="28" customFormat="1" x14ac:dyDescent="0.25">
      <c r="B78" s="42" t="s">
        <v>20</v>
      </c>
      <c r="C78" s="52">
        <f>K78+K79*K80</f>
        <v>0.13999999999999999</v>
      </c>
      <c r="D78" s="40"/>
      <c r="E78" s="40"/>
      <c r="F78" s="40"/>
      <c r="G78" s="40"/>
      <c r="H78" s="40"/>
      <c r="J78" s="31" t="s">
        <v>31</v>
      </c>
      <c r="K78" s="30">
        <v>0.02</v>
      </c>
    </row>
    <row r="79" spans="1:11" s="28" customFormat="1" x14ac:dyDescent="0.25">
      <c r="B79" s="41" t="s">
        <v>21</v>
      </c>
      <c r="C79" s="45">
        <f>NPV(C78,D77:H77)+C77</f>
        <v>2233950.8594203722</v>
      </c>
      <c r="D79" s="40"/>
      <c r="E79" s="40"/>
      <c r="F79" s="40"/>
      <c r="G79" s="40"/>
      <c r="H79" s="40"/>
      <c r="J79" s="31" t="s">
        <v>32</v>
      </c>
      <c r="K79" s="32">
        <v>1.2</v>
      </c>
    </row>
    <row r="80" spans="1:11" s="28" customFormat="1" x14ac:dyDescent="0.25">
      <c r="B80" s="41" t="s">
        <v>22</v>
      </c>
      <c r="C80" s="53">
        <f>IRR(C77:H77)</f>
        <v>0.3314422941724009</v>
      </c>
      <c r="D80" s="40"/>
      <c r="E80" s="40"/>
      <c r="F80" s="40"/>
      <c r="G80" s="40"/>
      <c r="H80" s="40"/>
      <c r="J80" s="31" t="s">
        <v>33</v>
      </c>
      <c r="K80" s="30">
        <v>0.1</v>
      </c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s="6" customFormat="1" ht="18.75" x14ac:dyDescent="0.3">
      <c r="B83" s="6" t="s">
        <v>49</v>
      </c>
    </row>
    <row r="84" spans="1:16" x14ac:dyDescent="0.25">
      <c r="A84" s="35" t="s">
        <v>39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3"/>
      <c r="B85" s="2" t="s">
        <v>42</v>
      </c>
      <c r="C85" s="2" t="s">
        <v>21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3"/>
      <c r="B86" s="16" t="s">
        <v>50</v>
      </c>
      <c r="C86" s="15">
        <f>C29</f>
        <v>3283327.9442483867</v>
      </c>
      <c r="D86" t="s">
        <v>53</v>
      </c>
    </row>
    <row r="87" spans="1:16" x14ac:dyDescent="0.25">
      <c r="A87" s="3"/>
      <c r="B87" s="16" t="s">
        <v>51</v>
      </c>
      <c r="C87" s="15">
        <f>C55</f>
        <v>2791438.6982475305</v>
      </c>
    </row>
    <row r="88" spans="1:16" x14ac:dyDescent="0.25">
      <c r="A88" s="3"/>
      <c r="B88" s="16" t="s">
        <v>52</v>
      </c>
      <c r="C88" s="15">
        <f>C79</f>
        <v>2233950.8594203722</v>
      </c>
    </row>
    <row r="89" spans="1:16" x14ac:dyDescent="0.25">
      <c r="A89" s="35" t="s">
        <v>40</v>
      </c>
    </row>
    <row r="90" spans="1:16" x14ac:dyDescent="0.25">
      <c r="B90" s="72"/>
    </row>
    <row r="91" spans="1:16" x14ac:dyDescent="0.25">
      <c r="B91" s="16" t="s">
        <v>51</v>
      </c>
      <c r="C91" s="15">
        <f>C55</f>
        <v>2791438.6982475305</v>
      </c>
    </row>
    <row r="92" spans="1:16" x14ac:dyDescent="0.25">
      <c r="B92" s="16" t="s">
        <v>52</v>
      </c>
      <c r="C92" s="15">
        <f>C79</f>
        <v>2233950.8594203722</v>
      </c>
    </row>
    <row r="93" spans="1:16" x14ac:dyDescent="0.25">
      <c r="B93" s="71" t="s">
        <v>54</v>
      </c>
      <c r="C93" s="1">
        <f>C91-C92</f>
        <v>557487.83882715832</v>
      </c>
      <c r="D93" t="s">
        <v>55</v>
      </c>
    </row>
    <row r="94" spans="1:16" x14ac:dyDescent="0.25">
      <c r="A94" s="35" t="s">
        <v>41</v>
      </c>
    </row>
    <row r="95" spans="1:16" x14ac:dyDescent="0.25">
      <c r="B95" s="2" t="s">
        <v>42</v>
      </c>
      <c r="C95" s="73" t="s">
        <v>56</v>
      </c>
      <c r="D95" s="74"/>
      <c r="E95" s="74"/>
      <c r="F95" s="74"/>
      <c r="H95" t="s">
        <v>57</v>
      </c>
    </row>
    <row r="96" spans="1:16" x14ac:dyDescent="0.25">
      <c r="B96" s="16" t="s">
        <v>50</v>
      </c>
      <c r="C96" s="75">
        <v>1350</v>
      </c>
      <c r="D96" s="76"/>
      <c r="E96" s="76"/>
      <c r="F96" s="76"/>
    </row>
    <row r="97" spans="2:6" x14ac:dyDescent="0.25">
      <c r="B97" s="16" t="s">
        <v>51</v>
      </c>
      <c r="C97" s="75">
        <v>1373</v>
      </c>
      <c r="D97" s="76"/>
      <c r="E97" s="76"/>
      <c r="F97" s="76"/>
    </row>
    <row r="98" spans="2:6" x14ac:dyDescent="0.25">
      <c r="B98" s="16" t="s">
        <v>52</v>
      </c>
      <c r="C98" s="75">
        <v>1399</v>
      </c>
      <c r="D98" s="76"/>
      <c r="E98" s="76"/>
      <c r="F98" s="76"/>
    </row>
  </sheetData>
  <mergeCells count="13">
    <mergeCell ref="C97:F97"/>
    <mergeCell ref="C98:F98"/>
    <mergeCell ref="J11:M11"/>
    <mergeCell ref="J43:J45"/>
    <mergeCell ref="K43:K45"/>
    <mergeCell ref="C95:F95"/>
    <mergeCell ref="C96:F96"/>
    <mergeCell ref="J4:K4"/>
    <mergeCell ref="J5:K7"/>
    <mergeCell ref="L5:L7"/>
    <mergeCell ref="J8:K8"/>
    <mergeCell ref="J9:K9"/>
    <mergeCell ref="J10:K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EA8-118C-4CC4-90D1-738F296E3F27}">
  <dimension ref="A2:P80"/>
  <sheetViews>
    <sheetView tabSelected="1" topLeftCell="A45" zoomScaleNormal="100" workbookViewId="0">
      <selection activeCell="K71" sqref="K71"/>
    </sheetView>
  </sheetViews>
  <sheetFormatPr baseColWidth="10" defaultRowHeight="15" x14ac:dyDescent="0.25"/>
  <cols>
    <col min="1" max="1" width="15.42578125" bestFit="1" customWidth="1"/>
    <col min="3" max="8" width="13.7109375" bestFit="1" customWidth="1"/>
    <col min="11" max="11" width="15.42578125" bestFit="1" customWidth="1"/>
    <col min="12" max="12" width="13" bestFit="1" customWidth="1"/>
    <col min="13" max="13" width="12" bestFit="1" customWidth="1"/>
    <col min="14" max="14" width="13" bestFit="1" customWidth="1"/>
  </cols>
  <sheetData>
    <row r="2" spans="1:14" s="37" customFormat="1" ht="18.75" x14ac:dyDescent="0.25">
      <c r="B2" s="36" t="s">
        <v>42</v>
      </c>
    </row>
    <row r="3" spans="1:14" s="28" customFormat="1" x14ac:dyDescent="0.25"/>
    <row r="4" spans="1:14" s="28" customFormat="1" x14ac:dyDescent="0.25">
      <c r="B4" s="40"/>
      <c r="C4" s="40"/>
      <c r="D4" s="40">
        <v>1</v>
      </c>
      <c r="E4" s="40">
        <v>2</v>
      </c>
      <c r="F4" s="40">
        <v>3</v>
      </c>
      <c r="G4" s="40">
        <v>4</v>
      </c>
      <c r="H4" s="40">
        <v>5</v>
      </c>
      <c r="J4" s="13" t="s">
        <v>23</v>
      </c>
      <c r="K4" s="13"/>
      <c r="L4" s="45">
        <f>C25</f>
        <v>290000000</v>
      </c>
    </row>
    <row r="5" spans="1:14" s="28" customFormat="1" x14ac:dyDescent="0.25">
      <c r="B5" s="41" t="s">
        <v>0</v>
      </c>
      <c r="C5" s="40"/>
      <c r="D5" s="40"/>
      <c r="E5" s="40"/>
      <c r="F5" s="40"/>
      <c r="G5" s="40"/>
      <c r="H5" s="40"/>
      <c r="J5" s="13" t="s">
        <v>36</v>
      </c>
      <c r="K5" s="13"/>
      <c r="L5" s="55">
        <v>7.85E-2</v>
      </c>
    </row>
    <row r="6" spans="1:14" s="28" customFormat="1" x14ac:dyDescent="0.25">
      <c r="B6" s="42" t="s">
        <v>1</v>
      </c>
      <c r="C6" s="40"/>
      <c r="D6" s="43">
        <v>1250000</v>
      </c>
      <c r="E6" s="43">
        <f>D6*1.15</f>
        <v>1437500</v>
      </c>
      <c r="F6" s="43">
        <f t="shared" ref="F6:H6" si="0">E6*1.15</f>
        <v>1653124.9999999998</v>
      </c>
      <c r="G6" s="43">
        <f t="shared" si="0"/>
        <v>1901093.7499999995</v>
      </c>
      <c r="H6" s="43">
        <f t="shared" si="0"/>
        <v>2186257.8124999991</v>
      </c>
      <c r="J6" s="13"/>
      <c r="K6" s="13"/>
      <c r="L6" s="13"/>
    </row>
    <row r="7" spans="1:14" s="28" customFormat="1" x14ac:dyDescent="0.25">
      <c r="B7" s="42" t="s">
        <v>2</v>
      </c>
      <c r="C7" s="40"/>
      <c r="D7" s="56">
        <v>105</v>
      </c>
      <c r="E7" s="56">
        <f>D7*1.12</f>
        <v>117.60000000000001</v>
      </c>
      <c r="F7" s="56">
        <f t="shared" ref="F7:H7" si="1">E7*1.12</f>
        <v>131.71200000000002</v>
      </c>
      <c r="G7" s="56">
        <f t="shared" si="1"/>
        <v>147.51744000000002</v>
      </c>
      <c r="H7" s="56">
        <f t="shared" si="1"/>
        <v>165.21953280000005</v>
      </c>
      <c r="J7" s="13"/>
      <c r="K7" s="13"/>
      <c r="L7" s="13"/>
    </row>
    <row r="8" spans="1:14" s="28" customFormat="1" x14ac:dyDescent="0.25">
      <c r="B8" s="42" t="s">
        <v>0</v>
      </c>
      <c r="C8" s="40"/>
      <c r="D8" s="45">
        <f>D6*D7</f>
        <v>131250000</v>
      </c>
      <c r="E8" s="45">
        <f>E6*E7</f>
        <v>169050000</v>
      </c>
      <c r="F8" s="45">
        <f>F6*F7</f>
        <v>217736400</v>
      </c>
      <c r="G8" s="45">
        <f>G6*G7</f>
        <v>280444483.19999999</v>
      </c>
      <c r="H8" s="45">
        <f>H6*H7</f>
        <v>361212494.36159998</v>
      </c>
      <c r="J8" s="13" t="s">
        <v>24</v>
      </c>
      <c r="K8" s="13"/>
      <c r="L8" s="40">
        <v>5</v>
      </c>
    </row>
    <row r="9" spans="1:14" s="28" customFormat="1" x14ac:dyDescent="0.25">
      <c r="B9" s="41" t="s">
        <v>3</v>
      </c>
      <c r="C9" s="40"/>
      <c r="D9" s="40"/>
      <c r="E9" s="40"/>
      <c r="F9" s="40"/>
      <c r="G9" s="40"/>
      <c r="H9" s="40"/>
      <c r="J9" s="13" t="s">
        <v>27</v>
      </c>
      <c r="K9" s="13"/>
      <c r="L9" s="57">
        <f>POWER(1+L5/2,2)-1</f>
        <v>8.0040562500000023E-2</v>
      </c>
    </row>
    <row r="10" spans="1:14" s="28" customFormat="1" x14ac:dyDescent="0.25">
      <c r="B10" s="42" t="s">
        <v>4</v>
      </c>
      <c r="C10" s="40"/>
      <c r="D10" s="56">
        <f>(-250000-700000)*12</f>
        <v>-11400000</v>
      </c>
      <c r="E10" s="56">
        <f>D10*1.025</f>
        <v>-11684999.999999998</v>
      </c>
      <c r="F10" s="56">
        <f t="shared" ref="F10:H10" si="2">E10*1.025</f>
        <v>-11977124.999999996</v>
      </c>
      <c r="G10" s="56">
        <f t="shared" si="2"/>
        <v>-12276553.124999994</v>
      </c>
      <c r="H10" s="56">
        <f t="shared" si="2"/>
        <v>-12583466.953124993</v>
      </c>
      <c r="J10" s="13" t="s">
        <v>26</v>
      </c>
      <c r="K10" s="13"/>
      <c r="L10" s="45">
        <f>-PMT(L9,L8,L4)</f>
        <v>72640136.930780292</v>
      </c>
    </row>
    <row r="11" spans="1:14" s="28" customFormat="1" x14ac:dyDescent="0.25">
      <c r="B11" s="42" t="s">
        <v>5</v>
      </c>
      <c r="C11" s="45">
        <v>-25</v>
      </c>
      <c r="D11" s="56">
        <f>$C$11*D6</f>
        <v>-31250000</v>
      </c>
      <c r="E11" s="56">
        <f t="shared" ref="E11:H11" si="3">$C$11*E6</f>
        <v>-35937500</v>
      </c>
      <c r="F11" s="56">
        <f t="shared" si="3"/>
        <v>-41328124.999999993</v>
      </c>
      <c r="G11" s="56">
        <f t="shared" si="3"/>
        <v>-47527343.749999985</v>
      </c>
      <c r="H11" s="56">
        <f t="shared" si="3"/>
        <v>-54656445.312499978</v>
      </c>
      <c r="J11" s="58" t="s">
        <v>30</v>
      </c>
      <c r="K11" s="58"/>
      <c r="L11" s="58"/>
      <c r="M11" s="58"/>
      <c r="N11" s="59" t="s">
        <v>28</v>
      </c>
    </row>
    <row r="12" spans="1:14" s="28" customFormat="1" ht="30" x14ac:dyDescent="0.25">
      <c r="A12" s="50">
        <f>C23/9+ + C24/8</f>
        <v>-30000000</v>
      </c>
      <c r="B12" s="42" t="s">
        <v>6</v>
      </c>
      <c r="C12" s="45"/>
      <c r="D12" s="45">
        <f>A12</f>
        <v>-30000000</v>
      </c>
      <c r="E12" s="45">
        <f>D12</f>
        <v>-30000000</v>
      </c>
      <c r="F12" s="45">
        <f>E12</f>
        <v>-30000000</v>
      </c>
      <c r="G12" s="45">
        <f>F12</f>
        <v>-30000000</v>
      </c>
      <c r="H12" s="45">
        <f>G12</f>
        <v>-30000000</v>
      </c>
      <c r="J12" s="59" t="s">
        <v>29</v>
      </c>
      <c r="K12" s="59" t="s">
        <v>7</v>
      </c>
      <c r="L12" s="59" t="s">
        <v>26</v>
      </c>
      <c r="M12" s="59" t="s">
        <v>12</v>
      </c>
      <c r="N12" s="60">
        <f>L4</f>
        <v>290000000</v>
      </c>
    </row>
    <row r="13" spans="1:14" s="28" customFormat="1" x14ac:dyDescent="0.25">
      <c r="B13" s="42" t="s">
        <v>7</v>
      </c>
      <c r="C13" s="40"/>
      <c r="D13" s="56" cm="1">
        <f t="array" ref="D13:H13">-TRANSPOSE(K13:K17)</f>
        <v>-23211763.125000007</v>
      </c>
      <c r="E13" s="56">
        <v>-19255488.282125086</v>
      </c>
      <c r="F13" s="56">
        <v>-14982550.975421857</v>
      </c>
      <c r="G13" s="56">
        <v>-10367605.363162866</v>
      </c>
      <c r="H13" s="56">
        <v>-5383276.9081917591</v>
      </c>
      <c r="J13" s="59">
        <v>1</v>
      </c>
      <c r="K13" s="60">
        <f>N12*L9</f>
        <v>23211763.125000007</v>
      </c>
      <c r="L13" s="60">
        <f>L10</f>
        <v>72640136.930780292</v>
      </c>
      <c r="M13" s="60">
        <f>L13-K13</f>
        <v>49428373.805780284</v>
      </c>
      <c r="N13" s="60">
        <f>N12-M13</f>
        <v>240571626.19421971</v>
      </c>
    </row>
    <row r="14" spans="1:14" s="28" customFormat="1" ht="30" x14ac:dyDescent="0.25">
      <c r="B14" s="42" t="s">
        <v>8</v>
      </c>
      <c r="C14" s="40"/>
      <c r="D14" s="56">
        <v>-31000000</v>
      </c>
      <c r="E14" s="56">
        <v>-31000000</v>
      </c>
      <c r="F14" s="56">
        <v>-31000000</v>
      </c>
      <c r="G14" s="56">
        <v>-31000000</v>
      </c>
      <c r="H14" s="56">
        <v>-31000000</v>
      </c>
      <c r="J14" s="59">
        <v>2</v>
      </c>
      <c r="K14" s="60">
        <f>N13*L9</f>
        <v>19255488.282125086</v>
      </c>
      <c r="L14" s="60">
        <f>L10</f>
        <v>72640136.930780292</v>
      </c>
      <c r="M14" s="60">
        <f>L14-K14</f>
        <v>53384648.648655206</v>
      </c>
      <c r="N14" s="60">
        <f>N13-M14</f>
        <v>187186977.5455645</v>
      </c>
    </row>
    <row r="15" spans="1:14" s="28" customFormat="1" x14ac:dyDescent="0.25">
      <c r="B15" s="42" t="s">
        <v>3</v>
      </c>
      <c r="C15" s="40"/>
      <c r="D15" s="45">
        <f>SUM(D10:D14)</f>
        <v>-126861763.125</v>
      </c>
      <c r="E15" s="45">
        <f>SUM(E10:E14)</f>
        <v>-127877988.28212509</v>
      </c>
      <c r="F15" s="45">
        <f>SUM(F10:F14)</f>
        <v>-129287800.97542185</v>
      </c>
      <c r="G15" s="45">
        <f>SUM(G10:G14)</f>
        <v>-131171502.23816283</v>
      </c>
      <c r="H15" s="45">
        <f>SUM(H10:H14)</f>
        <v>-133623189.17381673</v>
      </c>
      <c r="J15" s="59">
        <v>3</v>
      </c>
      <c r="K15" s="60">
        <f>N14*L9</f>
        <v>14982550.975421857</v>
      </c>
      <c r="L15" s="60">
        <f>L10</f>
        <v>72640136.930780292</v>
      </c>
      <c r="M15" s="60">
        <f>L15-K15</f>
        <v>57657585.955358431</v>
      </c>
      <c r="N15" s="60">
        <f>N14-M15</f>
        <v>129529391.59020607</v>
      </c>
    </row>
    <row r="16" spans="1:14" s="28" customFormat="1" x14ac:dyDescent="0.25">
      <c r="B16" s="42" t="s">
        <v>9</v>
      </c>
      <c r="C16" s="40"/>
      <c r="D16" s="45">
        <f>D8+D15</f>
        <v>4388236.875</v>
      </c>
      <c r="E16" s="45">
        <f>E8+E15</f>
        <v>41172011.717874914</v>
      </c>
      <c r="F16" s="45">
        <f>F8+F15</f>
        <v>88448599.024578154</v>
      </c>
      <c r="G16" s="45">
        <f>G8+G15</f>
        <v>149272980.96183717</v>
      </c>
      <c r="H16" s="45">
        <f>H8+H15</f>
        <v>227589305.18778324</v>
      </c>
      <c r="J16" s="61">
        <v>4</v>
      </c>
      <c r="K16" s="60">
        <f>N15*L9</f>
        <v>10367605.363162866</v>
      </c>
      <c r="L16" s="60">
        <f>L10</f>
        <v>72640136.930780292</v>
      </c>
      <c r="M16" s="62">
        <f>L16-K16</f>
        <v>62272531.567617424</v>
      </c>
      <c r="N16" s="62">
        <f>N15-M16</f>
        <v>67256860.02258864</v>
      </c>
    </row>
    <row r="17" spans="1:14" s="28" customFormat="1" x14ac:dyDescent="0.25">
      <c r="B17" s="42" t="s">
        <v>10</v>
      </c>
      <c r="C17" s="51">
        <v>-0.21</v>
      </c>
      <c r="D17" s="56">
        <f>D16*C17</f>
        <v>-921529.74375000002</v>
      </c>
      <c r="E17" s="56">
        <f>IF(D17&lt;0,E16*C17,E16*C17+D17)</f>
        <v>-8646122.4607537314</v>
      </c>
      <c r="F17" s="56">
        <f>IF(E17&lt;0,F16*C17,F16*C17+E17)</f>
        <v>-18574205.795161411</v>
      </c>
      <c r="G17" s="56">
        <f>IF(F17&lt;0,G16*C17,G16*C17+F17)</f>
        <v>-31347326.001985803</v>
      </c>
      <c r="H17" s="56">
        <f>IF(G17&lt;0,H16*C17,H16*C17+G17)</f>
        <v>-47793754.089434482</v>
      </c>
      <c r="J17" s="63">
        <v>5</v>
      </c>
      <c r="K17" s="60">
        <f>N16*L9</f>
        <v>5383276.9081917591</v>
      </c>
      <c r="L17" s="60">
        <f>L10</f>
        <v>72640136.930780292</v>
      </c>
      <c r="M17" s="62">
        <f>L17-K17</f>
        <v>67256860.022588536</v>
      </c>
      <c r="N17" s="62">
        <f>N16-M17</f>
        <v>0</v>
      </c>
    </row>
    <row r="18" spans="1:14" s="28" customFormat="1" x14ac:dyDescent="0.25">
      <c r="B18" s="41" t="s">
        <v>11</v>
      </c>
      <c r="C18" s="40"/>
      <c r="D18" s="56">
        <f>IF(D17&gt;0,D16,D16+D17)</f>
        <v>3466707.1312500001</v>
      </c>
      <c r="E18" s="56">
        <f>IF(E17&gt;0,E16,E16+E17)</f>
        <v>32525889.257121183</v>
      </c>
      <c r="F18" s="56">
        <f>IF(F17&gt;0,F16,F16+F17)</f>
        <v>69874393.229416743</v>
      </c>
      <c r="G18" s="56">
        <f>IF(G17&gt;0,G16,G16+G17)</f>
        <v>117925654.95985137</v>
      </c>
      <c r="H18" s="56">
        <f>IF(H17&gt;0,H16,H16+H17)</f>
        <v>179795551.09834877</v>
      </c>
    </row>
    <row r="19" spans="1:14" s="28" customFormat="1" x14ac:dyDescent="0.25">
      <c r="B19" s="42" t="s">
        <v>6</v>
      </c>
      <c r="C19" s="40"/>
      <c r="D19" s="45">
        <f>-D12</f>
        <v>30000000</v>
      </c>
      <c r="E19" s="45">
        <f>-E12</f>
        <v>30000000</v>
      </c>
      <c r="F19" s="45">
        <f>-F12</f>
        <v>30000000</v>
      </c>
      <c r="G19" s="45">
        <f>-G12</f>
        <v>30000000</v>
      </c>
      <c r="H19" s="45">
        <f>-H12</f>
        <v>30000000</v>
      </c>
    </row>
    <row r="20" spans="1:14" s="28" customFormat="1" x14ac:dyDescent="0.25">
      <c r="B20" s="42" t="s">
        <v>12</v>
      </c>
      <c r="C20" s="40"/>
      <c r="D20" s="56" cm="1">
        <f t="array" ref="D20:H20">-TRANSPOSE(M13:M17)</f>
        <v>-49428373.805780284</v>
      </c>
      <c r="E20" s="56">
        <v>-53384648.648655206</v>
      </c>
      <c r="F20" s="56">
        <v>-57657585.955358431</v>
      </c>
      <c r="G20" s="56">
        <v>-62272531.567617424</v>
      </c>
      <c r="H20" s="56">
        <v>-67256860.022588536</v>
      </c>
    </row>
    <row r="21" spans="1:14" s="28" customFormat="1" x14ac:dyDescent="0.25">
      <c r="B21" s="41" t="s">
        <v>13</v>
      </c>
      <c r="C21" s="40"/>
      <c r="D21" s="40"/>
      <c r="E21" s="40"/>
      <c r="F21" s="40"/>
      <c r="G21" s="40"/>
      <c r="H21" s="40"/>
    </row>
    <row r="22" spans="1:14" s="28" customFormat="1" x14ac:dyDescent="0.25">
      <c r="B22" s="42" t="s">
        <v>14</v>
      </c>
      <c r="C22" s="56">
        <v>-40000000</v>
      </c>
      <c r="D22" s="40"/>
      <c r="E22" s="40"/>
      <c r="F22" s="40"/>
      <c r="G22" s="40"/>
      <c r="H22" s="56">
        <f>C22*I22</f>
        <v>0</v>
      </c>
      <c r="I22" s="64">
        <v>0</v>
      </c>
    </row>
    <row r="23" spans="1:14" s="28" customFormat="1" ht="30" x14ac:dyDescent="0.25">
      <c r="B23" s="42" t="s">
        <v>15</v>
      </c>
      <c r="C23" s="56">
        <v>-90000000</v>
      </c>
      <c r="D23" s="40"/>
      <c r="E23" s="40"/>
      <c r="F23" s="40"/>
      <c r="G23" s="40"/>
      <c r="H23" s="56">
        <f>C23*I23</f>
        <v>0</v>
      </c>
      <c r="I23" s="64">
        <v>0</v>
      </c>
    </row>
    <row r="24" spans="1:14" s="28" customFormat="1" ht="30" x14ac:dyDescent="0.25">
      <c r="B24" s="42" t="s">
        <v>16</v>
      </c>
      <c r="C24" s="56">
        <v>-160000000</v>
      </c>
      <c r="D24" s="40"/>
      <c r="E24" s="40"/>
      <c r="F24" s="40"/>
      <c r="G24" s="40"/>
      <c r="H24" s="56">
        <f t="shared" ref="H24" si="4">C24*I24</f>
        <v>0</v>
      </c>
      <c r="I24" s="64">
        <v>0</v>
      </c>
    </row>
    <row r="25" spans="1:14" s="28" customFormat="1" x14ac:dyDescent="0.25">
      <c r="B25" s="42" t="s">
        <v>17</v>
      </c>
      <c r="C25" s="45">
        <f>-SUM(C22:C24)</f>
        <v>290000000</v>
      </c>
      <c r="D25" s="40"/>
      <c r="E25" s="40"/>
      <c r="F25" s="40"/>
      <c r="G25" s="40"/>
      <c r="H25" s="40"/>
    </row>
    <row r="26" spans="1:14" s="28" customFormat="1" ht="30" x14ac:dyDescent="0.25">
      <c r="A26" s="64">
        <v>2</v>
      </c>
      <c r="B26" s="42" t="s">
        <v>18</v>
      </c>
      <c r="C26" s="45">
        <f>A26*D11</f>
        <v>-62500000</v>
      </c>
      <c r="D26" s="45">
        <f>$A$26*E11-C26</f>
        <v>-9375000</v>
      </c>
      <c r="E26" s="45">
        <f>$A$26*F11-SUM(C26:D26)</f>
        <v>-10781249.999999985</v>
      </c>
      <c r="F26" s="45">
        <f>$A$26*G11-SUM(C26:E26)</f>
        <v>-12398437.499999985</v>
      </c>
      <c r="G26" s="45">
        <f>$A$26*H11-SUM(C26:F26)</f>
        <v>-14258203.124999985</v>
      </c>
      <c r="H26" s="45" cm="1">
        <f t="array" ref="H26">SUM(C26:G26*I26)</f>
        <v>87450312.499999955</v>
      </c>
      <c r="I26" s="64">
        <v>-0.8</v>
      </c>
    </row>
    <row r="27" spans="1:14" s="28" customFormat="1" x14ac:dyDescent="0.25">
      <c r="B27" s="42" t="s">
        <v>19</v>
      </c>
      <c r="C27" s="56">
        <f>SUM(C18:C26)</f>
        <v>-62500000</v>
      </c>
      <c r="D27" s="56">
        <f>SUM(D18:D26)</f>
        <v>-25336666.674530283</v>
      </c>
      <c r="E27" s="56">
        <f>SUM(E18:E26)</f>
        <v>-1640009.3915340081</v>
      </c>
      <c r="F27" s="56">
        <f>SUM(F18:F26)</f>
        <v>29818369.774058327</v>
      </c>
      <c r="G27" s="56">
        <f>SUM(G18:G26)</f>
        <v>71394920.267233983</v>
      </c>
      <c r="H27" s="56">
        <f>SUM(H18:H26)</f>
        <v>229989003.57576019</v>
      </c>
    </row>
    <row r="28" spans="1:14" s="28" customFormat="1" x14ac:dyDescent="0.25">
      <c r="B28" s="42" t="s">
        <v>20</v>
      </c>
      <c r="C28" s="52">
        <f>K28+K29*K30</f>
        <v>0.21799999999999997</v>
      </c>
      <c r="D28" s="40"/>
      <c r="E28" s="40"/>
      <c r="F28" s="40"/>
      <c r="G28" s="40"/>
      <c r="H28" s="40"/>
      <c r="J28" s="31" t="s">
        <v>46</v>
      </c>
      <c r="K28" s="53">
        <v>0.05</v>
      </c>
    </row>
    <row r="29" spans="1:14" s="28" customFormat="1" x14ac:dyDescent="0.25">
      <c r="B29" s="41" t="s">
        <v>21</v>
      </c>
      <c r="C29" s="45">
        <f>NPV(C28,D27:H27)+C27</f>
        <v>50331372.360743403</v>
      </c>
      <c r="D29" s="40"/>
      <c r="E29" s="40"/>
      <c r="F29" s="40"/>
      <c r="G29" s="40"/>
      <c r="H29" s="40"/>
      <c r="J29" s="31" t="s">
        <v>32</v>
      </c>
      <c r="K29" s="65">
        <v>1.4</v>
      </c>
    </row>
    <row r="30" spans="1:14" s="28" customFormat="1" x14ac:dyDescent="0.25">
      <c r="B30" s="41" t="s">
        <v>22</v>
      </c>
      <c r="C30" s="53">
        <f>IRR(C27:H27)</f>
        <v>0.360549099352101</v>
      </c>
      <c r="D30" s="40"/>
      <c r="E30" s="40"/>
      <c r="F30" s="40"/>
      <c r="G30" s="40"/>
      <c r="H30" s="40"/>
      <c r="J30" s="31" t="s">
        <v>47</v>
      </c>
      <c r="K30" s="53">
        <v>0.12</v>
      </c>
    </row>
    <row r="33" spans="1:16" s="37" customFormat="1" ht="18.75" x14ac:dyDescent="0.25">
      <c r="B33" s="36" t="s">
        <v>34</v>
      </c>
    </row>
    <row r="34" spans="1:16" s="28" customFormat="1" x14ac:dyDescent="0.25"/>
    <row r="35" spans="1:16" s="28" customFormat="1" x14ac:dyDescent="0.25"/>
    <row r="36" spans="1:16" s="28" customFormat="1" x14ac:dyDescent="0.25">
      <c r="B36" s="40"/>
      <c r="C36" s="40"/>
      <c r="D36" s="40">
        <v>1</v>
      </c>
      <c r="E36" s="40">
        <v>2</v>
      </c>
      <c r="F36" s="40">
        <v>3</v>
      </c>
      <c r="G36" s="40">
        <v>4</v>
      </c>
      <c r="H36" s="40">
        <v>5</v>
      </c>
    </row>
    <row r="37" spans="1:16" s="28" customFormat="1" x14ac:dyDescent="0.25">
      <c r="B37" s="41" t="s">
        <v>0</v>
      </c>
      <c r="C37" s="40"/>
      <c r="D37" s="40"/>
      <c r="E37" s="40"/>
      <c r="F37" s="40"/>
      <c r="G37" s="40"/>
      <c r="H37" s="40"/>
    </row>
    <row r="38" spans="1:16" s="28" customFormat="1" x14ac:dyDescent="0.25">
      <c r="B38" s="42" t="s">
        <v>1</v>
      </c>
      <c r="C38" s="40"/>
      <c r="D38" s="43">
        <v>1250000</v>
      </c>
      <c r="E38" s="43">
        <f>D38*1.15</f>
        <v>1437500</v>
      </c>
      <c r="F38" s="43">
        <f t="shared" ref="F38:H38" si="5">E38*1.15</f>
        <v>1653124.9999999998</v>
      </c>
      <c r="G38" s="43">
        <f t="shared" si="5"/>
        <v>1901093.7499999995</v>
      </c>
      <c r="H38" s="43">
        <f t="shared" si="5"/>
        <v>2186257.8124999991</v>
      </c>
    </row>
    <row r="39" spans="1:16" s="28" customFormat="1" x14ac:dyDescent="0.25">
      <c r="B39" s="42" t="s">
        <v>2</v>
      </c>
      <c r="C39" s="40"/>
      <c r="D39" s="56">
        <v>105</v>
      </c>
      <c r="E39" s="56">
        <f>D39*1.12</f>
        <v>117.60000000000001</v>
      </c>
      <c r="F39" s="56">
        <f t="shared" ref="F39:H39" si="6">E39*1.12</f>
        <v>131.71200000000002</v>
      </c>
      <c r="G39" s="56">
        <f t="shared" si="6"/>
        <v>147.51744000000002</v>
      </c>
      <c r="H39" s="56">
        <f t="shared" si="6"/>
        <v>165.21953280000005</v>
      </c>
    </row>
    <row r="40" spans="1:16" s="28" customFormat="1" x14ac:dyDescent="0.25">
      <c r="B40" s="42" t="s">
        <v>0</v>
      </c>
      <c r="C40" s="40"/>
      <c r="D40" s="45">
        <f>D38*D39</f>
        <v>131250000</v>
      </c>
      <c r="E40" s="45">
        <f>E38*E39</f>
        <v>169050000</v>
      </c>
      <c r="F40" s="45">
        <f>F38*F39</f>
        <v>217736400</v>
      </c>
      <c r="G40" s="45">
        <f>G38*G39</f>
        <v>280444483.19999999</v>
      </c>
      <c r="H40" s="45">
        <f>H38*H39</f>
        <v>361212494.36159998</v>
      </c>
    </row>
    <row r="41" spans="1:16" s="28" customFormat="1" x14ac:dyDescent="0.25">
      <c r="B41" s="41" t="s">
        <v>3</v>
      </c>
      <c r="C41" s="40"/>
      <c r="D41" s="40"/>
      <c r="E41" s="40"/>
      <c r="F41" s="40"/>
      <c r="G41" s="40"/>
      <c r="H41" s="40"/>
      <c r="J41" s="40" t="s">
        <v>23</v>
      </c>
      <c r="K41" s="45">
        <v>290000000</v>
      </c>
      <c r="M41" s="46"/>
      <c r="N41" s="46"/>
      <c r="O41" s="46"/>
      <c r="P41" s="46"/>
    </row>
    <row r="42" spans="1:16" s="28" customFormat="1" x14ac:dyDescent="0.25">
      <c r="B42" s="42" t="s">
        <v>4</v>
      </c>
      <c r="C42" s="40"/>
      <c r="D42" s="56">
        <f>(-250000-700000)*12</f>
        <v>-11400000</v>
      </c>
      <c r="E42" s="56">
        <f>D42*1.025</f>
        <v>-11684999.999999998</v>
      </c>
      <c r="F42" s="56">
        <f t="shared" ref="F42:H42" si="7">E42*1.025</f>
        <v>-11977124.999999996</v>
      </c>
      <c r="G42" s="56">
        <f t="shared" si="7"/>
        <v>-12276553.124999994</v>
      </c>
      <c r="H42" s="56">
        <f t="shared" si="7"/>
        <v>-12583466.953124993</v>
      </c>
      <c r="J42" s="13" t="s">
        <v>58</v>
      </c>
      <c r="K42" s="77">
        <v>3.7400000000000003E-2</v>
      </c>
    </row>
    <row r="43" spans="1:16" s="28" customFormat="1" ht="15.75" customHeight="1" x14ac:dyDescent="0.25">
      <c r="B43" s="42" t="s">
        <v>5</v>
      </c>
      <c r="C43" s="45">
        <v>-25</v>
      </c>
      <c r="D43" s="56">
        <f>$C$11*D38</f>
        <v>-31250000</v>
      </c>
      <c r="E43" s="56">
        <f t="shared" ref="E43:H43" si="8">$C$11*E38</f>
        <v>-35937500</v>
      </c>
      <c r="F43" s="56">
        <f t="shared" si="8"/>
        <v>-41328124.999999993</v>
      </c>
      <c r="G43" s="56">
        <f t="shared" si="8"/>
        <v>-47527343.749999985</v>
      </c>
      <c r="H43" s="56">
        <f t="shared" si="8"/>
        <v>-54656445.312499978</v>
      </c>
      <c r="J43" s="13"/>
      <c r="K43" s="77"/>
      <c r="N43" s="47"/>
      <c r="O43" s="48"/>
      <c r="P43" s="49"/>
    </row>
    <row r="44" spans="1:16" s="28" customFormat="1" x14ac:dyDescent="0.25">
      <c r="A44" s="48">
        <f>K47</f>
        <v>-88629890.212689668</v>
      </c>
      <c r="B44" s="42" t="s">
        <v>35</v>
      </c>
      <c r="C44" s="45"/>
      <c r="D44" s="45">
        <f>A44</f>
        <v>-88629890.212689668</v>
      </c>
      <c r="E44" s="45">
        <f>D44</f>
        <v>-88629890.212689668</v>
      </c>
      <c r="F44" s="45">
        <f t="shared" ref="F44:H44" si="9">E44</f>
        <v>-88629890.212689668</v>
      </c>
      <c r="G44" s="45">
        <f t="shared" si="9"/>
        <v>-88629890.212689668</v>
      </c>
      <c r="H44" s="45">
        <f t="shared" si="9"/>
        <v>-88629890.212689668</v>
      </c>
      <c r="J44" s="13"/>
      <c r="K44" s="77"/>
      <c r="N44" s="47"/>
      <c r="O44" s="48"/>
    </row>
    <row r="45" spans="1:16" s="28" customFormat="1" ht="30" x14ac:dyDescent="0.25">
      <c r="B45" s="42" t="s">
        <v>8</v>
      </c>
      <c r="C45" s="40"/>
      <c r="D45" s="45">
        <v>0</v>
      </c>
      <c r="E45" s="45">
        <v>0</v>
      </c>
      <c r="F45" s="45">
        <v>0</v>
      </c>
      <c r="G45" s="45">
        <v>0</v>
      </c>
      <c r="H45" s="45">
        <v>0</v>
      </c>
      <c r="J45" s="40" t="s">
        <v>24</v>
      </c>
      <c r="K45" s="40">
        <v>5</v>
      </c>
      <c r="N45" s="47"/>
      <c r="O45" s="48"/>
    </row>
    <row r="46" spans="1:16" s="28" customFormat="1" x14ac:dyDescent="0.25">
      <c r="B46" s="42" t="s">
        <v>3</v>
      </c>
      <c r="C46" s="40"/>
      <c r="D46" s="45">
        <f>SUM(D42:D45)</f>
        <v>-131279890.21268967</v>
      </c>
      <c r="E46" s="45">
        <f>SUM(E42:E45)</f>
        <v>-136252390.21268967</v>
      </c>
      <c r="F46" s="45">
        <f>SUM(F42:F45)</f>
        <v>-141935140.21268964</v>
      </c>
      <c r="G46" s="45">
        <f>SUM(G42:G45)</f>
        <v>-148433787.08768964</v>
      </c>
      <c r="H46" s="45">
        <f>SUM(H42:H45)</f>
        <v>-155869802.47831464</v>
      </c>
      <c r="J46" s="40" t="s">
        <v>48</v>
      </c>
      <c r="K46" s="51">
        <f>POWER(1+K42/3,12)-1</f>
        <v>0.16029603106106727</v>
      </c>
      <c r="N46" s="47"/>
      <c r="O46" s="48"/>
    </row>
    <row r="47" spans="1:16" s="28" customFormat="1" x14ac:dyDescent="0.25">
      <c r="B47" s="42" t="s">
        <v>9</v>
      </c>
      <c r="C47" s="40"/>
      <c r="D47" s="45">
        <f>D40+D46</f>
        <v>-29890.21268966794</v>
      </c>
      <c r="E47" s="45">
        <f>E40+E46</f>
        <v>32797609.787310332</v>
      </c>
      <c r="F47" s="45">
        <f>F40+F46</f>
        <v>75801259.787310362</v>
      </c>
      <c r="G47" s="45">
        <f>G40+G46</f>
        <v>132010696.11231035</v>
      </c>
      <c r="H47" s="45">
        <f>H40+H46</f>
        <v>205342691.88328534</v>
      </c>
      <c r="J47" s="40" t="s">
        <v>35</v>
      </c>
      <c r="K47" s="54">
        <f>PMT(K46,K45,K41)</f>
        <v>-88629890.212689668</v>
      </c>
      <c r="N47" s="47"/>
      <c r="O47" s="48"/>
    </row>
    <row r="48" spans="1:16" s="28" customFormat="1" x14ac:dyDescent="0.25">
      <c r="B48" s="42" t="s">
        <v>10</v>
      </c>
      <c r="C48" s="51">
        <v>-0.21</v>
      </c>
      <c r="D48" s="56">
        <f>D47*C48</f>
        <v>6276.9446648302674</v>
      </c>
      <c r="E48" s="44">
        <f>IF(D48&lt;0,E47*C48,E47*C48+D48)</f>
        <v>-6881221.1106703393</v>
      </c>
      <c r="F48" s="44">
        <f>IF(E48&lt;0,F47*C48,F47*C48+E48)</f>
        <v>-15918264.555335175</v>
      </c>
      <c r="G48" s="44">
        <f>IF(F48&lt;0,G47*C48,G47*C48+F48)</f>
        <v>-27722246.183585171</v>
      </c>
      <c r="H48" s="44">
        <f>IF(G48&lt;0,H47*C48,H47*C48+G48)</f>
        <v>-43121965.295489922</v>
      </c>
    </row>
    <row r="49" spans="1:11" s="28" customFormat="1" x14ac:dyDescent="0.25">
      <c r="B49" s="41" t="s">
        <v>11</v>
      </c>
      <c r="C49" s="40"/>
      <c r="D49" s="44">
        <f>IF(D48&gt;0,D47,D47+D48)</f>
        <v>-29890.21268966794</v>
      </c>
      <c r="E49" s="44">
        <f>IF(E48&gt;0,E47,E47+E48)</f>
        <v>25916388.676639993</v>
      </c>
      <c r="F49" s="44">
        <f>IF(F48&gt;0,F47,F47+F48)</f>
        <v>59882995.231975183</v>
      </c>
      <c r="G49" s="44">
        <f>IF(G48&gt;0,G47,G47+G48)</f>
        <v>104288449.92872518</v>
      </c>
      <c r="H49" s="44">
        <f>IF(H48&gt;0,H47,H47+H48)</f>
        <v>162220726.58779544</v>
      </c>
    </row>
    <row r="50" spans="1:11" s="28" customFormat="1" x14ac:dyDescent="0.25">
      <c r="B50" s="41" t="s">
        <v>13</v>
      </c>
      <c r="C50" s="40"/>
      <c r="D50" s="40"/>
      <c r="E50" s="40"/>
      <c r="F50" s="40"/>
      <c r="G50" s="40"/>
      <c r="H50" s="40"/>
    </row>
    <row r="51" spans="1:11" s="28" customFormat="1" ht="30" x14ac:dyDescent="0.25">
      <c r="A51" s="28">
        <v>2</v>
      </c>
      <c r="B51" s="42" t="s">
        <v>18</v>
      </c>
      <c r="C51" s="45">
        <f>A51*D43</f>
        <v>-62500000</v>
      </c>
      <c r="D51" s="45">
        <f>$A$26*E43-C51</f>
        <v>-9375000</v>
      </c>
      <c r="E51" s="45">
        <f>$A$26*F43-SUM(C51:D51)</f>
        <v>-10781249.999999985</v>
      </c>
      <c r="F51" s="45">
        <f>$A$26*G43-SUM(C51:E51)</f>
        <v>-12398437.499999985</v>
      </c>
      <c r="G51" s="45">
        <f>$A$26*H43-SUM(C51:F51)</f>
        <v>-14258203.124999985</v>
      </c>
      <c r="H51" s="45" cm="1">
        <f t="array" ref="H51">SUM(C51:G51*I51)</f>
        <v>87450312.499999955</v>
      </c>
      <c r="I51" s="64">
        <v>-0.8</v>
      </c>
    </row>
    <row r="52" spans="1:11" s="28" customFormat="1" x14ac:dyDescent="0.25">
      <c r="B52" s="42" t="s">
        <v>19</v>
      </c>
      <c r="C52" s="44">
        <f>SUM(C49:C51)</f>
        <v>-62500000</v>
      </c>
      <c r="D52" s="44">
        <f>SUM(D49:D51)</f>
        <v>-9404890.2126896679</v>
      </c>
      <c r="E52" s="44">
        <f>SUM(E49:E51)</f>
        <v>15135138.676640008</v>
      </c>
      <c r="F52" s="44">
        <f>SUM(F49:F51)</f>
        <v>47484557.731975198</v>
      </c>
      <c r="G52" s="44">
        <f>SUM(G49:G51)</f>
        <v>90030246.803725198</v>
      </c>
      <c r="H52" s="44">
        <f>SUM(H49:H51)</f>
        <v>249671039.08779538</v>
      </c>
    </row>
    <row r="53" spans="1:11" s="28" customFormat="1" x14ac:dyDescent="0.25">
      <c r="B53" s="42" t="s">
        <v>20</v>
      </c>
      <c r="C53" s="51">
        <f>K53+K54*K55</f>
        <v>0.21799999999999997</v>
      </c>
      <c r="D53" s="40"/>
      <c r="E53" s="40"/>
      <c r="F53" s="40"/>
      <c r="G53" s="40"/>
      <c r="H53" s="40"/>
      <c r="J53" s="31" t="s">
        <v>31</v>
      </c>
      <c r="K53" s="53">
        <v>0.05</v>
      </c>
    </row>
    <row r="54" spans="1:11" s="28" customFormat="1" x14ac:dyDescent="0.25">
      <c r="B54" s="41" t="s">
        <v>21</v>
      </c>
      <c r="C54" s="45">
        <f>NPV(C53,D52:H52)+C52</f>
        <v>100305860.48955089</v>
      </c>
      <c r="D54" s="40"/>
      <c r="E54" s="40"/>
      <c r="F54" s="40"/>
      <c r="G54" s="40"/>
      <c r="H54" s="40"/>
      <c r="J54" s="31" t="s">
        <v>32</v>
      </c>
      <c r="K54" s="65">
        <v>1.4</v>
      </c>
    </row>
    <row r="55" spans="1:11" s="28" customFormat="1" x14ac:dyDescent="0.25">
      <c r="B55" s="41" t="s">
        <v>22</v>
      </c>
      <c r="C55" s="53">
        <f>IRR(C52:H52)</f>
        <v>0.51452624678369441</v>
      </c>
      <c r="D55" s="40"/>
      <c r="E55" s="40"/>
      <c r="F55" s="40"/>
      <c r="G55" s="40"/>
      <c r="H55" s="40"/>
      <c r="J55" s="31" t="s">
        <v>33</v>
      </c>
      <c r="K55" s="53">
        <v>0.12</v>
      </c>
    </row>
    <row r="58" spans="1:11" s="35" customFormat="1" ht="18.75" x14ac:dyDescent="0.25">
      <c r="B58" s="36" t="s">
        <v>37</v>
      </c>
    </row>
    <row r="59" spans="1:11" s="28" customFormat="1" x14ac:dyDescent="0.25"/>
    <row r="60" spans="1:11" s="28" customFormat="1" x14ac:dyDescent="0.25"/>
    <row r="61" spans="1:11" s="28" customFormat="1" x14ac:dyDescent="0.25">
      <c r="B61" s="40"/>
      <c r="C61" s="40"/>
      <c r="D61" s="40">
        <v>1</v>
      </c>
      <c r="E61" s="40">
        <v>2</v>
      </c>
      <c r="F61" s="40">
        <v>3</v>
      </c>
      <c r="G61" s="40">
        <v>4</v>
      </c>
      <c r="H61" s="40">
        <v>5</v>
      </c>
    </row>
    <row r="62" spans="1:11" s="28" customFormat="1" x14ac:dyDescent="0.25">
      <c r="B62" s="41" t="s">
        <v>0</v>
      </c>
      <c r="C62" s="40"/>
      <c r="D62" s="40"/>
      <c r="E62" s="40"/>
      <c r="F62" s="40"/>
      <c r="G62" s="40"/>
      <c r="H62" s="40"/>
    </row>
    <row r="63" spans="1:11" s="28" customFormat="1" x14ac:dyDescent="0.25">
      <c r="B63" s="42" t="s">
        <v>1</v>
      </c>
      <c r="C63" s="40"/>
      <c r="D63" s="43">
        <v>1250000</v>
      </c>
      <c r="E63" s="43">
        <f>D63*1.15</f>
        <v>1437500</v>
      </c>
      <c r="F63" s="43">
        <f t="shared" ref="F63:H63" si="10">E63*1.15</f>
        <v>1653124.9999999998</v>
      </c>
      <c r="G63" s="43">
        <f t="shared" si="10"/>
        <v>1901093.7499999995</v>
      </c>
      <c r="H63" s="43">
        <f t="shared" si="10"/>
        <v>2186257.8124999991</v>
      </c>
    </row>
    <row r="64" spans="1:11" s="28" customFormat="1" x14ac:dyDescent="0.25">
      <c r="B64" s="42" t="s">
        <v>2</v>
      </c>
      <c r="C64" s="40"/>
      <c r="D64" s="56">
        <v>105</v>
      </c>
      <c r="E64" s="56">
        <f>D64*1.12</f>
        <v>117.60000000000001</v>
      </c>
      <c r="F64" s="56">
        <f t="shared" ref="F64:H64" si="11">E64*1.12</f>
        <v>131.71200000000002</v>
      </c>
      <c r="G64" s="56">
        <f t="shared" si="11"/>
        <v>147.51744000000002</v>
      </c>
      <c r="H64" s="56">
        <f t="shared" si="11"/>
        <v>165.21953280000005</v>
      </c>
    </row>
    <row r="65" spans="1:11" s="28" customFormat="1" x14ac:dyDescent="0.25">
      <c r="B65" s="42" t="s">
        <v>0</v>
      </c>
      <c r="C65" s="40"/>
      <c r="D65" s="45">
        <f>D63*D64</f>
        <v>131250000</v>
      </c>
      <c r="E65" s="45">
        <f>E63*E64</f>
        <v>169050000</v>
      </c>
      <c r="F65" s="45">
        <f>F63*F64</f>
        <v>217736400</v>
      </c>
      <c r="G65" s="45">
        <f>G63*G64</f>
        <v>280444483.19999999</v>
      </c>
      <c r="H65" s="45">
        <f>H63*H64</f>
        <v>361212494.36159998</v>
      </c>
    </row>
    <row r="66" spans="1:11" s="28" customFormat="1" x14ac:dyDescent="0.25">
      <c r="B66" s="41" t="s">
        <v>3</v>
      </c>
      <c r="C66" s="40"/>
      <c r="D66" s="40"/>
      <c r="E66" s="40"/>
      <c r="F66" s="40"/>
      <c r="G66" s="40"/>
      <c r="H66" s="40"/>
      <c r="J66" s="40" t="s">
        <v>23</v>
      </c>
      <c r="K66" s="45">
        <v>290000000</v>
      </c>
    </row>
    <row r="67" spans="1:11" s="28" customFormat="1" x14ac:dyDescent="0.25">
      <c r="B67" s="42" t="s">
        <v>4</v>
      </c>
      <c r="C67" s="40"/>
      <c r="D67" s="56">
        <f>(-250000-700000)*12</f>
        <v>-11400000</v>
      </c>
      <c r="E67" s="56">
        <f>D67*1.025</f>
        <v>-11684999.999999998</v>
      </c>
      <c r="F67" s="56">
        <f t="shared" ref="F67:H67" si="12">E67*1.025</f>
        <v>-11977124.999999996</v>
      </c>
      <c r="G67" s="56">
        <f t="shared" si="12"/>
        <v>-12276553.124999994</v>
      </c>
      <c r="H67" s="56">
        <f t="shared" si="12"/>
        <v>-12583466.953124993</v>
      </c>
      <c r="J67" s="13" t="s">
        <v>59</v>
      </c>
      <c r="K67" s="77">
        <v>3.7400000000000003E-2</v>
      </c>
    </row>
    <row r="68" spans="1:11" s="28" customFormat="1" x14ac:dyDescent="0.25">
      <c r="B68" s="42" t="s">
        <v>5</v>
      </c>
      <c r="C68" s="45">
        <v>-25</v>
      </c>
      <c r="D68" s="56">
        <f>$C$11*D63</f>
        <v>-31250000</v>
      </c>
      <c r="E68" s="56">
        <f t="shared" ref="E68:H68" si="13">$C$11*E63</f>
        <v>-35937500</v>
      </c>
      <c r="F68" s="56">
        <f t="shared" si="13"/>
        <v>-41328124.999999993</v>
      </c>
      <c r="G68" s="56">
        <f t="shared" si="13"/>
        <v>-47527343.749999985</v>
      </c>
      <c r="H68" s="56">
        <f t="shared" si="13"/>
        <v>-54656445.312499978</v>
      </c>
      <c r="J68" s="13"/>
      <c r="K68" s="77"/>
    </row>
    <row r="69" spans="1:11" s="28" customFormat="1" x14ac:dyDescent="0.25">
      <c r="A69" s="48">
        <f>K72</f>
        <v>-186133922.21960902</v>
      </c>
      <c r="B69" s="42" t="s">
        <v>35</v>
      </c>
      <c r="C69" s="45"/>
      <c r="D69" s="45">
        <f>A69</f>
        <v>-186133922.21960902</v>
      </c>
      <c r="E69" s="45">
        <f>D69</f>
        <v>-186133922.21960902</v>
      </c>
      <c r="F69" s="45">
        <f t="shared" ref="F69:H69" si="14">E69</f>
        <v>-186133922.21960902</v>
      </c>
      <c r="G69" s="45">
        <f t="shared" si="14"/>
        <v>-186133922.21960902</v>
      </c>
      <c r="H69" s="45">
        <f t="shared" si="14"/>
        <v>-186133922.21960902</v>
      </c>
      <c r="J69" s="13"/>
      <c r="K69" s="77"/>
    </row>
    <row r="70" spans="1:11" s="28" customFormat="1" ht="30" x14ac:dyDescent="0.25">
      <c r="B70" s="42" t="s">
        <v>8</v>
      </c>
      <c r="C70" s="40"/>
      <c r="D70" s="56">
        <v>-31000000</v>
      </c>
      <c r="E70" s="56">
        <v>-31000000</v>
      </c>
      <c r="F70" s="56">
        <v>-31000000</v>
      </c>
      <c r="G70" s="56">
        <v>-31000000</v>
      </c>
      <c r="H70" s="56">
        <v>-31000000</v>
      </c>
      <c r="J70" s="40" t="s">
        <v>24</v>
      </c>
      <c r="K70" s="40">
        <v>5</v>
      </c>
    </row>
    <row r="71" spans="1:11" s="28" customFormat="1" ht="45" x14ac:dyDescent="0.25">
      <c r="B71" s="42" t="s">
        <v>3</v>
      </c>
      <c r="C71" s="40"/>
      <c r="D71" s="45">
        <f>SUM(D67:D70)</f>
        <v>-259783922.21960902</v>
      </c>
      <c r="E71" s="45">
        <f>SUM(E67:E70)</f>
        <v>-264756422.21960902</v>
      </c>
      <c r="F71" s="45">
        <f>SUM(F67:F70)</f>
        <v>-270439172.21960902</v>
      </c>
      <c r="G71" s="45">
        <f>SUM(G67:G70)</f>
        <v>-276937819.09460902</v>
      </c>
      <c r="H71" s="45">
        <f>SUM(H67:H70)</f>
        <v>-284373834.48523402</v>
      </c>
      <c r="J71" s="40" t="s">
        <v>48</v>
      </c>
      <c r="K71" s="51">
        <f>POWER(1+K67/30,365)-1</f>
        <v>0.57577928084568786</v>
      </c>
    </row>
    <row r="72" spans="1:11" s="28" customFormat="1" x14ac:dyDescent="0.25">
      <c r="B72" s="42" t="s">
        <v>9</v>
      </c>
      <c r="C72" s="40"/>
      <c r="D72" s="45">
        <f>D65+D71</f>
        <v>-128533922.21960902</v>
      </c>
      <c r="E72" s="45">
        <f>E65+E71</f>
        <v>-95706422.219609022</v>
      </c>
      <c r="F72" s="45">
        <f>F65+F71</f>
        <v>-52702772.219609022</v>
      </c>
      <c r="G72" s="45">
        <f>G65+G71</f>
        <v>3506664.1053909659</v>
      </c>
      <c r="H72" s="45">
        <f>H65+H71</f>
        <v>76838659.87636596</v>
      </c>
      <c r="J72" s="40" t="s">
        <v>35</v>
      </c>
      <c r="K72" s="54">
        <f>PMT(K71,K70,K66)</f>
        <v>-186133922.21960902</v>
      </c>
    </row>
    <row r="73" spans="1:11" s="28" customFormat="1" x14ac:dyDescent="0.25">
      <c r="B73" s="42" t="s">
        <v>10</v>
      </c>
      <c r="C73" s="51">
        <v>-0.21</v>
      </c>
      <c r="D73" s="69">
        <f>D72*C73</f>
        <v>26992123.666117895</v>
      </c>
      <c r="E73" s="44">
        <f>IF(D73&lt;0,E72*C73,E72*C73+D73)</f>
        <v>47090472.332235791</v>
      </c>
      <c r="F73" s="44">
        <f>IF(E73&lt;0,F72*C73,F72*C73+E73)</f>
        <v>58158054.498353682</v>
      </c>
      <c r="G73" s="44">
        <f>IF(F73&lt;0,G72*C73,G72*C73+F73)</f>
        <v>57421655.036221579</v>
      </c>
      <c r="H73" s="44">
        <f>IF(G73&lt;0,H72*C73,H72*C73+G73)</f>
        <v>41285536.462184727</v>
      </c>
    </row>
    <row r="74" spans="1:11" s="28" customFormat="1" ht="45" x14ac:dyDescent="0.25">
      <c r="B74" s="41" t="s">
        <v>11</v>
      </c>
      <c r="C74" s="40"/>
      <c r="D74" s="44">
        <f>IF(D73&gt;0,D72,D72+D73)</f>
        <v>-128533922.21960902</v>
      </c>
      <c r="E74" s="44">
        <f>IF(E73&gt;0,E72,E72+E73)</f>
        <v>-95706422.219609022</v>
      </c>
      <c r="F74" s="44">
        <f>IF(F73&gt;0,F72,F72+F73)</f>
        <v>-52702772.219609022</v>
      </c>
      <c r="G74" s="44">
        <f>IF(G73&gt;0,G72,G72+G73)</f>
        <v>3506664.1053909659</v>
      </c>
      <c r="H74" s="44">
        <f>IF(H73&gt;0,H72,H72+H73)</f>
        <v>76838659.87636596</v>
      </c>
    </row>
    <row r="75" spans="1:11" s="28" customFormat="1" ht="30" x14ac:dyDescent="0.25">
      <c r="B75" s="41" t="s">
        <v>13</v>
      </c>
      <c r="C75" s="40"/>
      <c r="D75" s="40"/>
      <c r="E75" s="40"/>
      <c r="F75" s="40"/>
      <c r="G75" s="40"/>
      <c r="H75" s="40"/>
    </row>
    <row r="76" spans="1:11" s="28" customFormat="1" ht="30" x14ac:dyDescent="0.25">
      <c r="A76" s="28">
        <v>2</v>
      </c>
      <c r="B76" s="42" t="s">
        <v>18</v>
      </c>
      <c r="C76" s="45">
        <f>A76*D68</f>
        <v>-62500000</v>
      </c>
      <c r="D76" s="45">
        <f>$A$26*E68-C76</f>
        <v>-9375000</v>
      </c>
      <c r="E76" s="45">
        <f>$A$26*F68-SUM(C76:D76)</f>
        <v>-10781249.999999985</v>
      </c>
      <c r="F76" s="45">
        <f>$A$26*G68-SUM(C76:E76)</f>
        <v>-12398437.499999985</v>
      </c>
      <c r="G76" s="45">
        <f>$A$26*H68-SUM(C76:F76)</f>
        <v>-14258203.124999985</v>
      </c>
      <c r="H76" s="45" cm="1">
        <f t="array" ref="H76">SUM(C76:G76*I76)</f>
        <v>87450312.499999955</v>
      </c>
      <c r="I76" s="64">
        <v>-0.8</v>
      </c>
    </row>
    <row r="77" spans="1:11" s="28" customFormat="1" x14ac:dyDescent="0.25">
      <c r="B77" s="42" t="s">
        <v>19</v>
      </c>
      <c r="C77" s="44">
        <f>SUM(C74:C76)</f>
        <v>-62500000</v>
      </c>
      <c r="D77" s="44">
        <f>SUM(D74:D76)</f>
        <v>-137908922.21960902</v>
      </c>
      <c r="E77" s="44">
        <f>SUM(E74:E76)</f>
        <v>-106487672.21960901</v>
      </c>
      <c r="F77" s="44">
        <f>SUM(F74:F76)</f>
        <v>-65101209.719609007</v>
      </c>
      <c r="G77" s="44">
        <f>SUM(G74:G76)</f>
        <v>-10751539.019609019</v>
      </c>
      <c r="H77" s="44">
        <f>SUM(H74:H76)</f>
        <v>164288972.3763659</v>
      </c>
    </row>
    <row r="78" spans="1:11" s="28" customFormat="1" x14ac:dyDescent="0.25">
      <c r="B78" s="42" t="s">
        <v>20</v>
      </c>
      <c r="C78" s="52">
        <f>K78+K79*K80</f>
        <v>0.21799999999999997</v>
      </c>
      <c r="D78" s="40"/>
      <c r="E78" s="40"/>
      <c r="F78" s="40"/>
      <c r="G78" s="40"/>
      <c r="H78" s="40"/>
      <c r="J78" s="31" t="s">
        <v>31</v>
      </c>
      <c r="K78" s="53">
        <v>0.05</v>
      </c>
    </row>
    <row r="79" spans="1:11" s="28" customFormat="1" x14ac:dyDescent="0.25">
      <c r="B79" s="41" t="s">
        <v>21</v>
      </c>
      <c r="C79" s="45">
        <f>NPV(C78,D77:H77)+C77</f>
        <v>-227132196.51239774</v>
      </c>
      <c r="D79" s="40"/>
      <c r="E79" s="40"/>
      <c r="F79" s="40"/>
      <c r="G79" s="40"/>
      <c r="H79" s="40"/>
      <c r="J79" s="31" t="s">
        <v>32</v>
      </c>
      <c r="K79" s="65">
        <v>1.4</v>
      </c>
    </row>
    <row r="80" spans="1:11" s="28" customFormat="1" x14ac:dyDescent="0.25">
      <c r="B80" s="41" t="s">
        <v>22</v>
      </c>
      <c r="C80" s="53">
        <f>IRR(C77:H77)</f>
        <v>-0.22490756384187949</v>
      </c>
      <c r="D80" s="40"/>
      <c r="E80" s="40"/>
      <c r="F80" s="40"/>
      <c r="G80" s="40"/>
      <c r="H80" s="40"/>
      <c r="J80" s="31" t="s">
        <v>33</v>
      </c>
      <c r="K80" s="53">
        <v>0.12</v>
      </c>
    </row>
  </sheetData>
  <mergeCells count="12">
    <mergeCell ref="J11:M11"/>
    <mergeCell ref="M41:P41"/>
    <mergeCell ref="J42:J44"/>
    <mergeCell ref="K42:K44"/>
    <mergeCell ref="J67:J69"/>
    <mergeCell ref="K67:K69"/>
    <mergeCell ref="J4:K4"/>
    <mergeCell ref="J5:K7"/>
    <mergeCell ref="L5:L7"/>
    <mergeCell ref="J8:K8"/>
    <mergeCell ref="J9:K9"/>
    <mergeCell ref="J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TEMPLATE FLUJO DE CAJA</vt:lpstr>
      <vt:lpstr>TEMPLATE LEASING OPERATIVO</vt:lpstr>
      <vt:lpstr>TEMPLATE LEASING FINANCIERO</vt:lpstr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ivan caceres</cp:lastModifiedBy>
  <dcterms:created xsi:type="dcterms:W3CDTF">2024-10-10T01:57:48Z</dcterms:created>
  <dcterms:modified xsi:type="dcterms:W3CDTF">2024-10-10T17:13:26Z</dcterms:modified>
</cp:coreProperties>
</file>