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IBR4_BPA" sheetId="1" r:id="rId4"/>
    <sheet state="visible" name="OIBR4_BPP" sheetId="2" r:id="rId5"/>
    <sheet state="visible" name="OIBR4_DRE" sheetId="3" r:id="rId6"/>
    <sheet state="visible" name="OIBR4_DFC" sheetId="4" r:id="rId7"/>
    <sheet state="visible" name="BG" sheetId="5" r:id="rId8"/>
    <sheet state="visible" name="Liquidez" sheetId="6" r:id="rId9"/>
    <sheet state="visible" name="FCF" sheetId="7" r:id="rId10"/>
    <sheet state="visible" name="Rentabilidade" sheetId="8" r:id="rId11"/>
    <sheet state="visible" name="Determinantes do ROE" sheetId="9" r:id="rId12"/>
  </sheets>
  <definedNames/>
  <calcPr/>
  <extLst>
    <ext uri="GoogleSheetsCustomDataVersion1">
      <go:sheetsCustomData xmlns:go="http://customooxmlschemas.google.com/" r:id="rId13" roundtripDataSignature="AMtx7mhQsIBW4nphgR9uiUF0vy4DNLvvnw=="/>
    </ext>
  </extLst>
</workbook>
</file>

<file path=xl/sharedStrings.xml><?xml version="1.0" encoding="utf-8"?>
<sst xmlns="http://schemas.openxmlformats.org/spreadsheetml/2006/main" count="322" uniqueCount="281">
  <si>
    <t>EMPRESA:</t>
  </si>
  <si>
    <t>Demonstrativo:</t>
  </si>
  <si>
    <t>Período:</t>
  </si>
  <si>
    <t>Conta</t>
  </si>
  <si>
    <t>Descrição</t>
  </si>
  <si>
    <t>30/09/2019</t>
  </si>
  <si>
    <t>31/12/2018</t>
  </si>
  <si>
    <t>31/12/2017</t>
  </si>
  <si>
    <t>31/12/2016</t>
  </si>
  <si>
    <t>31/12/2015</t>
  </si>
  <si>
    <t>31/12/2014</t>
  </si>
  <si>
    <t>Ativo Total</t>
  </si>
  <si>
    <t>1.01</t>
  </si>
  <si>
    <t>Ativo Circulante</t>
  </si>
  <si>
    <t>1.01.01</t>
  </si>
  <si>
    <t>Caixa e Equivalentes de Caixa</t>
  </si>
  <si>
    <t>1.01.02</t>
  </si>
  <si>
    <t>Aplicações Financeiras</t>
  </si>
  <si>
    <t>1.01.03</t>
  </si>
  <si>
    <t>Contas a Receber</t>
  </si>
  <si>
    <t>1.01.04</t>
  </si>
  <si>
    <t>Estoques</t>
  </si>
  <si>
    <t>1.01.05</t>
  </si>
  <si>
    <t>Ativos Biológicos</t>
  </si>
  <si>
    <t>1.01.06</t>
  </si>
  <si>
    <t>Tributos a Recuperar</t>
  </si>
  <si>
    <t>1.01.07</t>
  </si>
  <si>
    <t>Despesas Antecipadas</t>
  </si>
  <si>
    <t>1.01.08</t>
  </si>
  <si>
    <t>Outros Ativos Circulantes</t>
  </si>
  <si>
    <t>1.02</t>
  </si>
  <si>
    <t>Ativo Não Circulante</t>
  </si>
  <si>
    <t>1.02.01</t>
  </si>
  <si>
    <t>Ativo Realizável a Longo Prazo</t>
  </si>
  <si>
    <t>1.02.02</t>
  </si>
  <si>
    <t>Investimentos</t>
  </si>
  <si>
    <t>1.02.03</t>
  </si>
  <si>
    <t>Imobilizado</t>
  </si>
  <si>
    <t>1.02.04</t>
  </si>
  <si>
    <t>Intangível</t>
  </si>
  <si>
    <t>Passivo Total</t>
  </si>
  <si>
    <t>2.01</t>
  </si>
  <si>
    <t>Passivo Circulante</t>
  </si>
  <si>
    <t>2.01.01</t>
  </si>
  <si>
    <t>Obrigações Sociais e Trabalhistas</t>
  </si>
  <si>
    <t>2.01.02</t>
  </si>
  <si>
    <t>Fornecedores</t>
  </si>
  <si>
    <t>2.01.03</t>
  </si>
  <si>
    <t>Obrigações Fiscais</t>
  </si>
  <si>
    <t>2.01.04</t>
  </si>
  <si>
    <t>Empréstimos e Financiamentos</t>
  </si>
  <si>
    <t>2.01.05</t>
  </si>
  <si>
    <t>Outras Obrigações</t>
  </si>
  <si>
    <t>2.01.06</t>
  </si>
  <si>
    <t>Provisões</t>
  </si>
  <si>
    <t>2.01.07</t>
  </si>
  <si>
    <t>Passivos sobre Ativos Não-Correntes a Venda e Descontinuados</t>
  </si>
  <si>
    <t>2.02</t>
  </si>
  <si>
    <t>Passivo Não Circulante</t>
  </si>
  <si>
    <t>2.02.01</t>
  </si>
  <si>
    <t>2.02.02</t>
  </si>
  <si>
    <t>2.02.03</t>
  </si>
  <si>
    <t>Tributos Diferidos</t>
  </si>
  <si>
    <t>2.02.04</t>
  </si>
  <si>
    <t>2.02.05</t>
  </si>
  <si>
    <t>2.02.06</t>
  </si>
  <si>
    <t>Lucros e Receitas a Apropriar</t>
  </si>
  <si>
    <t>2.03</t>
  </si>
  <si>
    <t>Patrimônio Líquido Consolidado</t>
  </si>
  <si>
    <t>2.03.01</t>
  </si>
  <si>
    <t>Capital Social Realizado</t>
  </si>
  <si>
    <t>2.03.02</t>
  </si>
  <si>
    <t>Reservas de Capital</t>
  </si>
  <si>
    <t>2.03.03</t>
  </si>
  <si>
    <t>Reservas de Reavaliação</t>
  </si>
  <si>
    <t>2.03.04</t>
  </si>
  <si>
    <t>Reservas de Lucros</t>
  </si>
  <si>
    <t>2.03.05</t>
  </si>
  <si>
    <t>Lucros/Prejuízos Acumulados</t>
  </si>
  <si>
    <t>2.03.06</t>
  </si>
  <si>
    <t>Ajustes de Avaliação Patrimonial</t>
  </si>
  <si>
    <t>2.03.07</t>
  </si>
  <si>
    <t>Ajustes Acumulados de Conversão</t>
  </si>
  <si>
    <t>2.03.08</t>
  </si>
  <si>
    <t>Outros Resultados Abrangentes</t>
  </si>
  <si>
    <t>2.03.09</t>
  </si>
  <si>
    <t>Participação dos Acionistas Não Controladores</t>
  </si>
  <si>
    <t>30/09/2019"</t>
  </si>
  <si>
    <t>30/09/2018"</t>
  </si>
  <si>
    <t>30/09/2017"</t>
  </si>
  <si>
    <t>30/09/2016"</t>
  </si>
  <si>
    <t>30/09/2015"</t>
  </si>
  <si>
    <t>30/09/2014"</t>
  </si>
  <si>
    <t>3.01</t>
  </si>
  <si>
    <t>Receita de Venda de Bens e/ou Serviços</t>
  </si>
  <si>
    <t>3.02</t>
  </si>
  <si>
    <t>Custo dos Bens e/ou Serviços Vendidos</t>
  </si>
  <si>
    <t>3.03</t>
  </si>
  <si>
    <t>Resultado Bruto</t>
  </si>
  <si>
    <t>3.04</t>
  </si>
  <si>
    <t>Despesas/Receitas Operacionais</t>
  </si>
  <si>
    <t>3.04.01</t>
  </si>
  <si>
    <t>Despesas com Vendas</t>
  </si>
  <si>
    <t>3.04.02</t>
  </si>
  <si>
    <t>Despesas Gerais e Administrativas</t>
  </si>
  <si>
    <t>3.04.03</t>
  </si>
  <si>
    <t>Perdas pela Não Recuperabilidade de Ativos</t>
  </si>
  <si>
    <t>3.04.04</t>
  </si>
  <si>
    <t>Outras Receitas Operacionais</t>
  </si>
  <si>
    <t>3.04.05</t>
  </si>
  <si>
    <t>Outras Despesas Operacionais</t>
  </si>
  <si>
    <t>3.04.06</t>
  </si>
  <si>
    <t>Resultado de Equivalência Patrimonial</t>
  </si>
  <si>
    <t>3.05</t>
  </si>
  <si>
    <t>Resultado Antes do Resultado Financeiro e dos Tributos</t>
  </si>
  <si>
    <t>3.06</t>
  </si>
  <si>
    <t>Resultado Financeiro</t>
  </si>
  <si>
    <t>3.06.01</t>
  </si>
  <si>
    <t>Receitas Financeiras</t>
  </si>
  <si>
    <t>3.06.02</t>
  </si>
  <si>
    <t>Despesas Financeiras</t>
  </si>
  <si>
    <t>3.07</t>
  </si>
  <si>
    <t>Resultado Antes dos Tributos sobre o Lucro</t>
  </si>
  <si>
    <t>3.08</t>
  </si>
  <si>
    <t>Imposto de Renda e Contribuição Social sobre o Lucro</t>
  </si>
  <si>
    <t>3.08.01</t>
  </si>
  <si>
    <t>Corrente</t>
  </si>
  <si>
    <t>3.08.02</t>
  </si>
  <si>
    <t>Diferido</t>
  </si>
  <si>
    <t>3.09</t>
  </si>
  <si>
    <t>Resultado Líquido das Operações Continuadas</t>
  </si>
  <si>
    <t>3.10</t>
  </si>
  <si>
    <t>Resultado Líquido de Operações Descontinuadas</t>
  </si>
  <si>
    <t>3.10.01</t>
  </si>
  <si>
    <t>Lucro/Prejuízo Líquido das Operações Descontinuadas</t>
  </si>
  <si>
    <t>3.10.02</t>
  </si>
  <si>
    <t>Ganhos/Perdas Líquidas sobre Ativos de Operações Descontinuadas</t>
  </si>
  <si>
    <t>3.11</t>
  </si>
  <si>
    <t>Lucro/Prejuízo Consolidado do Período</t>
  </si>
  <si>
    <t>3.11.01</t>
  </si>
  <si>
    <t>Atribuído a Sócios da Empresa Controladora</t>
  </si>
  <si>
    <t>3.11.02</t>
  </si>
  <si>
    <t>Atribuído a Sócios Não Controladores</t>
  </si>
  <si>
    <t>3.99</t>
  </si>
  <si>
    <t>Lucro por Ação - (Reais / Ação)</t>
  </si>
  <si>
    <t>3.99.01</t>
  </si>
  <si>
    <t>Lucro Básico por Ação</t>
  </si>
  <si>
    <t>3.99.02</t>
  </si>
  <si>
    <t>Lucro Diluído por Ação</t>
  </si>
  <si>
    <t>6.01</t>
  </si>
  <si>
    <t>Caixa Líquido Atividades Operacionais</t>
  </si>
  <si>
    <t>6.01.01</t>
  </si>
  <si>
    <t>Caixa Gerado nas Operações</t>
  </si>
  <si>
    <t>6.01.02</t>
  </si>
  <si>
    <t>Variações nos Ativos e Passivos</t>
  </si>
  <si>
    <t>6.01.03</t>
  </si>
  <si>
    <t>Outros</t>
  </si>
  <si>
    <t>6.02</t>
  </si>
  <si>
    <t>Caixa Líquido Atividades de Investimento</t>
  </si>
  <si>
    <t>6.02.01</t>
  </si>
  <si>
    <t>Aquisições de bens do ativo imobilizado e intangível</t>
  </si>
  <si>
    <t>6.02.02</t>
  </si>
  <si>
    <t>(Aumento)/Redução de investimentos permanentes</t>
  </si>
  <si>
    <t>6.02.03</t>
  </si>
  <si>
    <t>Depósitos e bloqueios judiciais</t>
  </si>
  <si>
    <t>6.02.04</t>
  </si>
  <si>
    <t>Resgates judiciais de depósitos e bloqueios judiciais</t>
  </si>
  <si>
    <t>6.03</t>
  </si>
  <si>
    <t>Caixa Líquido Atividades de Financiamento</t>
  </si>
  <si>
    <t>6.03.01</t>
  </si>
  <si>
    <t>Pagamento de principal de empréstimos e financiamentos e derivativos</t>
  </si>
  <si>
    <t>6.03.02</t>
  </si>
  <si>
    <t>Recebimento de operações de instrumentos financeiros derivativos</t>
  </si>
  <si>
    <t>6.03.03</t>
  </si>
  <si>
    <t>Aumento de capital</t>
  </si>
  <si>
    <t>6.03.04</t>
  </si>
  <si>
    <t>Prêmio de compromisso a investidores</t>
  </si>
  <si>
    <t>6.03.05</t>
  </si>
  <si>
    <t>Autorizações e concessões</t>
  </si>
  <si>
    <t>6.03.06</t>
  </si>
  <si>
    <t>Programa de refinanciamento fiscal</t>
  </si>
  <si>
    <t>6.03.07</t>
  </si>
  <si>
    <t>Pagamento de dividendos e juros sobre o capital próprio</t>
  </si>
  <si>
    <t>6.03.08</t>
  </si>
  <si>
    <t>Arrendamento</t>
  </si>
  <si>
    <t>6.03.09</t>
  </si>
  <si>
    <t>Recompra de ações</t>
  </si>
  <si>
    <t>6.04</t>
  </si>
  <si>
    <t>Variação Cambial s/ Caixa e Equivalentes</t>
  </si>
  <si>
    <t>6.05</t>
  </si>
  <si>
    <t>Aumento (Redução) de Caixa e Equivalentes</t>
  </si>
  <si>
    <t>6.05.01</t>
  </si>
  <si>
    <t>Saldo Inicial de Caixa e Equivalentes</t>
  </si>
  <si>
    <t>6.05.02</t>
  </si>
  <si>
    <t>Saldo Final de Caixa e Equivalentes</t>
  </si>
  <si>
    <t>BALANÇO GERENCIAL</t>
  </si>
  <si>
    <t>Capital Investido ou Ativos Líquidos</t>
  </si>
  <si>
    <t>· Caixa e equivalentes de caixa</t>
  </si>
  <si>
    <t>· Necessidades de capital de Giro (NCG)</t>
  </si>
  <si>
    <t>· Ativos Fixos Líquidos</t>
  </si>
  <si>
    <t>Capital Investido total ou Ativos Líquidos Totais</t>
  </si>
  <si>
    <t>Capital Aplicado ou Fontes de recursos</t>
  </si>
  <si>
    <t>· Dívidas de curto prazo</t>
  </si>
  <si>
    <t>· Financiamento de Longo Prazo</t>
  </si>
  <si>
    <t>Dívidas de Longo Prazo</t>
  </si>
  <si>
    <t>Patrimônio dos Acionistas</t>
  </si>
  <si>
    <t>Capital Aplicado Total</t>
  </si>
  <si>
    <t>AC operacional</t>
  </si>
  <si>
    <t>PC operacional</t>
  </si>
  <si>
    <t>Medidas de Liquidez Tradicionais</t>
  </si>
  <si>
    <t>Capital de Giro Líquido = Financiamentos de Longo Prazo - Ativos Fixos Líquidos=</t>
  </si>
  <si>
    <t>Capital de Giro Líquido = Ativo Circulante - Passivo Circulante=</t>
  </si>
  <si>
    <t>Índice de Liquidez Corrente= Ativos Circulantes/Passivos Circulantes</t>
  </si>
  <si>
    <t>Índice de Liquidez Seca (Acid Test)= (Ativos Circulantes - Estoques)/Passivos Circulantes</t>
  </si>
  <si>
    <t>Investimento Líquido no ciclo operacional ou em necessidades de capital de giro (NCG)</t>
  </si>
  <si>
    <t>NCG=</t>
  </si>
  <si>
    <t>Financiamento do Ciclo Operacional</t>
  </si>
  <si>
    <t>FLLP = Dívidas de Longo Prazo + Patrimônio dos acionistas - Ativos Fixos Líquidos</t>
  </si>
  <si>
    <t>Liquidez = FLLP/NCG</t>
  </si>
  <si>
    <t>Gestão do Ciclo Operacional</t>
  </si>
  <si>
    <t>NCG/Receita Líquida Operacional=</t>
  </si>
  <si>
    <t>Giro de estoques = CPV/Estoques</t>
  </si>
  <si>
    <t>Prazo médio de estoques= 365/Giro = Estoques*365/CPV</t>
  </si>
  <si>
    <t>Prazo médio de recebimento= contas a receber de clientes/vendas diárias médias</t>
  </si>
  <si>
    <t>Prazo médio de pagamento= contas a pagar a fornecedores/compras diárias médias</t>
  </si>
  <si>
    <t>Ciclo de caixa= Prazo médio estoques + PM de recebimento-PM de pagamento</t>
  </si>
  <si>
    <t>Compras=CPV+ (Estoques finais-estoques iniciais)</t>
  </si>
  <si>
    <t>EMPRESA: OIBR4</t>
  </si>
  <si>
    <t>Demonstrativo: Fluxo de Caixa Livre</t>
  </si>
  <si>
    <t>Período: 2014 - 2019</t>
  </si>
  <si>
    <t>Fluxo de Caixa Livre</t>
  </si>
  <si>
    <t>Lucro Antes de Juros e Impostos (LAJI) ou (EBIT)</t>
  </si>
  <si>
    <t xml:space="preserve">         (-) Despesas com Imposto sobre LAJI    (Tc = 34%)</t>
  </si>
  <si>
    <t>Lucro Antes de Juros e Depois dos Impostos (NOPAT)</t>
  </si>
  <si>
    <t xml:space="preserve">         (+) Despesas de depreciação</t>
  </si>
  <si>
    <t xml:space="preserve">         (-) Variação das Necessidades de Capital de Giro</t>
  </si>
  <si>
    <t xml:space="preserve">         (-) Gastos líquidos de capital (CAPEX)</t>
  </si>
  <si>
    <t>Fluxos de Caixa Livre da Empresa</t>
  </si>
  <si>
    <t>Retorno sobre o Capital Próprio (ROE)</t>
  </si>
  <si>
    <t>ROE= LDI/PA</t>
  </si>
  <si>
    <t>Lucro Depois do Imposto (LDI) ou Lucro Líquido</t>
  </si>
  <si>
    <t>Patrimônio Líquido dos Acionistas ou PL</t>
  </si>
  <si>
    <t>Retorno sobre o Capital Investido antes do imposto (ROICbt)</t>
  </si>
  <si>
    <t>ROICbt= LAJI/Capital Investido</t>
  </si>
  <si>
    <t>Lucro Antes dos Juros e do Imposto (LAJI ou EBIT)</t>
  </si>
  <si>
    <t>Capital Investido</t>
  </si>
  <si>
    <t>Retorno sobre o Capital Investido (ROICbt)</t>
  </si>
  <si>
    <t>Fatores determinantes da rentabilidade operacional (outra forma de calcular o ROICbt)</t>
  </si>
  <si>
    <t>ROICbt= Margem de lucro operacional x Giro do Capital</t>
  </si>
  <si>
    <t>Margem de Lucro Operacional = EBIT/Receita Operac. Líq.</t>
  </si>
  <si>
    <t>Giro de Capital = Receita Operac. Líq./Capital Investido</t>
  </si>
  <si>
    <t>Fatores determinantes da rentabilidade do Capital Próprio</t>
  </si>
  <si>
    <t>Efeitos das Decisões de Financiamento</t>
  </si>
  <si>
    <t>Índice de custo Financeiro = EBT / EBIT</t>
  </si>
  <si>
    <t>Índice de Estrutura Financeira= Capital Investido/PL</t>
  </si>
  <si>
    <t>Multiplicador Financeiro = Índ. Custo Finac. X Índ. Estrutura Fin.</t>
  </si>
  <si>
    <t>Índice de Efeito Fiscal = EAT/EBT = 1 - alíquota efetiva de imposto</t>
  </si>
  <si>
    <t>ROE = ROICbt x Mutiplicador Financeiro x (1 - alíquota efet. Imposto)</t>
  </si>
  <si>
    <t>Outras medidas populares</t>
  </si>
  <si>
    <t>Índice de Cobertura de Juros = EBIT/Despesas Financeiras</t>
  </si>
  <si>
    <t>Quociente de Capital de terceiros e capital próprio</t>
  </si>
  <si>
    <t>Quociente de Capital de terceiros e capital investido</t>
  </si>
  <si>
    <t>ROE - Retorno sobre capital próprio</t>
  </si>
  <si>
    <t>%</t>
  </si>
  <si>
    <t>ROICbt</t>
  </si>
  <si>
    <t>Multiplicador alavancagem Fin</t>
  </si>
  <si>
    <t>Efeito Fiscal</t>
  </si>
  <si>
    <t>EAT</t>
  </si>
  <si>
    <t>Margem de lucro operacional</t>
  </si>
  <si>
    <t>Giro do Capital</t>
  </si>
  <si>
    <t>Índice de Estrutura Financeira</t>
  </si>
  <si>
    <t>Índice de Custo Financeiro</t>
  </si>
  <si>
    <t>Vendas</t>
  </si>
  <si>
    <t>Custo e Despesas operacionais</t>
  </si>
  <si>
    <t>EBIT</t>
  </si>
  <si>
    <t>Capital investido</t>
  </si>
  <si>
    <t>EBT</t>
  </si>
  <si>
    <t>Caixa</t>
  </si>
  <si>
    <t>NCG</t>
  </si>
  <si>
    <t>Ativos fixos</t>
  </si>
  <si>
    <t>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</si>
</sst>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_-* #,##0.00_-;\-* #,##0.00_-;_-* &quot;-&quot;??_-;_-@"/>
    <numFmt numFmtId="166" formatCode="dd/mm/yyyy"/>
  </numFmts>
  <fonts count="15">
    <font>
      <sz val="11.0"/>
      <color theme="1"/>
      <name val="Arial"/>
    </font>
    <font>
      <b/>
      <sz val="14.0"/>
      <color theme="1"/>
      <name val="Calibri"/>
    </font>
    <font>
      <b/>
      <sz val="12.0"/>
      <color theme="1"/>
      <name val="Calibri"/>
    </font>
    <font>
      <b/>
      <sz val="8.0"/>
      <color theme="0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Symbol"/>
    </font>
    <font>
      <sz val="11.0"/>
      <color rgb="FF000000"/>
      <name val="Inconsolata"/>
    </font>
    <font>
      <b/>
      <sz val="12.0"/>
      <color rgb="FF000000"/>
      <name val="Calibri"/>
    </font>
    <font>
      <b/>
      <sz val="12.0"/>
      <color rgb="FFFFFFFF"/>
      <name val="Calibri"/>
    </font>
    <font>
      <b/>
      <sz val="8.0"/>
      <color rgb="FFFFFFFF"/>
      <name val="Calibri"/>
    </font>
    <font>
      <b/>
      <sz val="11.0"/>
      <color theme="1"/>
      <name val="Calibri"/>
    </font>
    <font>
      <sz val="11.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2F75B5"/>
        <bgColor rgb="FF2F75B5"/>
      </patternFill>
    </fill>
    <fill>
      <patternFill patternType="solid">
        <fgColor rgb="FF9BC2E6"/>
        <bgColor rgb="FF9BC2E6"/>
      </patternFill>
    </fill>
    <fill>
      <patternFill patternType="solid">
        <fgColor rgb="FFDDEBF7"/>
        <bgColor rgb="FFDDEBF7"/>
      </patternFill>
    </fill>
    <fill>
      <patternFill patternType="solid">
        <fgColor rgb="FFA6A6A6"/>
        <bgColor rgb="FFA6A6A6"/>
      </patternFill>
    </fill>
    <fill>
      <patternFill patternType="solid">
        <fgColor rgb="FFFF0000"/>
        <bgColor rgb="FFFF0000"/>
      </patternFill>
    </fill>
    <fill>
      <patternFill patternType="solid">
        <fgColor rgb="FFFFE699"/>
        <bgColor rgb="FFFFE699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1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1" fillId="3" fontId="4" numFmtId="0" xfId="0" applyAlignment="1" applyBorder="1" applyFill="1" applyFont="1">
      <alignment horizontal="left"/>
    </xf>
    <xf borderId="0" fillId="0" fontId="5" numFmtId="0" xfId="0" applyFont="1"/>
    <xf borderId="0" fillId="0" fontId="4" numFmtId="3" xfId="0" applyFont="1" applyNumberFormat="1"/>
    <xf borderId="1" fillId="4" fontId="4" numFmtId="0" xfId="0" applyBorder="1" applyFill="1" applyFont="1"/>
    <xf borderId="1" fillId="5" fontId="4" numFmtId="0" xfId="0" applyBorder="1" applyFill="1" applyFont="1"/>
    <xf borderId="1" fillId="2" fontId="3" numFmtId="14" xfId="0" applyAlignment="1" applyBorder="1" applyFont="1" applyNumberFormat="1">
      <alignment horizontal="center" vertical="center"/>
    </xf>
    <xf borderId="0" fillId="0" fontId="6" numFmtId="3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2" fillId="6" fontId="7" numFmtId="0" xfId="0" applyAlignment="1" applyBorder="1" applyFill="1" applyFont="1">
      <alignment readingOrder="0" vertical="top"/>
    </xf>
    <xf borderId="3" fillId="6" fontId="7" numFmtId="164" xfId="0" applyAlignment="1" applyBorder="1" applyFont="1" applyNumberFormat="1">
      <alignment horizontal="center" readingOrder="0" vertical="top"/>
    </xf>
    <xf borderId="4" fillId="0" fontId="8" numFmtId="0" xfId="0" applyAlignment="1" applyBorder="1" applyFont="1">
      <alignment horizontal="left" readingOrder="0" vertical="top"/>
    </xf>
    <xf borderId="0" fillId="0" fontId="5" numFmtId="3" xfId="0" applyFont="1" applyNumberFormat="1"/>
    <xf borderId="0" fillId="7" fontId="5" numFmtId="3" xfId="0" applyFill="1" applyFont="1" applyNumberFormat="1"/>
    <xf borderId="5" fillId="8" fontId="7" numFmtId="0" xfId="0" applyAlignment="1" applyBorder="1" applyFill="1" applyFont="1">
      <alignment readingOrder="0" vertical="top"/>
    </xf>
    <xf borderId="6" fillId="8" fontId="7" numFmtId="3" xfId="0" applyAlignment="1" applyBorder="1" applyFont="1" applyNumberFormat="1">
      <alignment horizontal="right" readingOrder="0" vertical="top"/>
    </xf>
    <xf borderId="2" fillId="9" fontId="7" numFmtId="0" xfId="0" applyAlignment="1" applyBorder="1" applyFill="1" applyFont="1">
      <alignment readingOrder="0" vertical="top"/>
    </xf>
    <xf borderId="4" fillId="0" fontId="6" numFmtId="0" xfId="0" applyAlignment="1" applyBorder="1" applyFont="1">
      <alignment horizontal="left" readingOrder="0" vertical="top"/>
    </xf>
    <xf borderId="0" fillId="10" fontId="5" numFmtId="3" xfId="0" applyFill="1" applyFont="1" applyNumberFormat="1"/>
    <xf borderId="4" fillId="8" fontId="7" numFmtId="0" xfId="0" applyAlignment="1" applyBorder="1" applyFont="1">
      <alignment readingOrder="0" vertical="top"/>
    </xf>
    <xf borderId="7" fillId="8" fontId="7" numFmtId="3" xfId="0" applyAlignment="1" applyBorder="1" applyFont="1" applyNumberFormat="1">
      <alignment horizontal="right" readingOrder="0" vertical="top"/>
    </xf>
    <xf borderId="0" fillId="0" fontId="5" numFmtId="0" xfId="0" applyAlignment="1" applyFont="1">
      <alignment readingOrder="0"/>
    </xf>
    <xf borderId="0" fillId="10" fontId="9" numFmtId="3" xfId="0" applyFont="1" applyNumberFormat="1"/>
    <xf borderId="7" fillId="9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4" fillId="0" fontId="6" numFmtId="3" xfId="0" applyAlignment="1" applyBorder="1" applyFont="1" applyNumberForma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8" fillId="10" fontId="6" numFmtId="0" xfId="0" applyAlignment="1" applyBorder="1" applyFont="1">
      <alignment shrinkToFit="0" vertical="bottom" wrapText="0"/>
    </xf>
    <xf borderId="4" fillId="10" fontId="6" numFmtId="0" xfId="0" applyAlignment="1" applyBorder="1" applyFont="1">
      <alignment horizontal="right" readingOrder="0" shrinkToFit="0" vertical="bottom" wrapText="0"/>
    </xf>
    <xf borderId="4" fillId="7" fontId="6" numFmtId="0" xfId="0" applyAlignment="1" applyBorder="1" applyFont="1">
      <alignment horizontal="right" readingOrder="0" shrinkToFit="0" vertical="bottom" wrapText="0"/>
    </xf>
    <xf borderId="5" fillId="0" fontId="10" numFmtId="0" xfId="0" applyAlignment="1" applyBorder="1" applyFont="1">
      <alignment readingOrder="0" shrinkToFit="0" vertical="bottom" wrapText="0"/>
    </xf>
    <xf borderId="5" fillId="10" fontId="6" numFmtId="3" xfId="0" applyAlignment="1" applyBorder="1" applyFont="1" applyNumberFormat="1">
      <alignment horizontal="right" readingOrder="0"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4" fillId="10" fontId="6" numFmtId="3" xfId="0" applyAlignment="1" applyBorder="1" applyFont="1" applyNumberFormat="1">
      <alignment horizontal="right" readingOrder="0" shrinkToFit="0" vertical="bottom" wrapText="0"/>
    </xf>
    <xf borderId="4" fillId="10" fontId="6" numFmtId="9" xfId="0" applyAlignment="1" applyBorder="1" applyFont="1" applyNumberFormat="1">
      <alignment horizontal="right" readingOrder="0" shrinkToFit="0" vertical="bottom" wrapText="0"/>
    </xf>
    <xf borderId="4" fillId="7" fontId="6" numFmtId="9" xfId="0" applyAlignment="1" applyBorder="1" applyFont="1" applyNumberFormat="1">
      <alignment horizontal="right"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8" fillId="0" fontId="6" numFmtId="9" xfId="0" applyAlignment="1" applyBorder="1" applyFont="1" applyNumberFormat="1">
      <alignment horizontal="right" readingOrder="0" shrinkToFit="0" vertical="bottom" wrapText="0"/>
    </xf>
    <xf borderId="8" fillId="0" fontId="6" numFmtId="0" xfId="0" applyAlignment="1" applyBorder="1" applyFont="1">
      <alignment horizontal="right" readingOrder="0" shrinkToFit="0" vertical="bottom" wrapText="0"/>
    </xf>
    <xf borderId="8" fillId="0" fontId="6" numFmtId="3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7" fillId="0" fontId="4" numFmtId="0" xfId="0" applyAlignment="1" applyBorder="1" applyFont="1">
      <alignment vertical="bottom"/>
    </xf>
    <xf borderId="7" fillId="2" fontId="11" numFmtId="0" xfId="0" applyAlignment="1" applyBorder="1" applyFont="1">
      <alignment horizontal="center"/>
    </xf>
    <xf borderId="7" fillId="2" fontId="4" numFmtId="0" xfId="0" applyAlignment="1" applyBorder="1" applyFont="1">
      <alignment vertical="bottom"/>
    </xf>
    <xf borderId="7" fillId="2" fontId="12" numFmtId="14" xfId="0" applyAlignment="1" applyBorder="1" applyFont="1" applyNumberFormat="1">
      <alignment horizontal="center"/>
    </xf>
    <xf borderId="7" fillId="11" fontId="13" numFmtId="0" xfId="0" applyAlignment="1" applyBorder="1" applyFill="1" applyFont="1">
      <alignment vertical="bottom"/>
    </xf>
    <xf borderId="7" fillId="11" fontId="4" numFmtId="165" xfId="0" applyAlignment="1" applyBorder="1" applyFont="1" applyNumberFormat="1">
      <alignment horizontal="right" vertical="bottom"/>
    </xf>
    <xf borderId="7" fillId="0" fontId="4" numFmtId="165" xfId="0" applyAlignment="1" applyBorder="1" applyFont="1" applyNumberFormat="1">
      <alignment horizontal="right" vertical="bottom"/>
    </xf>
    <xf borderId="7" fillId="11" fontId="13" numFmtId="165" xfId="0" applyAlignment="1" applyBorder="1" applyFont="1" applyNumberFormat="1">
      <alignment horizontal="right" vertical="bottom"/>
    </xf>
    <xf borderId="0" fillId="0" fontId="7" numFmtId="0" xfId="0" applyAlignment="1" applyFont="1">
      <alignment readingOrder="0" shrinkToFit="0" vertical="bottom" wrapText="0"/>
    </xf>
    <xf borderId="7" fillId="12" fontId="7" numFmtId="0" xfId="0" applyAlignment="1" applyBorder="1" applyFill="1" applyFont="1">
      <alignment horizontal="left" readingOrder="0" vertical="top"/>
    </xf>
    <xf borderId="7" fillId="6" fontId="7" numFmtId="0" xfId="0" applyAlignment="1" applyBorder="1" applyFont="1">
      <alignment horizontal="center" vertical="top"/>
    </xf>
    <xf borderId="10" fillId="6" fontId="7" numFmtId="0" xfId="0" applyAlignment="1" applyBorder="1" applyFont="1">
      <alignment horizontal="center" vertical="top"/>
    </xf>
    <xf borderId="8" fillId="0" fontId="6" numFmtId="3" xfId="0" applyAlignment="1" applyBorder="1" applyFont="1" applyNumberFormat="1">
      <alignment horizontal="right" readingOrder="0" vertical="top"/>
    </xf>
    <xf borderId="4" fillId="0" fontId="7" numFmtId="0" xfId="0" applyAlignment="1" applyBorder="1" applyFont="1">
      <alignment horizontal="left" readingOrder="0" vertical="top"/>
    </xf>
    <xf borderId="8" fillId="10" fontId="7" numFmtId="10" xfId="0" applyAlignment="1" applyBorder="1" applyFont="1" applyNumberFormat="1">
      <alignment horizontal="right" readingOrder="0" vertical="top"/>
    </xf>
    <xf borderId="8" fillId="7" fontId="7" numFmtId="10" xfId="0" applyAlignment="1" applyBorder="1" applyFont="1" applyNumberFormat="1">
      <alignment horizontal="right" readingOrder="0" vertical="top"/>
    </xf>
    <xf borderId="4" fillId="10" fontId="7" numFmtId="0" xfId="0" applyAlignment="1" applyBorder="1" applyFont="1">
      <alignment horizontal="left" readingOrder="0" vertical="top"/>
    </xf>
    <xf borderId="0" fillId="0" fontId="6" numFmtId="10" xfId="0" applyAlignment="1" applyFont="1" applyNumberFormat="1">
      <alignment shrinkToFit="0" vertical="bottom" wrapText="0"/>
    </xf>
    <xf borderId="7" fillId="10" fontId="7" numFmtId="0" xfId="0" applyAlignment="1" applyBorder="1" applyFont="1">
      <alignment horizontal="left" readingOrder="0" shrinkToFit="0" vertical="top" wrapText="0"/>
    </xf>
    <xf borderId="8" fillId="10" fontId="6" numFmtId="10" xfId="0" applyAlignment="1" applyBorder="1" applyFont="1" applyNumberFormat="1">
      <alignment horizontal="right" readingOrder="0" vertical="top"/>
    </xf>
    <xf borderId="8" fillId="7" fontId="6" numFmtId="10" xfId="0" applyAlignment="1" applyBorder="1" applyFont="1" applyNumberFormat="1">
      <alignment horizontal="right" readingOrder="0" vertical="top"/>
    </xf>
    <xf borderId="8" fillId="10" fontId="6" numFmtId="0" xfId="0" applyAlignment="1" applyBorder="1" applyFont="1">
      <alignment horizontal="right" readingOrder="0" vertical="top"/>
    </xf>
    <xf borderId="8" fillId="0" fontId="7" numFmtId="10" xfId="0" applyAlignment="1" applyBorder="1" applyFont="1" applyNumberFormat="1">
      <alignment horizontal="right" readingOrder="0" vertical="top"/>
    </xf>
    <xf borderId="0" fillId="0" fontId="7" numFmtId="0" xfId="0" applyAlignment="1" applyFont="1">
      <alignment horizontal="left" readingOrder="0" vertical="top"/>
    </xf>
    <xf borderId="7" fillId="2" fontId="7" numFmtId="0" xfId="0" applyAlignment="1" applyBorder="1" applyFont="1">
      <alignment horizontal="left" readingOrder="0" vertical="top"/>
    </xf>
    <xf borderId="4" fillId="5" fontId="7" numFmtId="0" xfId="0" applyAlignment="1" applyBorder="1" applyFont="1">
      <alignment horizontal="left" readingOrder="0" vertical="top"/>
    </xf>
    <xf borderId="8" fillId="5" fontId="7" numFmtId="0" xfId="0" applyAlignment="1" applyBorder="1" applyFont="1">
      <alignment horizontal="right" vertical="top"/>
    </xf>
    <xf borderId="4" fillId="0" fontId="6" numFmtId="0" xfId="0" applyAlignment="1" applyBorder="1" applyFont="1">
      <alignment horizontal="left" readingOrder="0" shrinkToFit="0" vertical="bottom" wrapText="0"/>
    </xf>
    <xf borderId="8" fillId="10" fontId="6" numFmtId="0" xfId="0" applyAlignment="1" applyBorder="1" applyFont="1">
      <alignment horizontal="right" readingOrder="0" shrinkToFit="0" vertical="bottom" wrapText="0"/>
    </xf>
    <xf borderId="8" fillId="7" fontId="6" numFmtId="0" xfId="0" applyAlignment="1" applyBorder="1" applyFont="1">
      <alignment horizontal="right" readingOrder="0" shrinkToFit="0" vertical="bottom" wrapText="0"/>
    </xf>
    <xf borderId="4" fillId="5" fontId="7" numFmtId="0" xfId="0" applyAlignment="1" applyBorder="1" applyFont="1">
      <alignment horizontal="left" readingOrder="0" shrinkToFit="0" vertical="bottom" wrapText="0"/>
    </xf>
    <xf borderId="8" fillId="5" fontId="7" numFmtId="0" xfId="0" applyAlignment="1" applyBorder="1" applyFont="1">
      <alignment horizontal="right" readingOrder="0" shrinkToFit="0" vertical="bottom" wrapText="0"/>
    </xf>
    <xf borderId="8" fillId="10" fontId="7" numFmtId="10" xfId="0" applyAlignment="1" applyBorder="1" applyFont="1" applyNumberFormat="1">
      <alignment horizontal="right" readingOrder="0" shrinkToFit="0" vertical="bottom" wrapText="0"/>
    </xf>
    <xf borderId="8" fillId="7" fontId="7" numFmtId="10" xfId="0" applyAlignment="1" applyBorder="1" applyFont="1" applyNumberFormat="1">
      <alignment horizontal="right" readingOrder="0" shrinkToFit="0" vertical="bottom" wrapText="0"/>
    </xf>
    <xf borderId="7" fillId="2" fontId="6" numFmtId="0" xfId="0" applyAlignment="1" applyBorder="1" applyFont="1">
      <alignment horizontal="center" vertical="top"/>
    </xf>
    <xf borderId="10" fillId="0" fontId="6" numFmtId="0" xfId="0" applyAlignment="1" applyBorder="1" applyFont="1">
      <alignment shrinkToFit="0" vertical="bottom" wrapText="0"/>
    </xf>
    <xf borderId="8" fillId="0" fontId="6" numFmtId="166" xfId="0" applyAlignment="1" applyBorder="1" applyFont="1" applyNumberFormat="1">
      <alignment shrinkToFit="0" vertical="bottom" wrapText="0"/>
    </xf>
    <xf borderId="8" fillId="0" fontId="6" numFmtId="164" xfId="0" applyAlignment="1" applyBorder="1" applyFont="1" applyNumberForma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2" fontId="7" numFmtId="0" xfId="0" applyAlignment="1" applyFont="1">
      <alignment horizontal="center" readingOrder="0" shrinkToFit="0" vertical="bottom" wrapText="0"/>
    </xf>
    <xf borderId="0" fillId="13" fontId="4" numFmtId="10" xfId="0" applyAlignment="1" applyFill="1" applyFont="1" applyNumberFormat="1">
      <alignment horizontal="right" readingOrder="0" shrinkToFit="0" vertical="bottom" wrapText="0"/>
    </xf>
    <xf borderId="0" fillId="13" fontId="4" numFmtId="9" xfId="0" applyAlignment="1" applyFont="1" applyNumberFormat="1">
      <alignment horizontal="right" readingOrder="0" shrinkToFit="0" vertical="bottom" wrapText="0"/>
    </xf>
    <xf borderId="0" fillId="13" fontId="4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vertical="bottom"/>
    </xf>
    <xf borderId="0" fillId="13" fontId="14" numFmtId="9" xfId="0" applyAlignment="1" applyFont="1" applyNumberFormat="1">
      <alignment horizontal="right" readingOrder="0" shrinkToFit="0" vertical="bottom" wrapText="0"/>
    </xf>
    <xf borderId="0" fillId="13" fontId="6" numFmtId="3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2" fontId="7" numFmtId="0" xfId="0" applyAlignment="1" applyFont="1">
      <alignment horizontal="center" readingOrder="0" vertical="bottom"/>
    </xf>
    <xf borderId="0" fillId="13" fontId="7" numFmtId="3" xfId="0" applyAlignment="1" applyFont="1" applyNumberFormat="1">
      <alignment horizontal="right" readingOrder="0" vertical="bottom"/>
    </xf>
    <xf borderId="0" fillId="13" fontId="7" numFmtId="9" xfId="0" applyAlignment="1" applyFont="1" applyNumberFormat="1">
      <alignment horizontal="right" readingOrder="0" shrinkToFit="0" vertical="bottom" wrapText="0"/>
    </xf>
    <xf borderId="0" fillId="13" fontId="6" numFmtId="9" xfId="0" applyAlignment="1" applyFont="1" applyNumberFormat="1">
      <alignment horizontal="right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readingOrder="0" vertical="bottom"/>
    </xf>
    <xf borderId="7" fillId="0" fontId="7" numFmtId="0" xfId="0" applyAlignment="1" applyBorder="1" applyFont="1">
      <alignment readingOrder="0" vertical="bottom"/>
    </xf>
    <xf borderId="10" fillId="0" fontId="7" numFmtId="3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6.png"/><Relationship Id="rId6" Type="http://schemas.openxmlformats.org/officeDocument/2006/relationships/image" Target="../media/image5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5</xdr:row>
      <xdr:rowOff>57150</xdr:rowOff>
    </xdr:from>
    <xdr:ext cx="1466850" cy="5238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323850</xdr:colOff>
      <xdr:row>13</xdr:row>
      <xdr:rowOff>66675</xdr:rowOff>
    </xdr:from>
    <xdr:ext cx="1009650" cy="5810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609600</xdr:colOff>
      <xdr:row>0</xdr:row>
      <xdr:rowOff>123825</xdr:rowOff>
    </xdr:from>
    <xdr:ext cx="4171950" cy="49530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781050</xdr:colOff>
      <xdr:row>5</xdr:row>
      <xdr:rowOff>47625</xdr:rowOff>
    </xdr:from>
    <xdr:ext cx="1047750" cy="542925"/>
    <xdr:pic>
      <xdr:nvPicPr>
        <xdr:cNvPr id="0" name="image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485775</xdr:colOff>
      <xdr:row>12</xdr:row>
      <xdr:rowOff>190500</xdr:rowOff>
    </xdr:from>
    <xdr:ext cx="1943100" cy="704850"/>
    <xdr:pic>
      <xdr:nvPicPr>
        <xdr:cNvPr id="0" name="image6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352425</xdr:colOff>
      <xdr:row>10</xdr:row>
      <xdr:rowOff>85725</xdr:rowOff>
    </xdr:from>
    <xdr:ext cx="561975" cy="552450"/>
    <xdr:pic>
      <xdr:nvPicPr>
        <xdr:cNvPr id="0" name="image5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0</xdr:colOff>
      <xdr:row>5</xdr:row>
      <xdr:rowOff>0</xdr:rowOff>
    </xdr:from>
    <xdr:ext cx="942975" cy="552450"/>
    <xdr:pic>
      <xdr:nvPicPr>
        <xdr:cNvPr id="0" name="image7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54.38"/>
    <col customWidth="1" min="3" max="3" width="13.75"/>
    <col customWidth="1" min="4" max="5" width="12.88"/>
    <col customWidth="1" min="6" max="6" width="12.5"/>
    <col customWidth="1" min="7" max="7" width="12.0"/>
    <col customWidth="1" min="8" max="8" width="12.5"/>
    <col customWidth="1" min="9" max="26" width="7.63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/>
    <row r="5" ht="14.25" customHeight="1"/>
    <row r="6" ht="14.25" customHeight="1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</row>
    <row r="7" ht="14.25" customHeight="1">
      <c r="A7" s="4">
        <v>1.0</v>
      </c>
      <c r="B7" s="5" t="s">
        <v>11</v>
      </c>
      <c r="C7" s="6">
        <v>7.2866528E7</v>
      </c>
      <c r="D7" s="6">
        <v>6.5437797E7</v>
      </c>
      <c r="E7" s="6">
        <v>6.8639036E7</v>
      </c>
      <c r="F7" s="6">
        <v>8.2171198E7</v>
      </c>
      <c r="G7" s="6">
        <v>9.7014806E7</v>
      </c>
      <c r="H7" s="6">
        <v>1.02789122E8</v>
      </c>
    </row>
    <row r="8" ht="14.25" customHeight="1">
      <c r="A8" s="7" t="s">
        <v>12</v>
      </c>
      <c r="B8" s="5" t="s">
        <v>13</v>
      </c>
      <c r="C8" s="6">
        <v>2.0154514E7</v>
      </c>
      <c r="D8" s="6">
        <v>2.1313484E7</v>
      </c>
      <c r="E8" s="6">
        <v>2.3747748E7</v>
      </c>
      <c r="F8" s="6">
        <v>2.6706577E7</v>
      </c>
      <c r="G8" s="6">
        <v>3.8067009E7</v>
      </c>
      <c r="H8" s="6">
        <v>4.9286795E7</v>
      </c>
    </row>
    <row r="9" ht="14.25" customHeight="1">
      <c r="A9" s="8" t="s">
        <v>14</v>
      </c>
      <c r="B9" s="5" t="s">
        <v>15</v>
      </c>
      <c r="C9" s="6">
        <v>2978526.0</v>
      </c>
      <c r="D9" s="6">
        <v>4385329.0</v>
      </c>
      <c r="E9" s="6">
        <v>6862684.0</v>
      </c>
      <c r="F9" s="6">
        <v>7563251.0</v>
      </c>
      <c r="G9" s="6">
        <v>1.4898063E7</v>
      </c>
      <c r="H9" s="6">
        <v>2449206.0</v>
      </c>
    </row>
    <row r="10" ht="14.25" customHeight="1">
      <c r="A10" s="8" t="s">
        <v>16</v>
      </c>
      <c r="B10" s="5" t="s">
        <v>17</v>
      </c>
      <c r="C10" s="6">
        <v>178598.0</v>
      </c>
      <c r="D10" s="6">
        <v>201975.0</v>
      </c>
      <c r="E10" s="6">
        <v>21447.0</v>
      </c>
      <c r="F10" s="6">
        <v>116532.0</v>
      </c>
      <c r="G10" s="6">
        <v>1801720.0</v>
      </c>
      <c r="H10" s="6">
        <v>171415.0</v>
      </c>
    </row>
    <row r="11" ht="14.25" customHeight="1">
      <c r="A11" s="8" t="s">
        <v>18</v>
      </c>
      <c r="B11" s="5" t="s">
        <v>19</v>
      </c>
      <c r="C11" s="6">
        <v>6616234.0</v>
      </c>
      <c r="D11" s="6">
        <v>6516555.0</v>
      </c>
      <c r="E11" s="6">
        <v>7367442.0</v>
      </c>
      <c r="F11" s="6">
        <v>8347459.0</v>
      </c>
      <c r="G11" s="6">
        <v>8379719.0</v>
      </c>
      <c r="H11" s="6">
        <v>7450040.0</v>
      </c>
    </row>
    <row r="12" ht="14.25" customHeight="1">
      <c r="A12" s="8" t="s">
        <v>20</v>
      </c>
      <c r="B12" s="5" t="s">
        <v>21</v>
      </c>
      <c r="C12" s="6">
        <v>317933.0</v>
      </c>
      <c r="D12" s="6">
        <v>317503.0</v>
      </c>
      <c r="E12" s="6">
        <v>253624.0</v>
      </c>
      <c r="F12" s="6">
        <v>355002.0</v>
      </c>
      <c r="G12" s="6">
        <v>351993.0</v>
      </c>
      <c r="H12" s="6">
        <v>478499.0</v>
      </c>
    </row>
    <row r="13" ht="14.25" customHeight="1">
      <c r="A13" s="8" t="s">
        <v>22</v>
      </c>
      <c r="B13" s="5" t="s">
        <v>23</v>
      </c>
    </row>
    <row r="14" ht="14.25" customHeight="1">
      <c r="A14" s="8" t="s">
        <v>24</v>
      </c>
      <c r="B14" s="5" t="s">
        <v>25</v>
      </c>
      <c r="C14" s="6">
        <v>493385.0</v>
      </c>
      <c r="D14" s="6">
        <v>621246.0</v>
      </c>
      <c r="E14" s="6">
        <v>1123510.0</v>
      </c>
      <c r="F14" s="6">
        <v>1320904.0</v>
      </c>
      <c r="G14" s="6">
        <v>915573.0</v>
      </c>
      <c r="H14" s="6">
        <v>1097189.0</v>
      </c>
    </row>
    <row r="15" ht="14.25" customHeight="1">
      <c r="A15" s="8" t="s">
        <v>26</v>
      </c>
      <c r="B15" s="5" t="s">
        <v>27</v>
      </c>
      <c r="C15" s="6">
        <v>853670.0</v>
      </c>
      <c r="D15" s="6">
        <v>743953.0</v>
      </c>
      <c r="E15" s="6">
        <v>307162.0</v>
      </c>
      <c r="F15" s="6">
        <v>293689.0</v>
      </c>
    </row>
    <row r="16" ht="14.25" customHeight="1">
      <c r="A16" s="8" t="s">
        <v>28</v>
      </c>
      <c r="B16" s="5" t="s">
        <v>29</v>
      </c>
      <c r="C16" s="6">
        <v>8716168.0</v>
      </c>
      <c r="D16" s="6">
        <v>8526923.0</v>
      </c>
      <c r="E16" s="6">
        <v>7811879.0</v>
      </c>
      <c r="F16" s="6">
        <v>8709740.0</v>
      </c>
      <c r="G16" s="6">
        <v>1.1719941E7</v>
      </c>
      <c r="H16" s="6">
        <v>3.7640446E7</v>
      </c>
    </row>
    <row r="17" ht="14.25" customHeight="1">
      <c r="A17" s="7" t="s">
        <v>30</v>
      </c>
      <c r="B17" s="5" t="s">
        <v>31</v>
      </c>
      <c r="C17" s="6">
        <v>5.2712014E7</v>
      </c>
      <c r="D17" s="6">
        <v>4.4124313E7</v>
      </c>
      <c r="E17" s="6">
        <v>4.4891288E7</v>
      </c>
      <c r="F17" s="6">
        <v>5.5464621E7</v>
      </c>
      <c r="G17" s="6">
        <v>5.8947797E7</v>
      </c>
      <c r="H17" s="6">
        <v>5.3502327E7</v>
      </c>
    </row>
    <row r="18" ht="14.25" customHeight="1">
      <c r="A18" s="8" t="s">
        <v>32</v>
      </c>
      <c r="B18" s="5" t="s">
        <v>33</v>
      </c>
      <c r="C18" s="6">
        <v>1.1145839E7</v>
      </c>
      <c r="D18" s="6">
        <v>8632464.0</v>
      </c>
      <c r="E18" s="6">
        <v>9415446.0</v>
      </c>
      <c r="F18" s="6">
        <v>1.7887509E7</v>
      </c>
      <c r="G18" s="6">
        <v>2.9993945E7</v>
      </c>
      <c r="H18" s="6">
        <v>2.3992912E7</v>
      </c>
    </row>
    <row r="19" ht="14.25" customHeight="1">
      <c r="A19" s="8" t="s">
        <v>34</v>
      </c>
      <c r="B19" s="5" t="s">
        <v>35</v>
      </c>
      <c r="C19" s="6">
        <v>118184.0</v>
      </c>
      <c r="D19" s="6">
        <v>117840.0</v>
      </c>
      <c r="E19" s="6">
        <v>136510.0</v>
      </c>
      <c r="F19" s="6">
        <v>135652.0</v>
      </c>
      <c r="G19" s="6">
        <v>154890.0</v>
      </c>
      <c r="H19" s="6">
        <v>148411.0</v>
      </c>
    </row>
    <row r="20" ht="14.25" customHeight="1">
      <c r="A20" s="8" t="s">
        <v>36</v>
      </c>
      <c r="B20" s="5" t="s">
        <v>37</v>
      </c>
      <c r="C20" s="6">
        <v>3.8506466E7</v>
      </c>
      <c r="D20" s="6">
        <v>2.8425563E7</v>
      </c>
      <c r="E20" s="6">
        <v>2.6988647E7</v>
      </c>
      <c r="F20" s="6">
        <v>2.6268167E7</v>
      </c>
      <c r="G20" s="6">
        <v>2.5497191E7</v>
      </c>
      <c r="H20" s="6">
        <v>2.5670026E7</v>
      </c>
    </row>
    <row r="21" ht="14.25" customHeight="1">
      <c r="A21" s="8" t="s">
        <v>38</v>
      </c>
      <c r="B21" s="5" t="s">
        <v>39</v>
      </c>
      <c r="C21" s="6">
        <v>2941525.0</v>
      </c>
      <c r="D21" s="6">
        <v>6948446.0</v>
      </c>
      <c r="E21" s="6">
        <v>8350685.0</v>
      </c>
      <c r="F21" s="6">
        <v>1.1173293E7</v>
      </c>
      <c r="G21" s="6">
        <v>3301771.0</v>
      </c>
      <c r="H21" s="6">
        <v>3690978.0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54.38"/>
    <col customWidth="1" min="3" max="3" width="13.75"/>
    <col customWidth="1" min="4" max="5" width="12.88"/>
    <col customWidth="1" min="6" max="6" width="12.5"/>
    <col customWidth="1" min="7" max="7" width="12.0"/>
    <col customWidth="1" min="8" max="8" width="12.5"/>
    <col customWidth="1" min="9" max="26" width="7.63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/>
    <row r="5" ht="14.25" customHeight="1"/>
    <row r="6" ht="14.25" customHeight="1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</row>
    <row r="7" ht="14.25" customHeight="1">
      <c r="A7" s="4">
        <v>2.0</v>
      </c>
      <c r="B7" s="5" t="s">
        <v>40</v>
      </c>
      <c r="C7" s="6">
        <v>7.2866528E7</v>
      </c>
      <c r="D7" s="6">
        <v>6.5437797E7</v>
      </c>
      <c r="E7" s="6">
        <v>6.8639036E7</v>
      </c>
      <c r="F7" s="6">
        <v>8.2171198E7</v>
      </c>
      <c r="G7" s="6">
        <v>9.7014806E7</v>
      </c>
      <c r="H7" s="6">
        <v>1.02789122E8</v>
      </c>
    </row>
    <row r="8" ht="14.25" customHeight="1">
      <c r="A8" s="7" t="s">
        <v>41</v>
      </c>
      <c r="B8" s="5" t="s">
        <v>42</v>
      </c>
      <c r="C8" s="6">
        <v>1.1923361E7</v>
      </c>
      <c r="D8" s="6">
        <v>1.0689459E7</v>
      </c>
      <c r="E8" s="6">
        <v>6.7891607E7</v>
      </c>
      <c r="F8" s="6">
        <v>6.0749243E7</v>
      </c>
      <c r="G8" s="6">
        <v>2.5574071E7</v>
      </c>
      <c r="H8" s="6">
        <v>4.2556832E7</v>
      </c>
    </row>
    <row r="9" ht="14.25" customHeight="1">
      <c r="A9" s="8" t="s">
        <v>43</v>
      </c>
      <c r="B9" s="5" t="s">
        <v>44</v>
      </c>
      <c r="C9" s="6">
        <v>942472.0</v>
      </c>
      <c r="D9" s="6">
        <v>906655.0</v>
      </c>
      <c r="E9" s="6">
        <v>924560.0</v>
      </c>
      <c r="F9" s="6">
        <v>668498.0</v>
      </c>
      <c r="G9" s="6">
        <v>660415.0</v>
      </c>
      <c r="H9" s="6">
        <v>744439.0</v>
      </c>
    </row>
    <row r="10" ht="14.25" customHeight="1">
      <c r="A10" s="8" t="s">
        <v>45</v>
      </c>
      <c r="B10" s="5" t="s">
        <v>46</v>
      </c>
      <c r="C10" s="6">
        <v>5900431.0</v>
      </c>
      <c r="D10" s="6">
        <v>5225862.0</v>
      </c>
      <c r="E10" s="6">
        <v>7627169.0</v>
      </c>
      <c r="F10" s="6">
        <v>6360629.0</v>
      </c>
      <c r="G10" s="6">
        <v>5004833.0</v>
      </c>
      <c r="H10" s="6">
        <v>4336566.0</v>
      </c>
    </row>
    <row r="11" ht="14.25" customHeight="1">
      <c r="A11" s="8" t="s">
        <v>47</v>
      </c>
      <c r="B11" s="5" t="s">
        <v>48</v>
      </c>
      <c r="C11" s="6">
        <v>47012.0</v>
      </c>
      <c r="D11" s="6">
        <v>27026.0</v>
      </c>
      <c r="E11" s="6">
        <v>567129.0</v>
      </c>
      <c r="F11" s="6">
        <v>472959.0</v>
      </c>
      <c r="G11" s="6">
        <v>339624.0</v>
      </c>
      <c r="H11" s="6">
        <v>477282.0</v>
      </c>
    </row>
    <row r="12" ht="14.25" customHeight="1">
      <c r="A12" s="8" t="s">
        <v>49</v>
      </c>
      <c r="B12" s="5" t="s">
        <v>50</v>
      </c>
      <c r="C12" s="6">
        <v>138842.0</v>
      </c>
      <c r="D12" s="6">
        <v>672894.0</v>
      </c>
      <c r="E12" s="6">
        <v>5.4515233E7</v>
      </c>
      <c r="F12" s="6">
        <v>4.8086287E7</v>
      </c>
      <c r="G12" s="6">
        <v>1.1809598E7</v>
      </c>
      <c r="H12" s="6">
        <v>4463728.0</v>
      </c>
    </row>
    <row r="13" ht="14.25" customHeight="1">
      <c r="A13" s="8" t="s">
        <v>51</v>
      </c>
      <c r="B13" s="5" t="s">
        <v>52</v>
      </c>
      <c r="C13" s="6">
        <v>4379570.0</v>
      </c>
      <c r="D13" s="6">
        <v>3176480.0</v>
      </c>
      <c r="E13" s="6">
        <v>3232134.0</v>
      </c>
      <c r="F13" s="6">
        <v>4250569.0</v>
      </c>
      <c r="G13" s="6">
        <v>6594018.0</v>
      </c>
      <c r="H13" s="6">
        <v>3.1346634E7</v>
      </c>
    </row>
    <row r="14" ht="14.25" customHeight="1">
      <c r="A14" s="8" t="s">
        <v>53</v>
      </c>
      <c r="B14" s="5" t="s">
        <v>54</v>
      </c>
      <c r="C14" s="6">
        <v>515034.0</v>
      </c>
      <c r="D14" s="6">
        <v>680542.0</v>
      </c>
      <c r="E14" s="6">
        <v>1025382.0</v>
      </c>
      <c r="F14" s="6">
        <v>910301.0</v>
      </c>
      <c r="G14" s="6">
        <v>1165583.0</v>
      </c>
      <c r="H14" s="6">
        <v>1188183.0</v>
      </c>
    </row>
    <row r="15" ht="14.25" customHeight="1">
      <c r="A15" s="8" t="s">
        <v>55</v>
      </c>
      <c r="B15" s="5" t="s">
        <v>56</v>
      </c>
    </row>
    <row r="16" ht="14.25" customHeight="1">
      <c r="A16" s="7" t="s">
        <v>57</v>
      </c>
      <c r="B16" s="5" t="s">
        <v>58</v>
      </c>
      <c r="C16" s="6">
        <v>4.0862172E7</v>
      </c>
      <c r="D16" s="6">
        <v>3.1852527E7</v>
      </c>
      <c r="E16" s="6">
        <v>1.4259952E7</v>
      </c>
      <c r="F16" s="6">
        <v>8966349.0</v>
      </c>
      <c r="G16" s="6">
        <v>5.7034524E7</v>
      </c>
      <c r="H16" s="6">
        <v>4.0920801E7</v>
      </c>
    </row>
    <row r="17" ht="14.25" customHeight="1">
      <c r="A17" s="8" t="s">
        <v>59</v>
      </c>
      <c r="B17" s="5" t="s">
        <v>50</v>
      </c>
      <c r="C17" s="6">
        <v>1.7766446E7</v>
      </c>
      <c r="D17" s="6">
        <v>1.5777012E7</v>
      </c>
      <c r="E17" s="5">
        <v>0.0</v>
      </c>
      <c r="G17" s="6">
        <v>4.8047819E7</v>
      </c>
      <c r="H17" s="6">
        <v>3.1385667E7</v>
      </c>
    </row>
    <row r="18" ht="14.25" customHeight="1">
      <c r="A18" s="8" t="s">
        <v>60</v>
      </c>
      <c r="B18" s="5" t="s">
        <v>52</v>
      </c>
      <c r="C18" s="6">
        <v>1.7697495E7</v>
      </c>
      <c r="D18" s="6">
        <v>1.1138215E7</v>
      </c>
      <c r="E18" s="6">
        <v>3792385.0</v>
      </c>
      <c r="F18" s="6">
        <v>4412747.0</v>
      </c>
      <c r="G18" s="6">
        <v>5173302.0</v>
      </c>
      <c r="H18" s="6">
        <v>5115014.0</v>
      </c>
    </row>
    <row r="19" ht="14.25" customHeight="1">
      <c r="A19" s="8" t="s">
        <v>61</v>
      </c>
      <c r="B19" s="5" t="s">
        <v>62</v>
      </c>
      <c r="C19" s="6">
        <v>177116.0</v>
      </c>
      <c r="D19" s="5">
        <v>0.0</v>
      </c>
      <c r="E19" s="6">
        <v>3076923.0</v>
      </c>
    </row>
    <row r="20" ht="14.25" customHeight="1">
      <c r="A20" s="8" t="s">
        <v>63</v>
      </c>
      <c r="B20" s="5" t="s">
        <v>54</v>
      </c>
      <c r="C20" s="6">
        <v>5221115.0</v>
      </c>
      <c r="D20" s="6">
        <v>4937300.0</v>
      </c>
      <c r="E20" s="6">
        <v>7390644.0</v>
      </c>
      <c r="F20" s="6">
        <v>4553602.0</v>
      </c>
      <c r="G20" s="6">
        <v>3813403.0</v>
      </c>
      <c r="H20" s="6">
        <v>4420120.0</v>
      </c>
    </row>
    <row r="21" ht="14.25" customHeight="1">
      <c r="A21" s="8" t="s">
        <v>64</v>
      </c>
      <c r="B21" s="5" t="s">
        <v>56</v>
      </c>
    </row>
    <row r="22" ht="14.25" customHeight="1">
      <c r="A22" s="8" t="s">
        <v>65</v>
      </c>
      <c r="B22" s="5" t="s">
        <v>66</v>
      </c>
    </row>
    <row r="23" ht="14.25" customHeight="1">
      <c r="A23" s="7" t="s">
        <v>67</v>
      </c>
      <c r="B23" s="5" t="s">
        <v>68</v>
      </c>
      <c r="C23" s="6">
        <v>2.0080995E7</v>
      </c>
      <c r="D23" s="6">
        <v>2.2895811E7</v>
      </c>
      <c r="E23" s="6">
        <v>-1.3512523E7</v>
      </c>
      <c r="F23" s="6">
        <v>1.2455606E7</v>
      </c>
      <c r="G23" s="6">
        <v>1.4406211E7</v>
      </c>
      <c r="H23" s="6">
        <v>1.9311489E7</v>
      </c>
    </row>
    <row r="24" ht="14.25" customHeight="1">
      <c r="A24" s="8" t="s">
        <v>69</v>
      </c>
      <c r="B24" s="5" t="s">
        <v>70</v>
      </c>
      <c r="C24" s="6">
        <v>3.2538937E7</v>
      </c>
      <c r="D24" s="6">
        <v>3.2038471E7</v>
      </c>
      <c r="E24" s="6">
        <v>2.1438374E7</v>
      </c>
      <c r="F24" s="6">
        <v>2.1438374E7</v>
      </c>
      <c r="G24" s="6">
        <v>2.1438374E7</v>
      </c>
      <c r="H24" s="6">
        <v>2.143822E7</v>
      </c>
    </row>
    <row r="25" ht="14.25" customHeight="1">
      <c r="A25" s="8" t="s">
        <v>71</v>
      </c>
      <c r="B25" s="5" t="s">
        <v>72</v>
      </c>
      <c r="C25" s="6">
        <v>1.287389E7</v>
      </c>
      <c r="D25" s="6">
        <v>8729745.0</v>
      </c>
      <c r="E25" s="6">
        <v>7711282.0</v>
      </c>
      <c r="F25" s="6">
        <v>7711282.0</v>
      </c>
      <c r="G25" s="6">
        <v>1484911.0</v>
      </c>
      <c r="H25" s="6">
        <v>1610071.0</v>
      </c>
    </row>
    <row r="26" ht="14.25" customHeight="1">
      <c r="A26" s="8" t="s">
        <v>73</v>
      </c>
      <c r="B26" s="5" t="s">
        <v>74</v>
      </c>
    </row>
    <row r="27" ht="14.25" customHeight="1">
      <c r="A27" s="8" t="s">
        <v>75</v>
      </c>
      <c r="B27" s="5" t="s">
        <v>76</v>
      </c>
      <c r="H27" s="6">
        <v>1933354.0</v>
      </c>
    </row>
    <row r="28" ht="14.25" customHeight="1">
      <c r="A28" s="8" t="s">
        <v>77</v>
      </c>
      <c r="B28" s="5" t="s">
        <v>78</v>
      </c>
      <c r="C28" s="6">
        <v>-2.4465485E7</v>
      </c>
      <c r="D28" s="6">
        <v>-1.7530108E7</v>
      </c>
      <c r="E28" s="6">
        <v>-4.2335925E7</v>
      </c>
      <c r="F28" s="6">
        <v>-1.6849417E7</v>
      </c>
      <c r="G28" s="6">
        <v>-9672334.0</v>
      </c>
      <c r="H28" s="6">
        <v>-4024184.0</v>
      </c>
    </row>
    <row r="29" ht="14.25" customHeight="1">
      <c r="A29" s="8" t="s">
        <v>79</v>
      </c>
      <c r="B29" s="5" t="s">
        <v>80</v>
      </c>
      <c r="C29" s="6">
        <v>-793746.0</v>
      </c>
      <c r="D29" s="6">
        <v>-377429.0</v>
      </c>
      <c r="E29" s="6">
        <v>-519300.0</v>
      </c>
      <c r="F29" s="6">
        <v>-373513.0</v>
      </c>
      <c r="G29" s="6">
        <v>-373513.0</v>
      </c>
      <c r="H29" s="6">
        <v>-305676.0</v>
      </c>
    </row>
    <row r="30" ht="14.25" customHeight="1">
      <c r="A30" s="8" t="s">
        <v>81</v>
      </c>
      <c r="B30" s="5" t="s">
        <v>82</v>
      </c>
    </row>
    <row r="31" ht="14.25" customHeight="1">
      <c r="A31" s="8" t="s">
        <v>83</v>
      </c>
      <c r="B31" s="5" t="s">
        <v>84</v>
      </c>
      <c r="C31" s="6">
        <v>-236351.0</v>
      </c>
      <c r="D31" s="6">
        <v>-208359.0</v>
      </c>
      <c r="E31" s="6">
        <v>-100411.0</v>
      </c>
      <c r="F31" s="6">
        <v>-262117.0</v>
      </c>
      <c r="G31" s="6">
        <v>338226.0</v>
      </c>
      <c r="H31" s="6">
        <v>-2849493.0</v>
      </c>
    </row>
    <row r="32" ht="14.25" customHeight="1">
      <c r="A32" s="8" t="s">
        <v>85</v>
      </c>
      <c r="B32" s="5" t="s">
        <v>86</v>
      </c>
      <c r="C32" s="6">
        <v>163750.0</v>
      </c>
      <c r="D32" s="6">
        <v>243491.0</v>
      </c>
      <c r="E32" s="6">
        <v>293457.0</v>
      </c>
      <c r="F32" s="6">
        <v>790997.0</v>
      </c>
      <c r="G32" s="6">
        <v>1190547.0</v>
      </c>
      <c r="H32" s="6">
        <v>1509197.0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54.25"/>
    <col customWidth="1" min="3" max="3" width="12.88"/>
    <col customWidth="1" min="4" max="4" width="12.25"/>
    <col customWidth="1" min="5" max="5" width="12.5"/>
    <col customWidth="1" min="6" max="6" width="12.25"/>
    <col customWidth="1" min="7" max="7" width="12.13"/>
    <col customWidth="1" min="8" max="8" width="12.5"/>
    <col customWidth="1" min="9" max="26" width="7.63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/>
    <row r="5" ht="14.25" customHeight="1"/>
    <row r="6" ht="14.25" customHeight="1">
      <c r="A6" s="3" t="s">
        <v>3</v>
      </c>
      <c r="B6" s="3" t="s">
        <v>4</v>
      </c>
      <c r="C6" s="9">
        <v>43466.0</v>
      </c>
      <c r="D6" s="9">
        <v>43101.0</v>
      </c>
      <c r="E6" s="9">
        <v>42736.0</v>
      </c>
      <c r="F6" s="9">
        <v>42370.0</v>
      </c>
      <c r="G6" s="9">
        <v>42005.0</v>
      </c>
      <c r="H6" s="9">
        <v>41640.0</v>
      </c>
    </row>
    <row r="7" ht="14.25" customHeight="1">
      <c r="A7" s="3"/>
      <c r="B7" s="3"/>
      <c r="C7" s="3" t="s">
        <v>87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</row>
    <row r="8" ht="14.25" customHeight="1">
      <c r="A8" s="7" t="s">
        <v>93</v>
      </c>
      <c r="B8" s="5" t="s">
        <v>94</v>
      </c>
      <c r="C8" s="6">
        <v>1.5222613E7</v>
      </c>
      <c r="D8" s="6">
        <v>1.6694936E7</v>
      </c>
      <c r="E8" s="6">
        <v>1.7961943E7</v>
      </c>
      <c r="F8" s="6">
        <v>1.9673622E7</v>
      </c>
      <c r="G8" s="6">
        <v>2.0650685E7</v>
      </c>
      <c r="H8" s="6">
        <v>2.0924572E7</v>
      </c>
    </row>
    <row r="9" ht="14.25" customHeight="1">
      <c r="A9" s="7" t="s">
        <v>95</v>
      </c>
      <c r="B9" s="5" t="s">
        <v>96</v>
      </c>
      <c r="C9" s="10">
        <v>-1.1562503E7</v>
      </c>
      <c r="D9" s="6">
        <v>-1.2111143E7</v>
      </c>
      <c r="E9" s="6">
        <v>-1.1279998E7</v>
      </c>
      <c r="F9" s="6">
        <v>-1.2765351E7</v>
      </c>
      <c r="G9" s="6">
        <v>-1.1343217E7</v>
      </c>
      <c r="H9" s="6">
        <v>-1.1242837E7</v>
      </c>
    </row>
    <row r="10" ht="14.25" customHeight="1">
      <c r="A10" s="7" t="s">
        <v>97</v>
      </c>
      <c r="B10" s="5" t="s">
        <v>98</v>
      </c>
      <c r="C10" s="6">
        <v>3660110.0</v>
      </c>
      <c r="D10" s="6">
        <v>4583793.0</v>
      </c>
      <c r="E10" s="6">
        <v>6681945.0</v>
      </c>
      <c r="F10" s="6">
        <v>6908271.0</v>
      </c>
      <c r="G10" s="6">
        <v>9307468.0</v>
      </c>
      <c r="H10" s="6">
        <v>9681735.0</v>
      </c>
    </row>
    <row r="11" ht="14.25" customHeight="1">
      <c r="A11" s="7" t="s">
        <v>99</v>
      </c>
      <c r="B11" s="5" t="s">
        <v>100</v>
      </c>
      <c r="C11" s="6">
        <v>-6232366.0</v>
      </c>
      <c r="D11" s="6">
        <v>-4158425.0</v>
      </c>
      <c r="E11" s="6">
        <v>-5862229.0</v>
      </c>
      <c r="F11" s="6">
        <v>-6830873.0</v>
      </c>
      <c r="G11" s="6">
        <v>-6997133.0</v>
      </c>
      <c r="H11" s="6">
        <v>-6008087.0</v>
      </c>
    </row>
    <row r="12" ht="14.25" customHeight="1">
      <c r="A12" s="8" t="s">
        <v>101</v>
      </c>
      <c r="B12" s="5" t="s">
        <v>102</v>
      </c>
      <c r="C12" s="6">
        <v>-2689618.0</v>
      </c>
      <c r="D12" s="6">
        <v>-2753994.0</v>
      </c>
      <c r="E12" s="6">
        <v>-3272542.0</v>
      </c>
      <c r="F12" s="6">
        <v>-3263975.0</v>
      </c>
      <c r="G12" s="6">
        <v>-3576990.0</v>
      </c>
      <c r="H12" s="6">
        <v>-4246238.0</v>
      </c>
    </row>
    <row r="13" ht="14.25" customHeight="1">
      <c r="A13" s="8" t="s">
        <v>103</v>
      </c>
      <c r="B13" s="5" t="s">
        <v>104</v>
      </c>
      <c r="C13" s="6">
        <v>-2090203.0</v>
      </c>
      <c r="D13" s="6">
        <v>-2025032.0</v>
      </c>
      <c r="E13" s="6">
        <v>-2355178.0</v>
      </c>
      <c r="F13" s="6">
        <v>-2870929.0</v>
      </c>
      <c r="G13" s="6">
        <v>-2913124.0</v>
      </c>
      <c r="H13" s="6">
        <v>-2733159.0</v>
      </c>
    </row>
    <row r="14" ht="14.25" customHeight="1">
      <c r="A14" s="8" t="s">
        <v>105</v>
      </c>
      <c r="B14" s="5" t="s">
        <v>106</v>
      </c>
    </row>
    <row r="15" ht="14.25" customHeight="1">
      <c r="A15" s="8" t="s">
        <v>107</v>
      </c>
      <c r="B15" s="5" t="s">
        <v>108</v>
      </c>
      <c r="C15" s="6">
        <v>3257537.0</v>
      </c>
      <c r="D15" s="6">
        <v>1477638.0</v>
      </c>
      <c r="E15" s="6">
        <v>1792872.0</v>
      </c>
      <c r="F15" s="6">
        <v>1198339.0</v>
      </c>
      <c r="G15" s="6">
        <v>944356.0</v>
      </c>
      <c r="H15" s="6">
        <v>2669901.0</v>
      </c>
    </row>
    <row r="16" ht="14.25" customHeight="1">
      <c r="A16" s="8" t="s">
        <v>109</v>
      </c>
      <c r="B16" s="5" t="s">
        <v>110</v>
      </c>
      <c r="C16" s="6">
        <v>-4708553.0</v>
      </c>
      <c r="D16" s="6">
        <v>-843195.0</v>
      </c>
      <c r="E16" s="6">
        <v>-2028968.0</v>
      </c>
      <c r="F16" s="6">
        <v>-1892504.0</v>
      </c>
      <c r="G16" s="6">
        <v>-1435483.0</v>
      </c>
      <c r="H16" s="6">
        <v>-1694805.0</v>
      </c>
    </row>
    <row r="17" ht="14.25" customHeight="1">
      <c r="A17" s="8" t="s">
        <v>111</v>
      </c>
      <c r="B17" s="5" t="s">
        <v>112</v>
      </c>
      <c r="C17" s="6">
        <v>-1529.0</v>
      </c>
      <c r="D17" s="6">
        <v>-13842.0</v>
      </c>
      <c r="E17" s="6">
        <v>1587.0</v>
      </c>
      <c r="F17" s="6">
        <v>-1804.0</v>
      </c>
      <c r="G17" s="6">
        <v>-15892.0</v>
      </c>
      <c r="H17" s="6">
        <v>-3786.0</v>
      </c>
    </row>
    <row r="18" ht="14.25" customHeight="1">
      <c r="A18" s="7" t="s">
        <v>113</v>
      </c>
      <c r="B18" s="5" t="s">
        <v>114</v>
      </c>
      <c r="C18" s="6">
        <v>-2572256.0</v>
      </c>
      <c r="D18" s="6">
        <v>425368.0</v>
      </c>
      <c r="E18" s="6">
        <v>819716.0</v>
      </c>
      <c r="F18" s="6">
        <v>77398.0</v>
      </c>
      <c r="G18" s="6">
        <v>2310335.0</v>
      </c>
      <c r="H18" s="6">
        <v>3673648.0</v>
      </c>
    </row>
    <row r="19" ht="14.25" customHeight="1">
      <c r="A19" s="7" t="s">
        <v>115</v>
      </c>
      <c r="B19" s="5" t="s">
        <v>116</v>
      </c>
      <c r="C19" s="6">
        <v>-3951382.0</v>
      </c>
      <c r="D19" s="6">
        <v>2.7524961E7</v>
      </c>
      <c r="E19" s="6">
        <v>-5123655.0</v>
      </c>
      <c r="F19" s="6">
        <v>-2981796.0</v>
      </c>
      <c r="G19" s="6">
        <v>-4451608.0</v>
      </c>
      <c r="H19" s="6">
        <v>-3226564.0</v>
      </c>
    </row>
    <row r="20" ht="14.25" customHeight="1">
      <c r="A20" s="8" t="s">
        <v>117</v>
      </c>
      <c r="B20" s="5" t="s">
        <v>118</v>
      </c>
      <c r="C20" s="6">
        <v>2829768.0</v>
      </c>
      <c r="D20" s="6">
        <v>3.119556E7</v>
      </c>
      <c r="E20" s="6">
        <v>1786264.0</v>
      </c>
      <c r="F20" s="6">
        <v>1110052.0</v>
      </c>
      <c r="G20" s="6">
        <v>4881100.0</v>
      </c>
      <c r="H20" s="6">
        <v>1032526.0</v>
      </c>
    </row>
    <row r="21" ht="14.25" customHeight="1">
      <c r="A21" s="8" t="s">
        <v>119</v>
      </c>
      <c r="B21" s="5" t="s">
        <v>120</v>
      </c>
      <c r="C21" s="6">
        <v>-6781150.0</v>
      </c>
      <c r="D21" s="6">
        <v>-3670599.0</v>
      </c>
      <c r="E21" s="6">
        <v>-6909919.0</v>
      </c>
      <c r="F21" s="6">
        <v>-4091848.0</v>
      </c>
      <c r="G21" s="6">
        <v>-9332708.0</v>
      </c>
      <c r="H21" s="6">
        <v>-4259090.0</v>
      </c>
    </row>
    <row r="22" ht="14.25" customHeight="1">
      <c r="A22" s="7" t="s">
        <v>121</v>
      </c>
      <c r="B22" s="5" t="s">
        <v>122</v>
      </c>
      <c r="C22" s="6">
        <v>-6523638.0</v>
      </c>
      <c r="D22" s="6">
        <v>2.7950329E7</v>
      </c>
      <c r="E22" s="6">
        <v>-4303939.0</v>
      </c>
      <c r="F22" s="6">
        <v>-2904398.0</v>
      </c>
      <c r="G22" s="6">
        <v>-2141273.0</v>
      </c>
      <c r="H22" s="6">
        <v>447084.0</v>
      </c>
    </row>
    <row r="23" ht="14.25" customHeight="1">
      <c r="A23" s="7" t="s">
        <v>123</v>
      </c>
      <c r="B23" s="5" t="s">
        <v>124</v>
      </c>
      <c r="C23" s="6">
        <v>-290349.0</v>
      </c>
      <c r="D23" s="6">
        <v>7929.0</v>
      </c>
      <c r="E23" s="6">
        <v>-71695.0</v>
      </c>
      <c r="F23" s="6">
        <v>-910695.0</v>
      </c>
      <c r="G23" s="6">
        <v>258439.0</v>
      </c>
      <c r="H23" s="6">
        <v>-352008.0</v>
      </c>
    </row>
    <row r="24" ht="14.25" customHeight="1">
      <c r="A24" s="8" t="s">
        <v>125</v>
      </c>
      <c r="B24" s="5" t="s">
        <v>126</v>
      </c>
      <c r="C24" s="6">
        <v>-90183.0</v>
      </c>
      <c r="D24" s="6">
        <v>60869.0</v>
      </c>
      <c r="E24" s="6">
        <v>-755140.0</v>
      </c>
      <c r="F24" s="6">
        <v>-512981.0</v>
      </c>
      <c r="G24" s="6">
        <v>-626313.0</v>
      </c>
      <c r="H24" s="6">
        <v>-474001.0</v>
      </c>
    </row>
    <row r="25" ht="14.25" customHeight="1">
      <c r="A25" s="8" t="s">
        <v>127</v>
      </c>
      <c r="B25" s="5" t="s">
        <v>128</v>
      </c>
      <c r="C25" s="6">
        <v>-200166.0</v>
      </c>
      <c r="D25" s="6">
        <v>-52940.0</v>
      </c>
      <c r="E25" s="6">
        <v>683445.0</v>
      </c>
      <c r="F25" s="6">
        <v>-397714.0</v>
      </c>
      <c r="G25" s="6">
        <v>884752.0</v>
      </c>
      <c r="H25" s="6">
        <v>121993.0</v>
      </c>
    </row>
    <row r="26" ht="14.25" customHeight="1">
      <c r="A26" s="7" t="s">
        <v>129</v>
      </c>
      <c r="B26" s="5" t="s">
        <v>130</v>
      </c>
      <c r="C26" s="6">
        <v>-6813987.0</v>
      </c>
      <c r="D26" s="6">
        <v>2.7958258E7</v>
      </c>
      <c r="E26" s="6">
        <v>-4375634.0</v>
      </c>
      <c r="F26" s="6">
        <v>-3815093.0</v>
      </c>
      <c r="G26" s="6">
        <v>-1882834.0</v>
      </c>
      <c r="H26" s="6">
        <v>95076.0</v>
      </c>
    </row>
    <row r="27" ht="14.25" customHeight="1">
      <c r="A27" s="7" t="s">
        <v>131</v>
      </c>
      <c r="B27" s="5" t="s">
        <v>132</v>
      </c>
      <c r="G27" s="6">
        <v>1085910.0</v>
      </c>
      <c r="H27" s="6">
        <v>-80093.0</v>
      </c>
    </row>
    <row r="28" ht="14.25" customHeight="1">
      <c r="A28" s="8" t="s">
        <v>133</v>
      </c>
      <c r="B28" s="5" t="s">
        <v>134</v>
      </c>
      <c r="G28" s="6">
        <v>1085910.0</v>
      </c>
      <c r="H28" s="6">
        <v>-80093.0</v>
      </c>
    </row>
    <row r="29" ht="14.25" customHeight="1">
      <c r="A29" s="8" t="s">
        <v>135</v>
      </c>
      <c r="B29" s="5" t="s">
        <v>136</v>
      </c>
    </row>
    <row r="30" ht="14.25" customHeight="1">
      <c r="A30" s="7" t="s">
        <v>137</v>
      </c>
      <c r="B30" s="5" t="s">
        <v>138</v>
      </c>
      <c r="C30" s="6">
        <v>-6813987.0</v>
      </c>
      <c r="D30" s="6">
        <v>2.7958258E7</v>
      </c>
      <c r="E30" s="6">
        <v>-4375634.0</v>
      </c>
      <c r="F30" s="6">
        <v>-3815093.0</v>
      </c>
      <c r="G30" s="6">
        <v>-796924.0</v>
      </c>
      <c r="H30" s="6">
        <v>14983.0</v>
      </c>
    </row>
    <row r="31" ht="14.25" customHeight="1">
      <c r="A31" s="8" t="s">
        <v>139</v>
      </c>
      <c r="B31" s="5" t="s">
        <v>140</v>
      </c>
      <c r="C31" s="6">
        <v>-6737531.0</v>
      </c>
      <c r="D31" s="6">
        <v>2.7949292E7</v>
      </c>
      <c r="E31" s="6">
        <v>-4310636.0</v>
      </c>
      <c r="F31" s="6">
        <v>-3712624.0</v>
      </c>
      <c r="G31" s="6">
        <v>-762149.0</v>
      </c>
      <c r="H31" s="6">
        <v>14296.0</v>
      </c>
    </row>
    <row r="32" ht="14.25" customHeight="1">
      <c r="A32" s="8" t="s">
        <v>141</v>
      </c>
      <c r="B32" s="5" t="s">
        <v>142</v>
      </c>
      <c r="C32" s="6">
        <v>-76456.0</v>
      </c>
      <c r="D32" s="6">
        <v>8966.0</v>
      </c>
      <c r="E32" s="6">
        <v>-64998.0</v>
      </c>
      <c r="F32" s="6">
        <v>-102469.0</v>
      </c>
      <c r="G32" s="6">
        <v>-34775.0</v>
      </c>
      <c r="H32" s="5">
        <v>687.0</v>
      </c>
    </row>
    <row r="33" ht="14.25" customHeight="1">
      <c r="A33" s="7" t="s">
        <v>143</v>
      </c>
      <c r="B33" s="5" t="s">
        <v>144</v>
      </c>
    </row>
    <row r="34" ht="14.25" customHeight="1">
      <c r="A34" s="8" t="s">
        <v>145</v>
      </c>
      <c r="B34" s="5" t="s">
        <v>146</v>
      </c>
    </row>
    <row r="35" ht="14.25" customHeight="1">
      <c r="A35" s="8" t="s">
        <v>147</v>
      </c>
      <c r="B35" s="5" t="s">
        <v>148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54.25"/>
    <col customWidth="1" min="3" max="3" width="12.88"/>
    <col customWidth="1" min="4" max="4" width="12.25"/>
    <col customWidth="1" min="5" max="5" width="12.5"/>
    <col customWidth="1" min="6" max="6" width="12.25"/>
    <col customWidth="1" min="7" max="7" width="12.13"/>
    <col customWidth="1" min="8" max="8" width="12.5"/>
    <col customWidth="1" min="9" max="26" width="7.63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/>
    <row r="5" ht="14.25" customHeight="1"/>
    <row r="6" ht="14.25" customHeight="1">
      <c r="A6" s="3" t="s">
        <v>3</v>
      </c>
      <c r="B6" s="3" t="s">
        <v>4</v>
      </c>
      <c r="C6" s="9">
        <v>43466.0</v>
      </c>
      <c r="D6" s="9">
        <v>43101.0</v>
      </c>
      <c r="E6" s="9">
        <v>42736.0</v>
      </c>
      <c r="F6" s="9">
        <v>42370.0</v>
      </c>
      <c r="G6" s="9">
        <v>42005.0</v>
      </c>
      <c r="H6" s="9">
        <v>41640.0</v>
      </c>
    </row>
    <row r="7" ht="14.25" customHeight="1">
      <c r="A7" s="3"/>
      <c r="B7" s="3"/>
      <c r="C7" s="3" t="s">
        <v>87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</row>
    <row r="8" ht="14.25" customHeight="1">
      <c r="A8" s="7" t="s">
        <v>149</v>
      </c>
      <c r="B8" s="5" t="s">
        <v>150</v>
      </c>
      <c r="C8" s="6">
        <v>949000.0</v>
      </c>
      <c r="D8" s="6">
        <v>2251935.0</v>
      </c>
      <c r="E8" s="6">
        <v>3874512.0</v>
      </c>
      <c r="F8" s="6">
        <v>1481562.0</v>
      </c>
      <c r="G8" s="6">
        <v>-2588006.0</v>
      </c>
      <c r="H8" s="6">
        <v>3669014.0</v>
      </c>
    </row>
    <row r="9" ht="14.25" customHeight="1">
      <c r="A9" s="8" t="s">
        <v>151</v>
      </c>
      <c r="B9" s="5" t="s">
        <v>152</v>
      </c>
      <c r="C9" s="6">
        <v>4440516.0</v>
      </c>
      <c r="D9" s="6">
        <v>4711163.0</v>
      </c>
      <c r="E9" s="6">
        <v>4672652.0</v>
      </c>
      <c r="F9" s="6">
        <v>4993629.0</v>
      </c>
      <c r="G9" s="6">
        <v>5434357.0</v>
      </c>
      <c r="H9" s="6">
        <v>8410590.0</v>
      </c>
    </row>
    <row r="10" ht="14.25" customHeight="1">
      <c r="A10" s="8" t="s">
        <v>153</v>
      </c>
      <c r="B10" s="5" t="s">
        <v>154</v>
      </c>
      <c r="C10" s="6">
        <v>-2372341.0</v>
      </c>
      <c r="D10" s="6">
        <v>-1834006.0</v>
      </c>
      <c r="E10" s="6">
        <v>-461463.0</v>
      </c>
      <c r="F10" s="6">
        <v>-1010332.0</v>
      </c>
      <c r="G10" s="6">
        <v>-4770693.0</v>
      </c>
      <c r="H10" s="6">
        <v>-2181671.0</v>
      </c>
    </row>
    <row r="11" ht="14.25" customHeight="1">
      <c r="A11" s="8" t="s">
        <v>155</v>
      </c>
      <c r="B11" s="5" t="s">
        <v>156</v>
      </c>
      <c r="C11" s="6">
        <v>-1119175.0</v>
      </c>
      <c r="D11" s="6">
        <v>-625222.0</v>
      </c>
      <c r="E11" s="6">
        <v>-336677.0</v>
      </c>
      <c r="F11" s="6">
        <v>-2501735.0</v>
      </c>
      <c r="G11" s="6">
        <v>-3251670.0</v>
      </c>
      <c r="H11" s="6">
        <v>-2559905.0</v>
      </c>
    </row>
    <row r="12" ht="14.25" customHeight="1">
      <c r="A12" s="7" t="s">
        <v>157</v>
      </c>
      <c r="B12" s="5" t="s">
        <v>158</v>
      </c>
      <c r="C12" s="6">
        <v>-5034474.0</v>
      </c>
      <c r="D12" s="6">
        <v>-3703022.0</v>
      </c>
      <c r="E12" s="6">
        <v>-3227222.0</v>
      </c>
      <c r="F12" s="6">
        <v>-3045987.0</v>
      </c>
      <c r="G12" s="6">
        <v>1.3764143E7</v>
      </c>
      <c r="H12" s="6">
        <v>-3952158.0</v>
      </c>
    </row>
    <row r="13" ht="14.25" customHeight="1">
      <c r="A13" s="8" t="s">
        <v>159</v>
      </c>
      <c r="B13" s="5" t="s">
        <v>160</v>
      </c>
      <c r="C13" s="6">
        <v>-5245591.0</v>
      </c>
      <c r="D13" s="6">
        <v>-3884462.0</v>
      </c>
      <c r="E13" s="6">
        <v>-3338457.0</v>
      </c>
      <c r="F13" s="6">
        <v>-2381467.0</v>
      </c>
      <c r="G13" s="6">
        <v>-2715133.0</v>
      </c>
      <c r="H13" s="6">
        <v>-4093652.0</v>
      </c>
    </row>
    <row r="14" ht="14.25" customHeight="1">
      <c r="A14" s="8" t="s">
        <v>161</v>
      </c>
      <c r="B14" s="5" t="s">
        <v>162</v>
      </c>
      <c r="C14" s="6">
        <v>70048.0</v>
      </c>
      <c r="D14" s="6">
        <v>15122.0</v>
      </c>
      <c r="E14" s="6">
        <v>5144.0</v>
      </c>
      <c r="F14" s="6">
        <v>2327.0</v>
      </c>
      <c r="G14" s="6">
        <v>12096.0</v>
      </c>
      <c r="H14" s="6">
        <v>3281131.0</v>
      </c>
    </row>
    <row r="15" ht="14.25" customHeight="1">
      <c r="A15" s="8" t="s">
        <v>163</v>
      </c>
      <c r="B15" s="5" t="s">
        <v>164</v>
      </c>
      <c r="C15" s="6">
        <v>-395351.0</v>
      </c>
      <c r="D15" s="6">
        <v>-669840.0</v>
      </c>
      <c r="E15" s="6">
        <v>-132245.0</v>
      </c>
      <c r="F15" s="6">
        <v>-1484949.0</v>
      </c>
      <c r="G15" s="6">
        <v>1.7218275E7</v>
      </c>
      <c r="H15" s="6">
        <v>-1259652.0</v>
      </c>
    </row>
    <row r="16" ht="14.25" customHeight="1">
      <c r="A16" s="8" t="s">
        <v>165</v>
      </c>
      <c r="B16" s="5" t="s">
        <v>166</v>
      </c>
      <c r="C16" s="6">
        <v>536420.0</v>
      </c>
      <c r="D16" s="6">
        <v>836158.0</v>
      </c>
      <c r="E16" s="6">
        <v>238336.0</v>
      </c>
      <c r="F16" s="6">
        <v>818102.0</v>
      </c>
      <c r="G16" s="6">
        <v>-1540283.0</v>
      </c>
      <c r="H16" s="6">
        <v>443831.0</v>
      </c>
    </row>
    <row r="17" ht="14.25" customHeight="1">
      <c r="A17" s="7" t="s">
        <v>167</v>
      </c>
      <c r="B17" s="5" t="s">
        <v>168</v>
      </c>
      <c r="C17" s="6">
        <v>2678671.0</v>
      </c>
      <c r="D17" s="6">
        <v>-362288.0</v>
      </c>
      <c r="E17" s="6">
        <v>-609349.0</v>
      </c>
      <c r="F17" s="6">
        <v>-6127202.0</v>
      </c>
      <c r="G17" s="6">
        <v>782480.0</v>
      </c>
      <c r="H17" s="6">
        <v>1087904.0</v>
      </c>
    </row>
    <row r="18" ht="14.25" customHeight="1">
      <c r="A18" s="8" t="s">
        <v>169</v>
      </c>
      <c r="B18" s="5" t="s">
        <v>170</v>
      </c>
      <c r="C18" s="6">
        <v>-9435.0</v>
      </c>
      <c r="D18" s="6">
        <v>-161884.0</v>
      </c>
      <c r="E18" s="5">
        <v>-659.0</v>
      </c>
      <c r="G18" s="6">
        <v>201591.0</v>
      </c>
      <c r="H18" s="6">
        <v>-942257.0</v>
      </c>
    </row>
    <row r="19" ht="14.25" customHeight="1">
      <c r="A19" s="8" t="s">
        <v>171</v>
      </c>
      <c r="B19" s="5" t="s">
        <v>172</v>
      </c>
      <c r="C19" s="6">
        <v>66926.0</v>
      </c>
      <c r="D19" s="5">
        <v>0.0</v>
      </c>
      <c r="E19" s="6">
        <v>-103119.0</v>
      </c>
      <c r="F19" s="6">
        <v>-5806824.0</v>
      </c>
      <c r="G19" s="5">
        <v>-144.0</v>
      </c>
      <c r="H19" s="6">
        <v>1733.0</v>
      </c>
    </row>
    <row r="20" ht="14.25" customHeight="1">
      <c r="A20" s="8" t="s">
        <v>173</v>
      </c>
      <c r="B20" s="5" t="s">
        <v>174</v>
      </c>
      <c r="C20" s="6">
        <v>4000000.0</v>
      </c>
      <c r="D20" s="5">
        <v>0.0</v>
      </c>
      <c r="E20" s="6">
        <v>-145695.0</v>
      </c>
      <c r="F20" s="6">
        <v>-203449.0</v>
      </c>
      <c r="G20" s="6">
        <v>-194739.0</v>
      </c>
      <c r="H20" s="6">
        <v>-2471196.0</v>
      </c>
    </row>
    <row r="21" ht="14.25" customHeight="1">
      <c r="A21" s="8" t="s">
        <v>175</v>
      </c>
      <c r="B21" s="5" t="s">
        <v>176</v>
      </c>
      <c r="C21" s="6">
        <v>-58489.0</v>
      </c>
      <c r="D21" s="5">
        <v>0.0</v>
      </c>
      <c r="E21" s="6">
        <v>-59447.0</v>
      </c>
      <c r="F21" s="6">
        <v>-79156.0</v>
      </c>
      <c r="G21" s="6">
        <v>-4330745.0</v>
      </c>
      <c r="H21" s="5">
        <v>0.0</v>
      </c>
    </row>
    <row r="22" ht="14.25" customHeight="1">
      <c r="A22" s="8" t="s">
        <v>177</v>
      </c>
      <c r="B22" s="5" t="s">
        <v>178</v>
      </c>
      <c r="C22" s="5">
        <v>0.0</v>
      </c>
      <c r="D22" s="5">
        <v>-161.0</v>
      </c>
      <c r="E22" s="6">
        <v>-300429.0</v>
      </c>
      <c r="F22" s="6">
        <v>-37773.0</v>
      </c>
      <c r="G22" s="6">
        <v>4705195.0</v>
      </c>
      <c r="H22" s="5">
        <v>0.0</v>
      </c>
    </row>
    <row r="23" ht="14.25" customHeight="1">
      <c r="A23" s="8" t="s">
        <v>179</v>
      </c>
      <c r="B23" s="5" t="s">
        <v>180</v>
      </c>
      <c r="C23" s="6">
        <v>-125603.0</v>
      </c>
      <c r="D23" s="6">
        <v>-200206.0</v>
      </c>
      <c r="E23" s="6">
        <v>7101.0</v>
      </c>
      <c r="F23" s="5">
        <v>0.0</v>
      </c>
      <c r="G23" s="6">
        <v>-1.0173834E7</v>
      </c>
      <c r="H23" s="6">
        <v>413657.0</v>
      </c>
    </row>
    <row r="24" ht="14.25" customHeight="1">
      <c r="A24" s="8" t="s">
        <v>181</v>
      </c>
      <c r="B24" s="5" t="s">
        <v>182</v>
      </c>
      <c r="C24" s="5">
        <v>-12.0</v>
      </c>
      <c r="D24" s="5">
        <v>-37.0</v>
      </c>
      <c r="E24" s="6">
        <v>45042.0</v>
      </c>
      <c r="F24" s="6">
        <v>-254038.0</v>
      </c>
      <c r="G24" s="6">
        <v>2053971.0</v>
      </c>
      <c r="H24" s="6">
        <v>2664608.0</v>
      </c>
    </row>
    <row r="25" ht="14.25" customHeight="1">
      <c r="A25" s="8" t="s">
        <v>183</v>
      </c>
      <c r="B25" s="5" t="s">
        <v>184</v>
      </c>
      <c r="C25" s="6">
        <v>-1192144.0</v>
      </c>
      <c r="D25" s="5">
        <v>0.0</v>
      </c>
      <c r="E25" s="6">
        <v>7563251.0</v>
      </c>
      <c r="F25" s="6">
        <v>-7945665.0</v>
      </c>
      <c r="G25" s="6">
        <v>-347215.0</v>
      </c>
      <c r="H25" s="6">
        <v>-4917041.0</v>
      </c>
    </row>
    <row r="26" ht="14.25" customHeight="1">
      <c r="A26" s="8" t="s">
        <v>185</v>
      </c>
      <c r="B26" s="5" t="s">
        <v>186</v>
      </c>
      <c r="C26" s="6">
        <v>-2572.0</v>
      </c>
      <c r="D26" s="5">
        <v>0.0</v>
      </c>
      <c r="E26" s="6">
        <v>7608293.0</v>
      </c>
      <c r="F26" s="6">
        <v>1.4898063E7</v>
      </c>
      <c r="G26" s="6">
        <v>-70082.0</v>
      </c>
      <c r="H26" s="5">
        <v>0.0</v>
      </c>
    </row>
    <row r="27" ht="14.25" customHeight="1">
      <c r="A27" s="7" t="s">
        <v>187</v>
      </c>
      <c r="B27" s="5" t="s">
        <v>188</v>
      </c>
      <c r="C27" s="5">
        <v>0.0</v>
      </c>
      <c r="D27" s="6">
        <v>19812.0</v>
      </c>
      <c r="F27" s="6">
        <v>6952398.0</v>
      </c>
      <c r="G27" s="6">
        <v>-26932.0</v>
      </c>
      <c r="H27" s="6">
        <v>-203449.0</v>
      </c>
    </row>
    <row r="28" ht="14.25" customHeight="1">
      <c r="A28" s="7" t="s">
        <v>189</v>
      </c>
      <c r="B28" s="5" t="s">
        <v>190</v>
      </c>
      <c r="C28" s="6">
        <v>-1406803.0</v>
      </c>
      <c r="D28" s="6">
        <v>-1793563.0</v>
      </c>
      <c r="G28" s="6">
        <v>20346.0</v>
      </c>
      <c r="H28" s="6">
        <v>-317739.0</v>
      </c>
    </row>
    <row r="29" ht="14.25" customHeight="1">
      <c r="A29" s="8" t="s">
        <v>191</v>
      </c>
      <c r="B29" s="5" t="s">
        <v>192</v>
      </c>
      <c r="C29" s="6">
        <v>4385329.0</v>
      </c>
      <c r="D29" s="6">
        <v>6862684.0</v>
      </c>
      <c r="G29" s="6">
        <v>-492194.0</v>
      </c>
      <c r="H29" s="6">
        <v>8230606.0</v>
      </c>
    </row>
    <row r="30" ht="14.25" customHeight="1">
      <c r="A30" s="8" t="s">
        <v>193</v>
      </c>
      <c r="B30" s="5" t="s">
        <v>194</v>
      </c>
      <c r="C30" s="6">
        <v>2978526.0</v>
      </c>
      <c r="D30" s="6">
        <v>5069121.0</v>
      </c>
      <c r="G30" s="6">
        <v>3897690.0</v>
      </c>
      <c r="H30" s="6">
        <v>-4630.0</v>
      </c>
    </row>
    <row r="31" ht="14.25" customHeight="1">
      <c r="G31" s="6">
        <v>1.0743082E7</v>
      </c>
      <c r="H31" s="6">
        <v>-5038698.0</v>
      </c>
    </row>
    <row r="32" ht="14.25" customHeight="1">
      <c r="G32" s="6">
        <v>2449206.0</v>
      </c>
      <c r="H32" s="6">
        <v>-5041.0</v>
      </c>
    </row>
    <row r="33" ht="14.25" customHeight="1">
      <c r="G33" s="6">
        <v>1.3192288E7</v>
      </c>
      <c r="H33" s="6">
        <v>125472.0</v>
      </c>
    </row>
    <row r="34" ht="14.25" customHeight="1">
      <c r="H34" s="6">
        <v>2424830.0</v>
      </c>
    </row>
    <row r="35" ht="14.25" customHeight="1">
      <c r="H35" s="6">
        <v>2550302.0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0"/>
  </cols>
  <sheetData>
    <row r="1">
      <c r="A1" s="11" t="s">
        <v>195</v>
      </c>
      <c r="B1" s="12"/>
      <c r="C1" s="12"/>
      <c r="D1" s="12"/>
      <c r="E1" s="12"/>
      <c r="F1" s="12"/>
    </row>
    <row r="2">
      <c r="A2" s="13" t="s">
        <v>196</v>
      </c>
      <c r="B2" s="14">
        <v>43738.0</v>
      </c>
      <c r="C2" s="14">
        <v>43373.0</v>
      </c>
      <c r="D2" s="14">
        <v>43008.0</v>
      </c>
      <c r="E2" s="14">
        <v>42643.0</v>
      </c>
      <c r="F2" s="14">
        <v>42277.0</v>
      </c>
      <c r="G2" s="14">
        <v>41912.0</v>
      </c>
    </row>
    <row r="3">
      <c r="A3" s="15" t="s">
        <v>197</v>
      </c>
      <c r="B3" s="16">
        <f>OIBR4_BPA!C9+OIBR4_BPA!C10</f>
        <v>3157124</v>
      </c>
      <c r="C3" s="16">
        <f>OIBR4_BPA!D9+OIBR4_BPA!D10</f>
        <v>4587304</v>
      </c>
      <c r="D3" s="16">
        <f>OIBR4_BPA!E9+OIBR4_BPA!E10</f>
        <v>6884131</v>
      </c>
      <c r="E3" s="16">
        <f>OIBR4_BPA!F9+OIBR4_BPA!F10</f>
        <v>7679783</v>
      </c>
      <c r="F3" s="17">
        <f>OIBR4_BPA!G9+OIBR4_BPA!G10</f>
        <v>16699783</v>
      </c>
      <c r="G3" s="16">
        <f>OIBR4_BPA!H9+OIBR4_BPA!H10</f>
        <v>2620621</v>
      </c>
    </row>
    <row r="4">
      <c r="A4" s="15" t="s">
        <v>198</v>
      </c>
      <c r="B4" s="16">
        <f t="shared" ref="B4:G4" si="1">B15-B16</f>
        <v>5212871</v>
      </c>
      <c r="C4" s="16">
        <f t="shared" si="1"/>
        <v>6709615</v>
      </c>
      <c r="D4" s="16">
        <f t="shared" si="1"/>
        <v>3487243</v>
      </c>
      <c r="E4" s="16">
        <f t="shared" si="1"/>
        <v>6363838</v>
      </c>
      <c r="F4" s="16">
        <f t="shared" si="1"/>
        <v>7602753</v>
      </c>
      <c r="G4" s="16">
        <f t="shared" si="1"/>
        <v>8573070</v>
      </c>
    </row>
    <row r="5">
      <c r="A5" s="15" t="s">
        <v>199</v>
      </c>
      <c r="B5" s="16">
        <f>OIBR4_BPA!C17</f>
        <v>52712014</v>
      </c>
      <c r="C5" s="16">
        <f>OIBR4_BPA!D17</f>
        <v>44124313</v>
      </c>
      <c r="D5" s="16">
        <f>OIBR4_BPA!E17</f>
        <v>44891288</v>
      </c>
      <c r="E5" s="16">
        <f>OIBR4_BPA!F17</f>
        <v>55464621</v>
      </c>
      <c r="F5" s="16">
        <f>OIBR4_BPA!G17</f>
        <v>58947797</v>
      </c>
      <c r="G5" s="16">
        <f>OIBR4_BPA!H17</f>
        <v>53502327</v>
      </c>
    </row>
    <row r="6">
      <c r="A6" s="18" t="s">
        <v>200</v>
      </c>
      <c r="B6" s="19">
        <f t="shared" ref="B6:G6" si="2">B3+B4+B5</f>
        <v>61082009</v>
      </c>
      <c r="C6" s="19">
        <f t="shared" si="2"/>
        <v>55421232</v>
      </c>
      <c r="D6" s="19">
        <f t="shared" si="2"/>
        <v>55262662</v>
      </c>
      <c r="E6" s="19">
        <f t="shared" si="2"/>
        <v>69508242</v>
      </c>
      <c r="F6" s="19">
        <f t="shared" si="2"/>
        <v>83250333</v>
      </c>
      <c r="G6" s="19">
        <f t="shared" si="2"/>
        <v>64696018</v>
      </c>
    </row>
    <row r="7">
      <c r="A7" s="20" t="s">
        <v>201</v>
      </c>
      <c r="B7" s="14">
        <v>43738.0</v>
      </c>
      <c r="C7" s="14">
        <v>43373.0</v>
      </c>
      <c r="D7" s="14">
        <v>43008.0</v>
      </c>
      <c r="E7" s="14">
        <v>42643.0</v>
      </c>
      <c r="F7" s="14">
        <v>42277.0</v>
      </c>
      <c r="G7" s="14">
        <v>41912.0</v>
      </c>
    </row>
    <row r="8">
      <c r="A8" s="15" t="s">
        <v>202</v>
      </c>
      <c r="B8" s="16">
        <f>OIBR4_BPP!C12</f>
        <v>138842</v>
      </c>
      <c r="C8" s="16">
        <f>OIBR4_BPP!D12</f>
        <v>672894</v>
      </c>
      <c r="D8" s="16">
        <f>OIBR4_BPP!E12</f>
        <v>54515233</v>
      </c>
      <c r="E8" s="16">
        <f>OIBR4_BPP!F12</f>
        <v>48086287</v>
      </c>
      <c r="F8" s="16">
        <f>OIBR4_BPP!G12</f>
        <v>11809598</v>
      </c>
      <c r="G8" s="16">
        <f>OIBR4_BPP!H12</f>
        <v>4463728</v>
      </c>
    </row>
    <row r="9">
      <c r="A9" s="15" t="s">
        <v>203</v>
      </c>
      <c r="B9" s="16">
        <f t="shared" ref="B9:G9" si="3">B10+B11</f>
        <v>60943167</v>
      </c>
      <c r="C9" s="16">
        <f t="shared" si="3"/>
        <v>54748338</v>
      </c>
      <c r="D9" s="16">
        <f t="shared" si="3"/>
        <v>747429</v>
      </c>
      <c r="E9" s="16">
        <f t="shared" si="3"/>
        <v>21421955</v>
      </c>
      <c r="F9" s="16">
        <f t="shared" si="3"/>
        <v>71440735</v>
      </c>
      <c r="G9" s="16">
        <f t="shared" si="3"/>
        <v>60232290</v>
      </c>
    </row>
    <row r="10">
      <c r="A10" s="21" t="s">
        <v>204</v>
      </c>
      <c r="B10" s="22">
        <f>OIBR4_BPP!C16</f>
        <v>40862172</v>
      </c>
      <c r="C10" s="16">
        <f>OIBR4_BPP!D16</f>
        <v>31852527</v>
      </c>
      <c r="D10" s="16">
        <f>OIBR4_BPP!E16</f>
        <v>14259952</v>
      </c>
      <c r="E10" s="17">
        <f>OIBR4_BPP!F16</f>
        <v>8966349</v>
      </c>
      <c r="F10" s="17">
        <f>OIBR4_BPP!G16</f>
        <v>57034524</v>
      </c>
      <c r="G10" s="16">
        <f>OIBR4_BPP!H16</f>
        <v>40920801</v>
      </c>
    </row>
    <row r="11">
      <c r="A11" s="21" t="s">
        <v>205</v>
      </c>
      <c r="B11" s="16">
        <f>OIBR4_BPP!C23</f>
        <v>20080995</v>
      </c>
      <c r="C11" s="16">
        <f>OIBR4_BPP!D23</f>
        <v>22895811</v>
      </c>
      <c r="D11" s="22">
        <f>OIBR4_BPP!E23</f>
        <v>-13512523</v>
      </c>
      <c r="E11" s="16">
        <f>OIBR4_BPP!F23</f>
        <v>12455606</v>
      </c>
      <c r="F11" s="16">
        <f>OIBR4_BPP!G23</f>
        <v>14406211</v>
      </c>
      <c r="G11" s="16">
        <f>OIBR4_BPP!H23</f>
        <v>19311489</v>
      </c>
    </row>
    <row r="12">
      <c r="A12" s="23" t="s">
        <v>206</v>
      </c>
      <c r="B12" s="24">
        <f t="shared" ref="B12:G12" si="4">B8+B9</f>
        <v>61082009</v>
      </c>
      <c r="C12" s="24">
        <f t="shared" si="4"/>
        <v>55421232</v>
      </c>
      <c r="D12" s="24">
        <f t="shared" si="4"/>
        <v>55262662</v>
      </c>
      <c r="E12" s="24">
        <f t="shared" si="4"/>
        <v>69508242</v>
      </c>
      <c r="F12" s="24">
        <f t="shared" si="4"/>
        <v>83250333</v>
      </c>
      <c r="G12" s="24">
        <f t="shared" si="4"/>
        <v>64696018</v>
      </c>
    </row>
    <row r="13">
      <c r="A13" s="12"/>
    </row>
    <row r="15">
      <c r="A15" s="25" t="s">
        <v>207</v>
      </c>
      <c r="B15" s="26">
        <f>(OIBR4_BPA!C8-OIBR4_BPA!C9-OIBR4_BPA!C10)</f>
        <v>16997390</v>
      </c>
      <c r="C15" s="26">
        <f>(OIBR4_BPA!D8-OIBR4_BPA!D9-OIBR4_BPA!D10)</f>
        <v>16726180</v>
      </c>
      <c r="D15" s="26">
        <f>(OIBR4_BPA!E8-OIBR4_BPA!E9-OIBR4_BPA!E10)</f>
        <v>16863617</v>
      </c>
      <c r="E15" s="26">
        <f>(OIBR4_BPA!F8-OIBR4_BPA!F9-OIBR4_BPA!F10)</f>
        <v>19026794</v>
      </c>
      <c r="F15" s="26">
        <f>(OIBR4_BPA!G8-OIBR4_BPA!G9-OIBR4_BPA!G10)</f>
        <v>21367226</v>
      </c>
      <c r="G15" s="26">
        <f>(OIBR4_BPA!H8-OIBR4_BPA!H9-OIBR4_BPA!H10)</f>
        <v>46666174</v>
      </c>
    </row>
    <row r="16">
      <c r="A16" s="25" t="s">
        <v>208</v>
      </c>
      <c r="B16" s="16">
        <f>OIBR4_BPP!C8-OIBR4_BPP!C12</f>
        <v>11784519</v>
      </c>
      <c r="C16" s="16">
        <f>OIBR4_BPP!D8-OIBR4_BPP!D12</f>
        <v>10016565</v>
      </c>
      <c r="D16" s="16">
        <f>OIBR4_BPP!E8-OIBR4_BPP!E12</f>
        <v>13376374</v>
      </c>
      <c r="E16" s="16">
        <f>OIBR4_BPP!F8-OIBR4_BPP!F12</f>
        <v>12662956</v>
      </c>
      <c r="F16" s="16">
        <f>OIBR4_BPP!G8-OIBR4_BPP!G12</f>
        <v>13764473</v>
      </c>
      <c r="G16" s="16">
        <f>OIBR4_BPP!H8-OIBR4_BPP!H12</f>
        <v>38093104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6.38"/>
  </cols>
  <sheetData>
    <row r="1">
      <c r="A1" s="27" t="s">
        <v>209</v>
      </c>
      <c r="B1" s="14">
        <v>43738.0</v>
      </c>
      <c r="C1" s="14">
        <v>43373.0</v>
      </c>
      <c r="D1" s="14">
        <v>43008.0</v>
      </c>
      <c r="E1" s="14">
        <v>42643.0</v>
      </c>
      <c r="F1" s="14">
        <v>42277.0</v>
      </c>
      <c r="G1" s="14">
        <v>41912.0</v>
      </c>
    </row>
    <row r="2">
      <c r="A2" s="28" t="s">
        <v>210</v>
      </c>
      <c r="B2" s="29">
        <f>BG!B9-BG!B5</f>
        <v>8231153</v>
      </c>
      <c r="C2" s="29">
        <f>BG!C9-BG!C5</f>
        <v>10624025</v>
      </c>
      <c r="D2" s="29">
        <f>BG!D9-BG!D5</f>
        <v>-44143859</v>
      </c>
      <c r="E2" s="29">
        <f>BG!E9-BG!E5</f>
        <v>-34042666</v>
      </c>
      <c r="F2" s="29">
        <f>BG!F9-BG!F5</f>
        <v>12492938</v>
      </c>
      <c r="G2" s="29">
        <f>BG!G9-BG!G5</f>
        <v>6729963</v>
      </c>
    </row>
    <row r="3">
      <c r="A3" s="28" t="s">
        <v>211</v>
      </c>
      <c r="B3" s="29">
        <f>OIBR4_BPA!C8-OIBR4_BPP!C8</f>
        <v>8231153</v>
      </c>
      <c r="C3" s="29">
        <f>OIBR4_BPA!D8-OIBR4_BPP!D8</f>
        <v>10624025</v>
      </c>
      <c r="D3" s="29">
        <f>OIBR4_BPA!E8-OIBR4_BPP!E8</f>
        <v>-44143859</v>
      </c>
      <c r="E3" s="29">
        <f>OIBR4_BPA!F8-OIBR4_BPP!F8</f>
        <v>-34042666</v>
      </c>
      <c r="F3" s="29">
        <f>OIBR4_BPA!G8-OIBR4_BPP!G8</f>
        <v>12492938</v>
      </c>
      <c r="G3" s="29">
        <f>OIBR4_BPA!H8-OIBR4_BPP!H8</f>
        <v>6729963</v>
      </c>
    </row>
    <row r="4">
      <c r="A4" s="30"/>
      <c r="B4" s="30"/>
      <c r="C4" s="31"/>
      <c r="D4" s="31"/>
      <c r="E4" s="31"/>
      <c r="F4" s="32"/>
      <c r="G4" s="31"/>
    </row>
    <row r="5">
      <c r="A5" s="28" t="s">
        <v>212</v>
      </c>
      <c r="B5" s="33">
        <f>OIBR4_BPA!C8/OIBR4_BPP!C8</f>
        <v>1.69033832</v>
      </c>
      <c r="C5" s="33">
        <f>OIBR4_BPA!D8/OIBR4_BPP!D8</f>
        <v>1.993878643</v>
      </c>
      <c r="D5" s="34">
        <f>OIBR4_BPA!E8/OIBR4_BPP!E8</f>
        <v>0.3497891573</v>
      </c>
      <c r="E5" s="34">
        <f>OIBR4_BPA!F8/OIBR4_BPP!F8</f>
        <v>0.4396199143</v>
      </c>
      <c r="F5" s="33">
        <f>OIBR4_BPA!G8/OIBR4_BPP!G8</f>
        <v>1.488500169</v>
      </c>
      <c r="G5" s="33">
        <f>OIBR4_BPA!H8/OIBR4_BPP!H8</f>
        <v>1.158140601</v>
      </c>
    </row>
    <row r="6">
      <c r="A6" s="28" t="s">
        <v>213</v>
      </c>
      <c r="B6" s="33">
        <f>(OIBR4_BPA!C8-OIBR4_BPA!C12)/OIBR4_BPP!C8</f>
        <v>1.663673607</v>
      </c>
      <c r="C6" s="33">
        <f>(OIBR4_BPA!D8-OIBR4_BPA!D12)/OIBR4_BPP!D8</f>
        <v>1.964176204</v>
      </c>
      <c r="D6" s="33">
        <f>(OIBR4_BPA!E8-OIBR4_BPA!E12)/OIBR4_BPP!E8</f>
        <v>0.3460534378</v>
      </c>
      <c r="E6" s="33">
        <f>(OIBR4_BPA!F8-OIBR4_BPA!F12)/OIBR4_BPP!F8</f>
        <v>0.4337761871</v>
      </c>
      <c r="F6" s="33">
        <f>(OIBR4_BPA!G8-OIBR4_BPA!G12)/OIBR4_BPP!G8</f>
        <v>1.474736502</v>
      </c>
      <c r="G6" s="33">
        <f>(OIBR4_BPA!H8-OIBR4_BPA!H12)/OIBR4_BPP!H8</f>
        <v>1.146896837</v>
      </c>
    </row>
    <row r="7">
      <c r="A7" s="12"/>
      <c r="B7" s="12"/>
      <c r="C7" s="12"/>
      <c r="D7" s="12"/>
      <c r="E7" s="12"/>
      <c r="F7" s="12"/>
      <c r="G7" s="12"/>
    </row>
    <row r="8">
      <c r="A8" s="27" t="s">
        <v>214</v>
      </c>
      <c r="B8" s="14">
        <v>43738.0</v>
      </c>
      <c r="C8" s="14">
        <v>43373.0</v>
      </c>
      <c r="D8" s="14">
        <v>43008.0</v>
      </c>
      <c r="E8" s="14">
        <v>42643.0</v>
      </c>
      <c r="F8" s="14">
        <v>42277.0</v>
      </c>
      <c r="G8" s="14">
        <v>41912.0</v>
      </c>
    </row>
    <row r="9">
      <c r="A9" s="35" t="s">
        <v>215</v>
      </c>
      <c r="B9" s="36">
        <f>BG!B4</f>
        <v>5212871</v>
      </c>
      <c r="C9" s="36">
        <f>BG!C4</f>
        <v>6709615</v>
      </c>
      <c r="D9" s="36">
        <f>BG!D4</f>
        <v>3487243</v>
      </c>
      <c r="E9" s="36">
        <f>BG!E4</f>
        <v>6363838</v>
      </c>
      <c r="F9" s="36">
        <f>BG!F4</f>
        <v>7602753</v>
      </c>
      <c r="G9" s="36">
        <f>BG!G4</f>
        <v>8573070</v>
      </c>
    </row>
    <row r="10">
      <c r="A10" s="27" t="s">
        <v>216</v>
      </c>
      <c r="B10" s="14"/>
      <c r="C10" s="14"/>
      <c r="D10" s="14"/>
      <c r="E10" s="14"/>
      <c r="F10" s="14"/>
      <c r="G10" s="14"/>
    </row>
    <row r="11">
      <c r="A11" s="37" t="s">
        <v>217</v>
      </c>
      <c r="B11" s="38">
        <f>BG!B9-BG!B5</f>
        <v>8231153</v>
      </c>
      <c r="C11" s="38">
        <f>BG!C9-BG!C5</f>
        <v>10624025</v>
      </c>
      <c r="D11" s="38">
        <f>BG!D9-BG!D5</f>
        <v>-44143859</v>
      </c>
      <c r="E11" s="38">
        <f>BG!E9-BG!E5</f>
        <v>-34042666</v>
      </c>
      <c r="F11" s="38">
        <f>BG!F9-BG!F5</f>
        <v>12492938</v>
      </c>
      <c r="G11" s="38">
        <f>BG!G9-BG!G5</f>
        <v>6729963</v>
      </c>
    </row>
    <row r="12">
      <c r="A12" s="37" t="s">
        <v>218</v>
      </c>
      <c r="B12" s="39">
        <f t="shared" ref="B12:G12" si="1">A11:B11/B9</f>
        <v>1.579005696</v>
      </c>
      <c r="C12" s="39">
        <f t="shared" si="1"/>
        <v>1.583403072</v>
      </c>
      <c r="D12" s="40">
        <f t="shared" si="1"/>
        <v>-12.65867019</v>
      </c>
      <c r="E12" s="39">
        <f t="shared" si="1"/>
        <v>-5.349392301</v>
      </c>
      <c r="F12" s="39">
        <f t="shared" si="1"/>
        <v>1.6432124</v>
      </c>
      <c r="G12" s="39">
        <f t="shared" si="1"/>
        <v>0.7850120202</v>
      </c>
    </row>
    <row r="13">
      <c r="A13" s="41"/>
      <c r="B13" s="41"/>
      <c r="C13" s="42"/>
      <c r="D13" s="42"/>
      <c r="E13" s="42"/>
      <c r="F13" s="42"/>
      <c r="G13" s="42"/>
    </row>
    <row r="14">
      <c r="A14" s="27" t="s">
        <v>219</v>
      </c>
      <c r="B14" s="14">
        <v>43738.0</v>
      </c>
      <c r="C14" s="14">
        <v>43373.0</v>
      </c>
      <c r="D14" s="14">
        <v>43008.0</v>
      </c>
      <c r="E14" s="14">
        <v>42643.0</v>
      </c>
      <c r="F14" s="14">
        <v>42277.0</v>
      </c>
      <c r="G14" s="14">
        <v>41912.0</v>
      </c>
    </row>
    <row r="15">
      <c r="A15" s="37" t="s">
        <v>220</v>
      </c>
      <c r="B15" s="43">
        <f>B9/OIBR4_DRE!C8</f>
        <v>0.3424425885</v>
      </c>
      <c r="C15" s="43">
        <f>C9/OIBR4_DRE!D8</f>
        <v>0.4018952214</v>
      </c>
      <c r="D15" s="43">
        <f>D9/OIBR4_DRE!E8</f>
        <v>0.1941462012</v>
      </c>
      <c r="E15" s="43">
        <f>E9/OIBR4_DRE!F8</f>
        <v>0.3234705841</v>
      </c>
      <c r="F15" s="43">
        <f>F9/OIBR4_DRE!G8</f>
        <v>0.3681598455</v>
      </c>
      <c r="G15" s="43">
        <f>G9/OIBR4_DRE!H8</f>
        <v>0.4097130398</v>
      </c>
    </row>
    <row r="16">
      <c r="A16" s="37" t="s">
        <v>221</v>
      </c>
      <c r="B16" s="44">
        <f>-OIBR4_DRE!C9/OIBR4_BPA!C12</f>
        <v>36.36773471</v>
      </c>
      <c r="C16" s="44">
        <f>-OIBR4_DRE!D9/OIBR4_BPA!D12</f>
        <v>38.14497186</v>
      </c>
      <c r="D16" s="44">
        <f>-OIBR4_DRE!E9/OIBR4_BPA!E12</f>
        <v>44.47527836</v>
      </c>
      <c r="E16" s="44">
        <f>-OIBR4_DRE!F9/OIBR4_BPA!F12</f>
        <v>35.95853263</v>
      </c>
      <c r="F16" s="44">
        <f>-OIBR4_DRE!G9/OIBR4_BPA!G12</f>
        <v>32.22568915</v>
      </c>
      <c r="G16" s="44">
        <f>-OIBR4_DRE!H9/OIBR4_BPA!H12</f>
        <v>23.49605119</v>
      </c>
    </row>
    <row r="17">
      <c r="A17" s="37" t="s">
        <v>222</v>
      </c>
      <c r="B17" s="44">
        <f>OIBR4_BPA!C12*365/(-OIBR4_DRE!C9)</f>
        <v>10.03636886</v>
      </c>
      <c r="C17" s="44">
        <f>OIBR4_BPA!D12*365/(-OIBR4_DRE!D9)</f>
        <v>9.568757879</v>
      </c>
      <c r="D17" s="44">
        <f>OIBR4_BPA!E12*365/(-OIBR4_DRE!E9)</f>
        <v>8.20680642</v>
      </c>
      <c r="E17" s="44">
        <f>OIBR4_BPA!F12*365/(-OIBR4_DRE!F9)</f>
        <v>10.15058105</v>
      </c>
      <c r="F17" s="44">
        <f>OIBR4_BPA!G12*365/(-OIBR4_DRE!G9)</f>
        <v>11.32636756</v>
      </c>
      <c r="G17" s="44">
        <f>OIBR4_BPA!H12*365/(-OIBR4_DRE!H9)</f>
        <v>15.53452523</v>
      </c>
    </row>
    <row r="18">
      <c r="A18" s="37" t="s">
        <v>223</v>
      </c>
      <c r="B18" s="44">
        <f>OIBR4_BPA!C11/(OIBR4_DRE!C8/365)</f>
        <v>158.6406624</v>
      </c>
      <c r="C18" s="44">
        <f>OIBR4_BPA!D11/(OIBR4_DRE!D8/365)</f>
        <v>142.4709011</v>
      </c>
      <c r="D18" s="44">
        <f>OIBR4_BPA!E11/(OIBR4_DRE!E8/365)</f>
        <v>149.7118842</v>
      </c>
      <c r="E18" s="44">
        <f>OIBR4_BPA!F11/(OIBR4_DRE!F8/365)</f>
        <v>154.8684088</v>
      </c>
      <c r="F18" s="44">
        <f>OIBR4_BPA!G11/(OIBR4_DRE!G8/365)</f>
        <v>148.1111854</v>
      </c>
      <c r="G18" s="44">
        <f>OIBR4_BPA!H11/(OIBR4_DRE!H8/365)</f>
        <v>129.9555661</v>
      </c>
    </row>
    <row r="19">
      <c r="A19" s="37" t="s">
        <v>224</v>
      </c>
      <c r="B19" s="44">
        <f>OIBR4_BPP!C10/(B22/365)</f>
        <v>186.2552793</v>
      </c>
      <c r="C19" s="44">
        <f>OIBR4_BPP!D10/(C22/365)</f>
        <v>156.6682697</v>
      </c>
      <c r="D19" s="44">
        <f>OIBR4_BPP!E10/(D22/365)</f>
        <v>249.0393881</v>
      </c>
      <c r="E19" s="44">
        <f>OIBR4_BPP!F10/(E22/365)</f>
        <v>181.8267644</v>
      </c>
      <c r="F19" s="44">
        <f>OIBR4_BPP!G10/(F22/365)</f>
        <v>162.8609353</v>
      </c>
      <c r="G19" s="44">
        <f>OIBR4_BPP!H10/(G22/365)</f>
        <v>135.0397762</v>
      </c>
    </row>
    <row r="20">
      <c r="A20" s="37" t="s">
        <v>225</v>
      </c>
      <c r="B20" s="44">
        <f t="shared" ref="B20:G20" si="2">B17+B18-B19</f>
        <v>-17.57824799</v>
      </c>
      <c r="C20" s="44">
        <f t="shared" si="2"/>
        <v>-4.62861074</v>
      </c>
      <c r="D20" s="44">
        <f t="shared" si="2"/>
        <v>-91.12069754</v>
      </c>
      <c r="E20" s="44">
        <f t="shared" si="2"/>
        <v>-16.80777448</v>
      </c>
      <c r="F20" s="44">
        <f t="shared" si="2"/>
        <v>-3.423382378</v>
      </c>
      <c r="G20" s="44">
        <f t="shared" si="2"/>
        <v>10.45031516</v>
      </c>
    </row>
    <row r="21">
      <c r="A21" s="30"/>
      <c r="B21" s="31"/>
      <c r="C21" s="31"/>
      <c r="D21" s="31"/>
      <c r="E21" s="31"/>
      <c r="F21" s="31"/>
      <c r="G21" s="31"/>
    </row>
    <row r="22">
      <c r="A22" s="37" t="s">
        <v>226</v>
      </c>
      <c r="B22" s="45">
        <f>-OIBR4_DRE!C9+(OIBR4_BPA!C12-OIBR4_BPA!D12)</f>
        <v>11562933</v>
      </c>
      <c r="C22" s="45">
        <f>-OIBR4_DRE!D9+(OIBR4_BPA!D12-OIBR4_BPA!E12)</f>
        <v>12175022</v>
      </c>
      <c r="D22" s="45">
        <f>-OIBR4_DRE!E9+(OIBR4_BPA!E12-OIBR4_BPA!F12)</f>
        <v>11178620</v>
      </c>
      <c r="E22" s="45">
        <f>-OIBR4_DRE!F9+(OIBR4_BPA!F12-OIBR4_BPA!G12)</f>
        <v>12768360</v>
      </c>
      <c r="F22" s="45">
        <f>-OIBR4_DRE!G9+(OIBR4_BPA!G12-OIBR4_BPA!H12)</f>
        <v>11216711</v>
      </c>
      <c r="G22" s="45">
        <f>-OIBR4_DRE!H9+(OIBR4_BPA!H12-OIBR4_BPA!I12)</f>
        <v>11721336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38"/>
  </cols>
  <sheetData>
    <row r="1">
      <c r="A1" s="46" t="s">
        <v>227</v>
      </c>
      <c r="B1" s="47"/>
      <c r="C1" s="47"/>
      <c r="D1" s="47"/>
      <c r="E1" s="47"/>
      <c r="F1" s="47"/>
      <c r="G1" s="47"/>
    </row>
    <row r="2">
      <c r="A2" s="48" t="s">
        <v>228</v>
      </c>
      <c r="B2" s="47"/>
      <c r="C2" s="47"/>
      <c r="D2" s="47"/>
      <c r="E2" s="47"/>
      <c r="F2" s="47"/>
      <c r="G2" s="47"/>
    </row>
    <row r="3">
      <c r="A3" s="48" t="s">
        <v>229</v>
      </c>
      <c r="B3" s="47"/>
      <c r="C3" s="47"/>
      <c r="D3" s="47"/>
      <c r="E3" s="47"/>
      <c r="F3" s="47"/>
      <c r="G3" s="47"/>
    </row>
    <row r="4">
      <c r="A4" s="47"/>
      <c r="B4" s="47"/>
      <c r="C4" s="47"/>
      <c r="D4" s="47"/>
      <c r="E4" s="47"/>
      <c r="F4" s="47"/>
      <c r="G4" s="47"/>
    </row>
    <row r="5">
      <c r="A5" s="47"/>
      <c r="B5" s="47"/>
      <c r="C5" s="47"/>
      <c r="D5" s="47"/>
      <c r="E5" s="47"/>
      <c r="F5" s="47"/>
      <c r="G5" s="47"/>
    </row>
    <row r="6">
      <c r="A6" s="49"/>
      <c r="B6" s="49"/>
      <c r="C6" s="49"/>
      <c r="D6" s="49"/>
      <c r="E6" s="49"/>
      <c r="F6" s="49"/>
      <c r="G6" s="49"/>
    </row>
    <row r="7">
      <c r="A7" s="50" t="s">
        <v>230</v>
      </c>
      <c r="B7" s="14">
        <v>43738.0</v>
      </c>
      <c r="C7" s="14">
        <v>43373.0</v>
      </c>
      <c r="D7" s="14">
        <v>43008.0</v>
      </c>
      <c r="E7" s="14">
        <v>42643.0</v>
      </c>
      <c r="F7" s="14">
        <v>42277.0</v>
      </c>
      <c r="G7" s="14">
        <v>41912.0</v>
      </c>
    </row>
    <row r="8">
      <c r="A8" s="51"/>
      <c r="B8" s="52"/>
      <c r="C8" s="52"/>
      <c r="D8" s="52"/>
      <c r="E8" s="52"/>
      <c r="F8" s="52"/>
      <c r="G8" s="52"/>
    </row>
    <row r="9">
      <c r="A9" s="53" t="s">
        <v>231</v>
      </c>
      <c r="B9" s="54">
        <f>-OIBR4_DRE!C18</f>
        <v>2572256</v>
      </c>
      <c r="C9" s="54">
        <f>OIBR4_DRE!D18</f>
        <v>425368</v>
      </c>
      <c r="D9" s="54">
        <f>OIBR4_DRE!E18</f>
        <v>819716</v>
      </c>
      <c r="E9" s="54">
        <f>OIBR4_DRE!F18</f>
        <v>77398</v>
      </c>
      <c r="F9" s="54">
        <f>OIBR4_DRE!G18</f>
        <v>2310335</v>
      </c>
      <c r="G9" s="54">
        <f>OIBR4_DRE!H18</f>
        <v>3673648</v>
      </c>
    </row>
    <row r="10">
      <c r="A10" s="49" t="s">
        <v>232</v>
      </c>
      <c r="B10" s="55">
        <f t="shared" ref="B10:G10" si="1">34%*B9</f>
        <v>874567.04</v>
      </c>
      <c r="C10" s="55">
        <f t="shared" si="1"/>
        <v>144625.12</v>
      </c>
      <c r="D10" s="55">
        <f t="shared" si="1"/>
        <v>278703.44</v>
      </c>
      <c r="E10" s="55">
        <f t="shared" si="1"/>
        <v>26315.32</v>
      </c>
      <c r="F10" s="55">
        <f t="shared" si="1"/>
        <v>785513.9</v>
      </c>
      <c r="G10" s="55">
        <f t="shared" si="1"/>
        <v>1249040.32</v>
      </c>
    </row>
    <row r="11">
      <c r="A11" s="53" t="s">
        <v>233</v>
      </c>
      <c r="B11" s="54">
        <f t="shared" ref="B11:G11" si="2">B9-B10</f>
        <v>1697688.96</v>
      </c>
      <c r="C11" s="54">
        <f t="shared" si="2"/>
        <v>280742.88</v>
      </c>
      <c r="D11" s="54">
        <f t="shared" si="2"/>
        <v>541012.56</v>
      </c>
      <c r="E11" s="54">
        <f t="shared" si="2"/>
        <v>51082.68</v>
      </c>
      <c r="F11" s="54">
        <f t="shared" si="2"/>
        <v>1524821.1</v>
      </c>
      <c r="G11" s="54">
        <f t="shared" si="2"/>
        <v>2424607.68</v>
      </c>
    </row>
    <row r="12">
      <c r="A12" s="49" t="s">
        <v>234</v>
      </c>
      <c r="B12" s="55">
        <f>OIBR4_DFC!C11</f>
        <v>-1119175</v>
      </c>
      <c r="C12" s="55">
        <f>OIBR4_DFC!D11</f>
        <v>-625222</v>
      </c>
      <c r="D12" s="55">
        <f>OIBR4_DFC!E11</f>
        <v>-336677</v>
      </c>
      <c r="E12" s="55">
        <f>OIBR4_DFC!F11</f>
        <v>-2501735</v>
      </c>
      <c r="F12" s="55">
        <f>OIBR4_DFC!G11</f>
        <v>-3251670</v>
      </c>
      <c r="G12" s="55">
        <f>OIBR4_DFC!H11</f>
        <v>-2559905</v>
      </c>
    </row>
    <row r="13">
      <c r="A13" s="49" t="s">
        <v>235</v>
      </c>
      <c r="B13" s="55">
        <f>-BG!B4-BG!C4</f>
        <v>-11922486</v>
      </c>
      <c r="C13" s="55">
        <f>BG!C4-BG!D4</f>
        <v>3222372</v>
      </c>
      <c r="D13" s="55">
        <f>BG!D4-BG!E4</f>
        <v>-2876595</v>
      </c>
      <c r="E13" s="55">
        <f>BG!E4-BG!F4</f>
        <v>-1238915</v>
      </c>
      <c r="F13" s="55">
        <f>BG!F4-BG!G4</f>
        <v>-970317</v>
      </c>
      <c r="G13" s="55">
        <f>BG!G4-BG!H4</f>
        <v>8573070</v>
      </c>
    </row>
    <row r="14">
      <c r="A14" s="49" t="s">
        <v>236</v>
      </c>
      <c r="B14" s="55">
        <f>SUM(OIBR4_DFC!C18:C25)</f>
        <v>2681243</v>
      </c>
      <c r="C14" s="55">
        <f>SUM(OIBR4_DFC!D18:D25)</f>
        <v>-362288</v>
      </c>
      <c r="D14" s="55">
        <f>SUM(OIBR4_DFC!E18:E25)</f>
        <v>7006045</v>
      </c>
      <c r="E14" s="55">
        <f>SUM(OIBR4_DFC!F18:F25)</f>
        <v>-14326905</v>
      </c>
      <c r="F14" s="55">
        <f>SUM(OIBR4_DFC!G18:G25)</f>
        <v>-8085920</v>
      </c>
      <c r="G14" s="55">
        <f>SUM(OIBR4_DFC!H18:H25)</f>
        <v>-5250496</v>
      </c>
    </row>
    <row r="15">
      <c r="A15" s="53" t="s">
        <v>237</v>
      </c>
      <c r="B15" s="56">
        <f t="shared" ref="B15:G15" si="3">B11+B12-B13-B14</f>
        <v>9819756.96</v>
      </c>
      <c r="C15" s="56">
        <f t="shared" si="3"/>
        <v>-3204563.12</v>
      </c>
      <c r="D15" s="56">
        <f t="shared" si="3"/>
        <v>-3925114.44</v>
      </c>
      <c r="E15" s="56">
        <f t="shared" si="3"/>
        <v>13115167.68</v>
      </c>
      <c r="F15" s="56">
        <f t="shared" si="3"/>
        <v>7329388.1</v>
      </c>
      <c r="G15" s="56">
        <f t="shared" si="3"/>
        <v>-3457871.32</v>
      </c>
    </row>
    <row r="16">
      <c r="A16" s="47"/>
      <c r="B16" s="47"/>
      <c r="C16" s="47"/>
      <c r="D16" s="47"/>
      <c r="E16" s="47"/>
      <c r="F16" s="47"/>
      <c r="G16" s="4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13"/>
  </cols>
  <sheetData>
    <row r="1">
      <c r="A1" s="57" t="s">
        <v>238</v>
      </c>
      <c r="B1" s="12"/>
      <c r="C1" s="12"/>
      <c r="D1" s="12"/>
      <c r="E1" s="12"/>
      <c r="F1" s="12"/>
      <c r="G1" s="12"/>
    </row>
    <row r="2">
      <c r="A2" s="58" t="s">
        <v>239</v>
      </c>
      <c r="B2" s="59">
        <v>2019.0</v>
      </c>
      <c r="C2" s="60">
        <v>2018.0</v>
      </c>
      <c r="D2" s="60">
        <v>2017.0</v>
      </c>
      <c r="E2" s="60">
        <v>2016.0</v>
      </c>
      <c r="F2" s="60">
        <v>2015.0</v>
      </c>
      <c r="G2" s="60">
        <v>2014.0</v>
      </c>
    </row>
    <row r="3">
      <c r="A3" s="21" t="s">
        <v>240</v>
      </c>
      <c r="B3" s="61">
        <f>OIBR4_DRE!C30</f>
        <v>-6813987</v>
      </c>
      <c r="C3" s="61">
        <f>OIBR4_DRE!D30</f>
        <v>27958258</v>
      </c>
      <c r="D3" s="61">
        <f>OIBR4_DRE!E30</f>
        <v>-4375634</v>
      </c>
      <c r="E3" s="61">
        <f>OIBR4_DRE!F30</f>
        <v>-3815093</v>
      </c>
      <c r="F3" s="61">
        <f>OIBR4_DRE!G30</f>
        <v>-796924</v>
      </c>
      <c r="G3" s="61">
        <f>OIBR4_DRE!H30</f>
        <v>14983</v>
      </c>
    </row>
    <row r="4">
      <c r="A4" s="21" t="s">
        <v>241</v>
      </c>
      <c r="B4" s="61">
        <f>OIBR4_BPP!C23</f>
        <v>20080995</v>
      </c>
      <c r="C4" s="61">
        <f>OIBR4_BPP!D23</f>
        <v>22895811</v>
      </c>
      <c r="D4" s="61">
        <f>OIBR4_BPP!E23</f>
        <v>-13512523</v>
      </c>
      <c r="E4" s="61">
        <f>OIBR4_BPP!F23</f>
        <v>12455606</v>
      </c>
      <c r="F4" s="61">
        <f>OIBR4_BPP!G23</f>
        <v>14406211</v>
      </c>
      <c r="G4" s="61">
        <f>OIBR4_BPP!H23</f>
        <v>19311489</v>
      </c>
    </row>
    <row r="5">
      <c r="A5" s="62" t="s">
        <v>238</v>
      </c>
      <c r="B5" s="63">
        <f t="shared" ref="B5:G5" si="1">B3/B4</f>
        <v>-0.3393251679</v>
      </c>
      <c r="C5" s="64">
        <f t="shared" si="1"/>
        <v>1.221108001</v>
      </c>
      <c r="D5" s="63">
        <f t="shared" si="1"/>
        <v>0.3238206514</v>
      </c>
      <c r="E5" s="63">
        <f t="shared" si="1"/>
        <v>-0.3062952537</v>
      </c>
      <c r="F5" s="63">
        <f t="shared" si="1"/>
        <v>-0.05531808468</v>
      </c>
      <c r="G5" s="63">
        <f t="shared" si="1"/>
        <v>0.0007758593861</v>
      </c>
    </row>
    <row r="6">
      <c r="A6" s="12"/>
      <c r="B6" s="12"/>
      <c r="C6" s="12"/>
      <c r="D6" s="12"/>
      <c r="E6" s="12"/>
      <c r="F6" s="12"/>
      <c r="G6" s="12"/>
    </row>
    <row r="7">
      <c r="A7" s="57" t="s">
        <v>242</v>
      </c>
      <c r="B7" s="12"/>
      <c r="C7" s="12"/>
      <c r="D7" s="12"/>
      <c r="E7" s="12"/>
      <c r="F7" s="12"/>
      <c r="G7" s="12"/>
    </row>
    <row r="8">
      <c r="A8" s="58" t="s">
        <v>243</v>
      </c>
      <c r="B8" s="59">
        <v>2019.0</v>
      </c>
      <c r="C8" s="60">
        <v>2018.0</v>
      </c>
      <c r="D8" s="60">
        <v>2017.0</v>
      </c>
      <c r="E8" s="60">
        <v>2016.0</v>
      </c>
      <c r="F8" s="60">
        <v>2015.0</v>
      </c>
      <c r="G8" s="60">
        <v>2014.0</v>
      </c>
    </row>
    <row r="9">
      <c r="A9" s="21" t="s">
        <v>244</v>
      </c>
      <c r="B9" s="61">
        <f>FCF!B9</f>
        <v>2572256</v>
      </c>
      <c r="C9" s="61">
        <f>FCF!C9</f>
        <v>425368</v>
      </c>
      <c r="D9" s="61">
        <f>FCF!D9</f>
        <v>819716</v>
      </c>
      <c r="E9" s="61">
        <f>FCF!E9</f>
        <v>77398</v>
      </c>
      <c r="F9" s="61">
        <f>FCF!F9</f>
        <v>2310335</v>
      </c>
      <c r="G9" s="61">
        <f>FCF!G9</f>
        <v>3673648</v>
      </c>
    </row>
    <row r="10">
      <c r="A10" s="21" t="s">
        <v>245</v>
      </c>
      <c r="B10" s="61">
        <f>BG!B6</f>
        <v>61082009</v>
      </c>
      <c r="C10" s="61">
        <f>BG!C6</f>
        <v>55421232</v>
      </c>
      <c r="D10" s="61">
        <f>BG!D6</f>
        <v>55262662</v>
      </c>
      <c r="E10" s="61">
        <f>BG!E6</f>
        <v>69508242</v>
      </c>
      <c r="F10" s="61">
        <f>BG!F6</f>
        <v>83250333</v>
      </c>
      <c r="G10" s="61">
        <f>BG!G6</f>
        <v>64696018</v>
      </c>
    </row>
    <row r="11">
      <c r="A11" s="65" t="s">
        <v>246</v>
      </c>
      <c r="B11" s="63">
        <f t="shared" ref="B11:G11" si="2">B9/B10</f>
        <v>0.04211151601</v>
      </c>
      <c r="C11" s="64">
        <f t="shared" si="2"/>
        <v>0.007675181237</v>
      </c>
      <c r="D11" s="63">
        <f t="shared" si="2"/>
        <v>0.01483308929</v>
      </c>
      <c r="E11" s="63">
        <f t="shared" si="2"/>
        <v>0.001113508237</v>
      </c>
      <c r="F11" s="63">
        <f t="shared" si="2"/>
        <v>0.02775166077</v>
      </c>
      <c r="G11" s="63">
        <f t="shared" si="2"/>
        <v>0.05678321655</v>
      </c>
    </row>
    <row r="12">
      <c r="A12" s="12"/>
      <c r="B12" s="66"/>
      <c r="C12" s="66"/>
      <c r="D12" s="66"/>
      <c r="E12" s="66"/>
      <c r="F12" s="66"/>
      <c r="G12" s="66"/>
    </row>
    <row r="13">
      <c r="A13" s="57" t="s">
        <v>247</v>
      </c>
      <c r="C13" s="12"/>
      <c r="D13" s="12"/>
      <c r="E13" s="12"/>
      <c r="F13" s="12"/>
      <c r="G13" s="12"/>
    </row>
    <row r="14">
      <c r="A14" s="67" t="s">
        <v>248</v>
      </c>
      <c r="B14" s="59">
        <v>2019.0</v>
      </c>
      <c r="C14" s="60">
        <v>2018.0</v>
      </c>
      <c r="D14" s="60">
        <v>2017.0</v>
      </c>
      <c r="E14" s="60">
        <v>2016.0</v>
      </c>
      <c r="F14" s="60">
        <v>2015.0</v>
      </c>
      <c r="G14" s="60">
        <v>2014.0</v>
      </c>
    </row>
    <row r="15">
      <c r="A15" s="21" t="s">
        <v>249</v>
      </c>
      <c r="B15" s="68">
        <f>OIBR4_DRE!C22/OIBR4_DRE!C8</f>
        <v>-0.4285491591</v>
      </c>
      <c r="C15" s="69">
        <f>OIBR4_DRE!D22/OIBR4_DRE!D8</f>
        <v>1.674180063</v>
      </c>
      <c r="D15" s="68">
        <f>OIBR4_DRE!E22/OIBR4_DRE!E8</f>
        <v>-0.2396143335</v>
      </c>
      <c r="E15" s="68">
        <f>OIBR4_DRE!F22/OIBR4_DRE!F8</f>
        <v>-0.1476290436</v>
      </c>
      <c r="F15" s="68">
        <f>OIBR4_DRE!G22/OIBR4_DRE!G8</f>
        <v>-0.1036901681</v>
      </c>
      <c r="G15" s="68">
        <f>OIBR4_DRE!H22/OIBR4_DRE!H8</f>
        <v>0.02136645853</v>
      </c>
    </row>
    <row r="16">
      <c r="A16" s="21" t="s">
        <v>250</v>
      </c>
      <c r="B16" s="70">
        <f>OIBR4_DRE!C8/BG!B6</f>
        <v>0.2492159844</v>
      </c>
      <c r="C16" s="70">
        <f>OIBR4_DRE!D8/BG!C6</f>
        <v>0.3012371865</v>
      </c>
      <c r="D16" s="70">
        <f>OIBR4_DRE!E8/BG!D6</f>
        <v>0.3250285518</v>
      </c>
      <c r="E16" s="70">
        <f>OIBR4_DRE!F8/BG!E6</f>
        <v>0.2830401321</v>
      </c>
      <c r="F16" s="70">
        <f>OIBR4_DRE!G8/BG!F6</f>
        <v>0.2480552841</v>
      </c>
      <c r="G16" s="70">
        <f>OIBR4_DRE!H8/BG!G6</f>
        <v>0.3234290556</v>
      </c>
    </row>
    <row r="17">
      <c r="A17" s="62" t="s">
        <v>246</v>
      </c>
      <c r="B17" s="71">
        <f t="shared" ref="B17:G17" si="3">B15*B16</f>
        <v>-0.1068013005</v>
      </c>
      <c r="C17" s="71">
        <f t="shared" si="3"/>
        <v>0.5043252918</v>
      </c>
      <c r="D17" s="71">
        <f t="shared" si="3"/>
        <v>-0.07788149981</v>
      </c>
      <c r="E17" s="71">
        <f t="shared" si="3"/>
        <v>-0.04178494401</v>
      </c>
      <c r="F17" s="71">
        <f t="shared" si="3"/>
        <v>-0.02572089411</v>
      </c>
      <c r="G17" s="71">
        <f t="shared" si="3"/>
        <v>0.006910533505</v>
      </c>
    </row>
    <row r="18">
      <c r="A18" s="12"/>
      <c r="B18" s="12"/>
      <c r="C18" s="12"/>
      <c r="D18" s="12"/>
      <c r="E18" s="12"/>
      <c r="F18" s="12"/>
      <c r="G18" s="12"/>
    </row>
    <row r="19">
      <c r="A19" s="72" t="s">
        <v>251</v>
      </c>
      <c r="B19" s="66"/>
      <c r="C19" s="66"/>
      <c r="D19" s="66"/>
      <c r="E19" s="66"/>
      <c r="F19" s="66"/>
      <c r="G19" s="66"/>
    </row>
    <row r="20">
      <c r="A20" s="73" t="s">
        <v>252</v>
      </c>
      <c r="B20" s="59">
        <v>2019.0</v>
      </c>
      <c r="C20" s="60">
        <v>2018.0</v>
      </c>
      <c r="D20" s="60">
        <v>2017.0</v>
      </c>
      <c r="E20" s="60">
        <v>2016.0</v>
      </c>
      <c r="F20" s="60">
        <v>2015.0</v>
      </c>
      <c r="G20" s="60">
        <v>2014.0</v>
      </c>
    </row>
    <row r="21">
      <c r="A21" s="74" t="s">
        <v>246</v>
      </c>
      <c r="B21" s="75"/>
      <c r="C21" s="75"/>
      <c r="D21" s="75"/>
      <c r="E21" s="75"/>
      <c r="F21" s="75"/>
      <c r="G21" s="75"/>
    </row>
    <row r="22">
      <c r="A22" s="76" t="s">
        <v>253</v>
      </c>
      <c r="B22" s="77">
        <f>OIBR4_DRE!C22/OIBR4_DRE!C18</f>
        <v>2.536154255</v>
      </c>
      <c r="C22" s="77">
        <f>OIBR4_DRE!D22/OIBR4_DRE!D18</f>
        <v>65.7085841</v>
      </c>
      <c r="D22" s="78">
        <f>OIBR4_DRE!E22/OIBR4_DRE!E18</f>
        <v>-5.250524572</v>
      </c>
      <c r="E22" s="77">
        <f>OIBR4_DRE!F22/OIBR4_DRE!F18</f>
        <v>-37.52549161</v>
      </c>
      <c r="F22" s="77">
        <f>OIBR4_DRE!G22/OIBR4_DRE!G18</f>
        <v>-0.9268235992</v>
      </c>
      <c r="G22" s="77">
        <f>OIBR4_DRE!H22/OIBR4_DRE!H18</f>
        <v>0.1217002827</v>
      </c>
    </row>
    <row r="23">
      <c r="A23" s="76" t="s">
        <v>254</v>
      </c>
      <c r="B23" s="77">
        <f>BG!B6/OIBR4_BPP!C23</f>
        <v>3.041781993</v>
      </c>
      <c r="C23" s="77">
        <f>BG!C6/OIBR4_BPP!D23</f>
        <v>2.420583923</v>
      </c>
      <c r="D23" s="78">
        <f>BG!D6/OIBR4_BPP!E23</f>
        <v>-4.089736758</v>
      </c>
      <c r="E23" s="77">
        <f>BG!E6/OIBR4_BPP!F23</f>
        <v>5.580478541</v>
      </c>
      <c r="F23" s="77">
        <f>BG!F6/OIBR4_BPP!G23</f>
        <v>5.778780625</v>
      </c>
      <c r="G23" s="77">
        <f>BG!G6/OIBR4_BPP!H23</f>
        <v>3.350131002</v>
      </c>
    </row>
    <row r="24">
      <c r="A24" s="79" t="s">
        <v>255</v>
      </c>
      <c r="B24" s="80">
        <f t="shared" ref="B24:G24" si="4">B22*B23</f>
        <v>7.714428346</v>
      </c>
      <c r="C24" s="80">
        <f t="shared" si="4"/>
        <v>159.0531422</v>
      </c>
      <c r="D24" s="80">
        <f t="shared" si="4"/>
        <v>21.47326334</v>
      </c>
      <c r="E24" s="80">
        <f t="shared" si="4"/>
        <v>-209.4102007</v>
      </c>
      <c r="F24" s="80">
        <f t="shared" si="4"/>
        <v>-5.355910257</v>
      </c>
      <c r="G24" s="80">
        <f t="shared" si="4"/>
        <v>0.4077118899</v>
      </c>
    </row>
    <row r="25">
      <c r="A25" s="76" t="s">
        <v>256</v>
      </c>
      <c r="B25" s="44">
        <f>OIBR4_DRE!C26/OIBR4_DRE!C22</f>
        <v>1.044507221</v>
      </c>
      <c r="C25" s="44">
        <f>OIBR4_DRE!D26/OIBR4_DRE!D22</f>
        <v>1.000283682</v>
      </c>
      <c r="D25" s="44">
        <f>OIBR4_DRE!E26/OIBR4_DRE!E22</f>
        <v>1.016657996</v>
      </c>
      <c r="E25" s="44">
        <f>OIBR4_DRE!F26/OIBR4_DRE!F22</f>
        <v>1.313557233</v>
      </c>
      <c r="F25" s="44">
        <f>OIBR4_DRE!G26/OIBR4_DRE!G22</f>
        <v>0.8793059082</v>
      </c>
      <c r="G25" s="44">
        <f>OIBR4_DRE!H26/OIBR4_DRE!H22</f>
        <v>0.212658024</v>
      </c>
    </row>
    <row r="26">
      <c r="A26" s="79" t="s">
        <v>257</v>
      </c>
      <c r="B26" s="81">
        <f t="shared" ref="B26:G26" si="5">B17*B22*B23*B25</f>
        <v>-0.8605809685</v>
      </c>
      <c r="C26" s="82">
        <f t="shared" si="5"/>
        <v>80.23727777</v>
      </c>
      <c r="D26" s="81">
        <f t="shared" si="5"/>
        <v>-1.700228287</v>
      </c>
      <c r="E26" s="81">
        <f t="shared" si="5"/>
        <v>11.49387998</v>
      </c>
      <c r="F26" s="81">
        <f t="shared" si="5"/>
        <v>0.1211321273</v>
      </c>
      <c r="G26" s="81">
        <f t="shared" si="5"/>
        <v>0.0005991654022</v>
      </c>
    </row>
    <row r="27">
      <c r="A27" s="12"/>
      <c r="B27" s="12"/>
      <c r="C27" s="12"/>
      <c r="D27" s="12"/>
      <c r="E27" s="12"/>
      <c r="F27" s="12"/>
      <c r="G27" s="12"/>
    </row>
    <row r="28">
      <c r="A28" s="72" t="s">
        <v>258</v>
      </c>
      <c r="B28" s="12"/>
      <c r="C28" s="12"/>
      <c r="D28" s="12"/>
      <c r="E28" s="12"/>
      <c r="F28" s="12"/>
      <c r="G28" s="12"/>
    </row>
    <row r="29">
      <c r="A29" s="83"/>
      <c r="B29" s="59">
        <v>2019.0</v>
      </c>
      <c r="C29" s="60">
        <v>2018.0</v>
      </c>
      <c r="D29" s="60">
        <v>2017.0</v>
      </c>
      <c r="E29" s="60">
        <v>2016.0</v>
      </c>
      <c r="F29" s="60">
        <v>2015.0</v>
      </c>
      <c r="G29" s="60">
        <v>2014.0</v>
      </c>
    </row>
    <row r="30">
      <c r="A30" s="76" t="s">
        <v>259</v>
      </c>
      <c r="B30" s="31"/>
      <c r="C30" s="31"/>
      <c r="D30" s="31"/>
      <c r="E30" s="31"/>
      <c r="F30" s="31"/>
      <c r="G30" s="31"/>
    </row>
    <row r="31">
      <c r="A31" s="30"/>
      <c r="B31" s="31"/>
      <c r="C31" s="31"/>
      <c r="D31" s="31"/>
      <c r="E31" s="12"/>
      <c r="F31" s="12"/>
      <c r="G31" s="12"/>
    </row>
    <row r="32">
      <c r="A32" s="76" t="s">
        <v>260</v>
      </c>
      <c r="B32" s="31"/>
      <c r="C32" s="31"/>
      <c r="D32" s="31"/>
      <c r="E32" s="84"/>
      <c r="F32" s="84"/>
      <c r="G32" s="84"/>
    </row>
    <row r="33">
      <c r="A33" s="76" t="s">
        <v>261</v>
      </c>
      <c r="B33" s="85"/>
      <c r="C33" s="86"/>
      <c r="D33" s="86"/>
      <c r="E33" s="86"/>
      <c r="F33" s="86"/>
      <c r="G33" s="86"/>
    </row>
  </sheetData>
  <mergeCells count="1">
    <mergeCell ref="A13:B1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</cols>
  <sheetData>
    <row r="1">
      <c r="A1" s="12"/>
      <c r="B1" s="12"/>
      <c r="C1" s="87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88" t="s">
        <v>262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8">
        <v>2019.0</v>
      </c>
      <c r="V2" s="88">
        <v>2018.0</v>
      </c>
      <c r="W2" s="88">
        <v>2017.0</v>
      </c>
      <c r="X2" s="88">
        <v>2016.0</v>
      </c>
      <c r="Y2" s="88">
        <v>2015.0</v>
      </c>
      <c r="Z2" s="88">
        <v>2014.0</v>
      </c>
      <c r="AA2" s="88" t="s">
        <v>263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9">
        <f t="shared" ref="U3:Z3" si="1">H8*U8*AH8</f>
        <v>-0.3393251679</v>
      </c>
      <c r="V3" s="89">
        <f t="shared" si="1"/>
        <v>1.221108001</v>
      </c>
      <c r="W3" s="89">
        <f t="shared" si="1"/>
        <v>0.3238206514</v>
      </c>
      <c r="X3" s="89">
        <f t="shared" si="1"/>
        <v>-0.3062952537</v>
      </c>
      <c r="Y3" s="89">
        <f t="shared" si="1"/>
        <v>-0.05531808468</v>
      </c>
      <c r="Z3" s="89">
        <f t="shared" si="1"/>
        <v>0.0007758593861</v>
      </c>
      <c r="AA3" s="90">
        <f>(V3-W3)/W3</f>
        <v>2.770939239</v>
      </c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>
      <c r="A6" s="12"/>
      <c r="B6" s="12"/>
      <c r="C6" s="12"/>
      <c r="D6" s="12"/>
      <c r="E6" s="12"/>
      <c r="F6" s="12"/>
      <c r="G6" s="12"/>
      <c r="H6" s="88" t="s">
        <v>264</v>
      </c>
      <c r="O6" s="12"/>
      <c r="P6" s="12"/>
      <c r="Q6" s="12"/>
      <c r="R6" s="12"/>
      <c r="S6" s="12"/>
      <c r="T6" s="12"/>
      <c r="U6" s="88" t="s">
        <v>265</v>
      </c>
      <c r="AB6" s="12"/>
      <c r="AC6" s="12"/>
      <c r="AD6" s="12"/>
      <c r="AE6" s="12"/>
      <c r="AF6" s="12"/>
      <c r="AG6" s="12"/>
      <c r="AH6" s="88" t="s">
        <v>266</v>
      </c>
    </row>
    <row r="7">
      <c r="A7" s="12"/>
      <c r="B7" s="12"/>
      <c r="C7" s="12"/>
      <c r="D7" s="12"/>
      <c r="E7" s="12"/>
      <c r="F7" s="12"/>
      <c r="G7" s="12"/>
      <c r="H7" s="88">
        <v>2019.0</v>
      </c>
      <c r="I7" s="88">
        <v>2018.0</v>
      </c>
      <c r="J7" s="88">
        <v>2017.0</v>
      </c>
      <c r="K7" s="88">
        <v>2016.0</v>
      </c>
      <c r="L7" s="88">
        <v>2015.0</v>
      </c>
      <c r="M7" s="88">
        <v>2014.0</v>
      </c>
      <c r="N7" s="88" t="s">
        <v>263</v>
      </c>
      <c r="O7" s="12"/>
      <c r="P7" s="12"/>
      <c r="Q7" s="12"/>
      <c r="R7" s="12"/>
      <c r="S7" s="12"/>
      <c r="T7" s="12"/>
      <c r="U7" s="88">
        <v>2019.0</v>
      </c>
      <c r="V7" s="88">
        <v>2018.0</v>
      </c>
      <c r="W7" s="88">
        <v>2017.0</v>
      </c>
      <c r="X7" s="88">
        <v>2016.0</v>
      </c>
      <c r="Y7" s="88">
        <v>2015.0</v>
      </c>
      <c r="Z7" s="88">
        <v>2014.0</v>
      </c>
      <c r="AA7" s="88" t="s">
        <v>263</v>
      </c>
      <c r="AB7" s="12"/>
      <c r="AC7" s="12"/>
      <c r="AD7" s="12"/>
      <c r="AE7" s="12"/>
      <c r="AF7" s="12"/>
      <c r="AG7" s="12"/>
      <c r="AH7" s="88">
        <v>2019.0</v>
      </c>
      <c r="AI7" s="88">
        <v>2018.0</v>
      </c>
      <c r="AJ7" s="88">
        <v>2017.0</v>
      </c>
      <c r="AK7" s="88">
        <v>2016.0</v>
      </c>
      <c r="AL7" s="88">
        <v>2015.0</v>
      </c>
      <c r="AM7" s="88">
        <v>2014.0</v>
      </c>
      <c r="AN7" s="88" t="s">
        <v>263</v>
      </c>
    </row>
    <row r="8">
      <c r="A8" s="12"/>
      <c r="B8" s="12"/>
      <c r="C8" s="12"/>
      <c r="D8" s="12"/>
      <c r="F8" s="12"/>
      <c r="G8" s="12"/>
      <c r="H8" s="89">
        <f t="shared" ref="H8:N8" si="2">B13*J13</f>
        <v>-0.04211151601</v>
      </c>
      <c r="I8" s="89">
        <f t="shared" si="2"/>
        <v>0.007675181237</v>
      </c>
      <c r="J8" s="89">
        <f t="shared" si="2"/>
        <v>0.01483308929</v>
      </c>
      <c r="K8" s="89">
        <f t="shared" si="2"/>
        <v>0.001113508237</v>
      </c>
      <c r="L8" s="89">
        <f t="shared" si="2"/>
        <v>0.02775166077</v>
      </c>
      <c r="M8" s="89">
        <f t="shared" si="2"/>
        <v>0.05678321655</v>
      </c>
      <c r="N8" s="89">
        <f t="shared" si="2"/>
        <v>1.317985151</v>
      </c>
      <c r="O8" s="12"/>
      <c r="P8" s="12"/>
      <c r="Q8" s="12"/>
      <c r="R8" s="12"/>
      <c r="S8" s="12"/>
      <c r="T8" s="12"/>
      <c r="U8" s="91">
        <f t="shared" ref="U8:Z8" si="3">R13*AA13</f>
        <v>7.714428346</v>
      </c>
      <c r="V8" s="91">
        <f t="shared" si="3"/>
        <v>159.0531422</v>
      </c>
      <c r="W8" s="91">
        <f t="shared" si="3"/>
        <v>21.47326334</v>
      </c>
      <c r="X8" s="91">
        <f t="shared" si="3"/>
        <v>-209.4102007</v>
      </c>
      <c r="Y8" s="91">
        <f t="shared" si="3"/>
        <v>-5.355910257</v>
      </c>
      <c r="Z8" s="91">
        <f t="shared" si="3"/>
        <v>0.4077118899</v>
      </c>
      <c r="AA8" s="90">
        <f>(U8-V8)/V8</f>
        <v>-0.9514977935</v>
      </c>
      <c r="AB8" s="12"/>
      <c r="AC8" s="12"/>
      <c r="AD8" s="12"/>
      <c r="AE8" s="12"/>
      <c r="AF8" s="12"/>
      <c r="AG8" s="12"/>
      <c r="AH8" s="91">
        <f t="shared" ref="AH8:AM8" si="4">AH10/AA19</f>
        <v>1.044507221</v>
      </c>
      <c r="AI8" s="91">
        <f t="shared" si="4"/>
        <v>1.000283682</v>
      </c>
      <c r="AJ8" s="91">
        <f t="shared" si="4"/>
        <v>1.016657996</v>
      </c>
      <c r="AK8" s="91">
        <f t="shared" si="4"/>
        <v>1.313557233</v>
      </c>
      <c r="AL8" s="91">
        <f t="shared" si="4"/>
        <v>0.3721730018</v>
      </c>
      <c r="AM8" s="91">
        <f t="shared" si="4"/>
        <v>0.03351271797</v>
      </c>
      <c r="AN8" s="90">
        <f>(AH8-AI8)/AI8</f>
        <v>0.04421099761</v>
      </c>
    </row>
    <row r="9">
      <c r="A9" s="12"/>
      <c r="B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92" t="s">
        <v>267</v>
      </c>
      <c r="AH10" s="16">
        <f>OIBR4_DRE!C30</f>
        <v>-6813987</v>
      </c>
      <c r="AI10" s="16">
        <f>OIBR4_DRE!D30</f>
        <v>27958258</v>
      </c>
      <c r="AJ10" s="16">
        <f>OIBR4_DRE!E30</f>
        <v>-4375634</v>
      </c>
      <c r="AK10" s="16">
        <f>OIBR4_DRE!F30</f>
        <v>-3815093</v>
      </c>
      <c r="AL10" s="16">
        <f>OIBR4_DRE!G30</f>
        <v>-796924</v>
      </c>
      <c r="AM10" s="16">
        <f>OIBR4_DRE!H30</f>
        <v>14983</v>
      </c>
      <c r="AN10" s="16">
        <f>(AH10-AI10)/AI10</f>
        <v>-1.243720013</v>
      </c>
    </row>
    <row r="11">
      <c r="A11" s="87"/>
      <c r="B11" s="88" t="s">
        <v>268</v>
      </c>
      <c r="I11" s="12"/>
      <c r="J11" s="88" t="s">
        <v>269</v>
      </c>
      <c r="Q11" s="12"/>
      <c r="R11" s="88" t="s">
        <v>270</v>
      </c>
      <c r="Y11" s="12"/>
      <c r="Z11" s="12"/>
      <c r="AA11" s="88" t="s">
        <v>271</v>
      </c>
      <c r="AH11" s="12"/>
      <c r="AI11" s="12"/>
      <c r="AJ11" s="12"/>
      <c r="AK11" s="12"/>
      <c r="AL11" s="12"/>
      <c r="AM11" s="12"/>
      <c r="AN11" s="12"/>
    </row>
    <row r="12">
      <c r="A12" s="12"/>
      <c r="B12" s="88">
        <v>2019.0</v>
      </c>
      <c r="C12" s="88">
        <v>2018.0</v>
      </c>
      <c r="D12" s="88">
        <v>2017.0</v>
      </c>
      <c r="E12" s="88">
        <v>2016.0</v>
      </c>
      <c r="F12" s="88">
        <v>2015.0</v>
      </c>
      <c r="G12" s="88">
        <v>2014.0</v>
      </c>
      <c r="H12" s="88" t="s">
        <v>263</v>
      </c>
      <c r="I12" s="12"/>
      <c r="J12" s="88">
        <v>2019.0</v>
      </c>
      <c r="K12" s="88">
        <v>2018.0</v>
      </c>
      <c r="L12" s="88">
        <v>2017.0</v>
      </c>
      <c r="M12" s="88">
        <v>2016.0</v>
      </c>
      <c r="N12" s="88">
        <v>2015.0</v>
      </c>
      <c r="O12" s="88">
        <v>2014.0</v>
      </c>
      <c r="P12" s="88" t="s">
        <v>263</v>
      </c>
      <c r="Q12" s="12"/>
      <c r="R12" s="88">
        <v>2019.0</v>
      </c>
      <c r="S12" s="88">
        <v>2018.0</v>
      </c>
      <c r="T12" s="88">
        <v>2017.0</v>
      </c>
      <c r="U12" s="88">
        <v>2016.0</v>
      </c>
      <c r="V12" s="88">
        <v>2015.0</v>
      </c>
      <c r="W12" s="88">
        <v>2014.0</v>
      </c>
      <c r="X12" s="88" t="s">
        <v>263</v>
      </c>
      <c r="Y12" s="12"/>
      <c r="Z12" s="12"/>
      <c r="AA12" s="88">
        <v>2019.0</v>
      </c>
      <c r="AB12" s="88">
        <v>2018.0</v>
      </c>
      <c r="AC12" s="88">
        <v>2017.0</v>
      </c>
      <c r="AD12" s="88">
        <v>2016.0</v>
      </c>
      <c r="AE12" s="88">
        <v>2015.0</v>
      </c>
      <c r="AF12" s="88">
        <v>2014.0</v>
      </c>
      <c r="AG12" s="88" t="s">
        <v>263</v>
      </c>
      <c r="AH12" s="12"/>
      <c r="AI12" s="12"/>
      <c r="AJ12" s="12"/>
      <c r="AK12" s="12"/>
      <c r="AL12" s="12"/>
      <c r="AM12" s="12"/>
      <c r="AN12" s="12"/>
    </row>
    <row r="13">
      <c r="A13" s="12"/>
      <c r="B13" s="89">
        <f t="shared" ref="B13:G13" si="5">B17/B15</f>
        <v>-0.1689759833</v>
      </c>
      <c r="C13" s="89">
        <f t="shared" si="5"/>
        <v>0.02547886377</v>
      </c>
      <c r="D13" s="89">
        <f t="shared" si="5"/>
        <v>0.04563626552</v>
      </c>
      <c r="E13" s="89">
        <f t="shared" si="5"/>
        <v>0.003934100188</v>
      </c>
      <c r="F13" s="89">
        <f t="shared" si="5"/>
        <v>0.1118769184</v>
      </c>
      <c r="G13" s="89">
        <f t="shared" si="5"/>
        <v>0.1755662195</v>
      </c>
      <c r="H13" s="90">
        <f>(B13-C13)/C13</f>
        <v>-7.632006231</v>
      </c>
      <c r="I13" s="12"/>
      <c r="J13" s="91">
        <f t="shared" ref="J13:O13" si="6">B15/J19</f>
        <v>0.2492159844</v>
      </c>
      <c r="K13" s="91">
        <f t="shared" si="6"/>
        <v>0.3012371865</v>
      </c>
      <c r="L13" s="91">
        <f t="shared" si="6"/>
        <v>0.3250285518</v>
      </c>
      <c r="M13" s="91">
        <f t="shared" si="6"/>
        <v>0.2830401321</v>
      </c>
      <c r="N13" s="91">
        <f t="shared" si="6"/>
        <v>0.2480552841</v>
      </c>
      <c r="O13" s="91">
        <f t="shared" si="6"/>
        <v>0.3234290556</v>
      </c>
      <c r="P13" s="91">
        <f>(J13-K13)/K13</f>
        <v>-0.1726918338</v>
      </c>
      <c r="Q13" s="12"/>
      <c r="R13" s="90">
        <f t="shared" ref="R13:W13" si="7">J19/R24</f>
        <v>3.041781993</v>
      </c>
      <c r="S13" s="90">
        <f t="shared" si="7"/>
        <v>2.420583923</v>
      </c>
      <c r="T13" s="90">
        <f t="shared" si="7"/>
        <v>-4.089736758</v>
      </c>
      <c r="U13" s="90">
        <f t="shared" si="7"/>
        <v>5.580478541</v>
      </c>
      <c r="V13" s="90">
        <f t="shared" si="7"/>
        <v>5.778780625</v>
      </c>
      <c r="W13" s="90">
        <f t="shared" si="7"/>
        <v>3.350131002</v>
      </c>
      <c r="X13" s="90">
        <f>(R13-S13)/S13</f>
        <v>0.256631495</v>
      </c>
      <c r="Y13" s="12"/>
      <c r="Z13" s="12"/>
      <c r="AA13" s="91">
        <f t="shared" ref="AA13:AF13" si="8">AA19/B17</f>
        <v>2.536154255</v>
      </c>
      <c r="AB13" s="91">
        <f t="shared" si="8"/>
        <v>65.7085841</v>
      </c>
      <c r="AC13" s="91">
        <f t="shared" si="8"/>
        <v>-5.250524572</v>
      </c>
      <c r="AD13" s="91">
        <f t="shared" si="8"/>
        <v>-37.52549161</v>
      </c>
      <c r="AE13" s="91">
        <f t="shared" si="8"/>
        <v>-0.9268235992</v>
      </c>
      <c r="AF13" s="91">
        <f t="shared" si="8"/>
        <v>0.1217002827</v>
      </c>
      <c r="AG13" s="90">
        <f>(AA13-AB13)/AB13</f>
        <v>-0.9614029995</v>
      </c>
      <c r="AH13" s="12"/>
      <c r="AI13" s="12"/>
      <c r="AJ13" s="12"/>
      <c r="AK13" s="12"/>
      <c r="AL13" s="12"/>
      <c r="AM13" s="12"/>
      <c r="AN13" s="12"/>
    </row>
    <row r="14">
      <c r="A14" s="12"/>
      <c r="B14" s="12"/>
      <c r="C14" s="12"/>
      <c r="D14" s="12"/>
      <c r="E14" s="12"/>
      <c r="F14" s="12"/>
      <c r="G14" s="12"/>
      <c r="H14" s="9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>
      <c r="A15" s="88" t="s">
        <v>272</v>
      </c>
      <c r="B15" s="94">
        <f>OIBR4_DRE!C8</f>
        <v>15222613</v>
      </c>
      <c r="C15" s="94">
        <f>OIBR4_DRE!D8</f>
        <v>16694936</v>
      </c>
      <c r="D15" s="94">
        <f>OIBR4_DRE!E8</f>
        <v>17961943</v>
      </c>
      <c r="E15" s="94">
        <f>OIBR4_DRE!F8</f>
        <v>19673622</v>
      </c>
      <c r="F15" s="94">
        <f>OIBR4_DRE!G8</f>
        <v>20650685</v>
      </c>
      <c r="G15" s="94">
        <f>OIBR4_DRE!H8</f>
        <v>20924572</v>
      </c>
      <c r="H15" s="90">
        <f t="shared" ref="H15:H17" si="9">(B15-C15)/C15</f>
        <v>-0.088189796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>
      <c r="A16" s="88" t="s">
        <v>273</v>
      </c>
      <c r="B16" s="94">
        <f>OIBR4_DRE!C9-OIBR4_DRE!C11</f>
        <v>-5330137</v>
      </c>
      <c r="C16" s="94">
        <f>OIBR4_DRE!D9-OIBR4_DRE!D11</f>
        <v>-7952718</v>
      </c>
      <c r="D16" s="94">
        <f>OIBR4_DRE!E9-OIBR4_DRE!E11</f>
        <v>-5417769</v>
      </c>
      <c r="E16" s="94">
        <f>OIBR4_DRE!F9-OIBR4_DRE!F11</f>
        <v>-5934478</v>
      </c>
      <c r="F16" s="94">
        <f>OIBR4_DRE!G9-OIBR4_DRE!G11</f>
        <v>-4346084</v>
      </c>
      <c r="G16" s="94">
        <f>OIBR4_DRE!H9-OIBR4_DRE!H11</f>
        <v>-5234750</v>
      </c>
      <c r="H16" s="90">
        <f t="shared" si="9"/>
        <v>-0.3297716579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>
      <c r="A17" s="88" t="s">
        <v>274</v>
      </c>
      <c r="B17" s="94">
        <f>OIBR4_DRE!C18</f>
        <v>-2572256</v>
      </c>
      <c r="C17" s="94">
        <f>OIBR4_DRE!D18</f>
        <v>425368</v>
      </c>
      <c r="D17" s="94">
        <f>OIBR4_DRE!E18</f>
        <v>819716</v>
      </c>
      <c r="E17" s="94">
        <f>OIBR4_DRE!F18</f>
        <v>77398</v>
      </c>
      <c r="F17" s="94">
        <f>OIBR4_DRE!G18</f>
        <v>2310335</v>
      </c>
      <c r="G17" s="94">
        <f>OIBR4_DRE!H18</f>
        <v>3673648</v>
      </c>
      <c r="H17" s="90">
        <f t="shared" si="9"/>
        <v>-7.047130955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>
      <c r="A18" s="9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>
      <c r="A19" s="12"/>
      <c r="B19" s="12"/>
      <c r="C19" s="12"/>
      <c r="D19" s="12"/>
      <c r="E19" s="12"/>
      <c r="F19" s="12"/>
      <c r="G19" s="12"/>
      <c r="H19" s="96" t="s">
        <v>275</v>
      </c>
      <c r="J19" s="97">
        <f>BG!B6</f>
        <v>61082009</v>
      </c>
      <c r="K19" s="97">
        <f>BG!C6</f>
        <v>55421232</v>
      </c>
      <c r="L19" s="97">
        <f>BG!D6</f>
        <v>55262662</v>
      </c>
      <c r="M19" s="97">
        <f>BG!E6</f>
        <v>69508242</v>
      </c>
      <c r="N19" s="97">
        <f>BG!F6</f>
        <v>83250333</v>
      </c>
      <c r="O19" s="97">
        <f>BG!G6</f>
        <v>64696018</v>
      </c>
      <c r="P19" s="98">
        <f t="shared" ref="P19:P22" si="10">(J19-K19)/K19</f>
        <v>0.1021409448</v>
      </c>
      <c r="Q19" s="12"/>
      <c r="R19" s="12"/>
      <c r="S19" s="12"/>
      <c r="T19" s="12"/>
      <c r="U19" s="12"/>
      <c r="V19" s="12"/>
      <c r="W19" s="12"/>
      <c r="X19" s="12"/>
      <c r="Y19" s="12"/>
      <c r="Z19" s="96" t="s">
        <v>276</v>
      </c>
      <c r="AA19" s="94">
        <f>OIBR4_DRE!C22</f>
        <v>-6523638</v>
      </c>
      <c r="AB19" s="94">
        <f>OIBR4_DRE!D22</f>
        <v>27950329</v>
      </c>
      <c r="AC19" s="94">
        <f>OIBR4_DRE!E22</f>
        <v>-4303939</v>
      </c>
      <c r="AD19" s="94">
        <f>OIBR4_DRE!F22</f>
        <v>-2904398</v>
      </c>
      <c r="AE19" s="94">
        <f>OIBR4_DRE!G22</f>
        <v>-2141273</v>
      </c>
      <c r="AF19" s="94">
        <f>OIBR4_DRE!H22</f>
        <v>447084</v>
      </c>
      <c r="AG19" s="99">
        <f>(AA19-AB19)/AB19</f>
        <v>-1.233401117</v>
      </c>
      <c r="AH19" s="12"/>
      <c r="AI19" s="12"/>
      <c r="AJ19" s="12"/>
      <c r="AK19" s="12"/>
      <c r="AL19" s="12"/>
      <c r="AM19" s="12"/>
      <c r="AN19" s="12"/>
    </row>
    <row r="20">
      <c r="A20" s="12"/>
      <c r="B20" s="12"/>
      <c r="C20" s="12"/>
      <c r="D20" s="12"/>
      <c r="E20" s="12"/>
      <c r="F20" s="12"/>
      <c r="G20" s="12"/>
      <c r="H20" s="100" t="s">
        <v>277</v>
      </c>
      <c r="J20" s="94">
        <f>BG!B3</f>
        <v>3157124</v>
      </c>
      <c r="K20" s="94">
        <f>BG!C3</f>
        <v>4587304</v>
      </c>
      <c r="L20" s="94">
        <f>BG!D3</f>
        <v>6884131</v>
      </c>
      <c r="M20" s="94">
        <f>BG!E3</f>
        <v>7679783</v>
      </c>
      <c r="N20" s="94">
        <f>BG!F3</f>
        <v>16699783</v>
      </c>
      <c r="O20" s="94">
        <f>BG!G3</f>
        <v>2620621</v>
      </c>
      <c r="P20" s="98">
        <f t="shared" si="10"/>
        <v>-0.3117691786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>
      <c r="A21" s="12"/>
      <c r="B21" s="12"/>
      <c r="C21" s="12"/>
      <c r="D21" s="12"/>
      <c r="E21" s="12"/>
      <c r="F21" s="12"/>
      <c r="G21" s="12"/>
      <c r="H21" s="100" t="s">
        <v>278</v>
      </c>
      <c r="J21" s="94">
        <f>BG!B4</f>
        <v>5212871</v>
      </c>
      <c r="K21" s="94">
        <f>BG!C4</f>
        <v>6709615</v>
      </c>
      <c r="L21" s="94">
        <f>BG!D4</f>
        <v>3487243</v>
      </c>
      <c r="M21" s="94">
        <f>BG!E4</f>
        <v>6363838</v>
      </c>
      <c r="N21" s="94">
        <f>BG!F4</f>
        <v>7602753</v>
      </c>
      <c r="O21" s="94">
        <f>BG!G4</f>
        <v>8573070</v>
      </c>
      <c r="P21" s="98">
        <f t="shared" si="10"/>
        <v>-0.2230744983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>
      <c r="A22" s="12"/>
      <c r="B22" s="12"/>
      <c r="C22" s="12"/>
      <c r="D22" s="12"/>
      <c r="E22" s="12"/>
      <c r="F22" s="12"/>
      <c r="G22" s="12"/>
      <c r="H22" s="101" t="s">
        <v>279</v>
      </c>
      <c r="J22" s="94">
        <f>BG!B5</f>
        <v>52712014</v>
      </c>
      <c r="K22" s="94">
        <f>BG!C5</f>
        <v>44124313</v>
      </c>
      <c r="L22" s="94">
        <f>BG!D5</f>
        <v>44891288</v>
      </c>
      <c r="M22" s="94">
        <f>BG!E5</f>
        <v>55464621</v>
      </c>
      <c r="N22" s="94">
        <f>BG!F5</f>
        <v>58947797</v>
      </c>
      <c r="O22" s="94">
        <f>BG!G5</f>
        <v>53502327</v>
      </c>
      <c r="P22" s="98">
        <f t="shared" si="10"/>
        <v>0.1946251492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>
      <c r="P23" s="12"/>
      <c r="Q23" s="12"/>
      <c r="R23" s="12"/>
      <c r="S23" s="12"/>
      <c r="T23" s="12"/>
      <c r="U23" s="12"/>
      <c r="V23" s="12"/>
      <c r="W23" s="12"/>
      <c r="X23" s="12"/>
    </row>
    <row r="24">
      <c r="P24" s="12"/>
      <c r="Q24" s="102" t="s">
        <v>280</v>
      </c>
      <c r="R24" s="103">
        <f>BG!B11</f>
        <v>20080995</v>
      </c>
      <c r="S24" s="103">
        <f>BG!C11</f>
        <v>22895811</v>
      </c>
      <c r="T24" s="103">
        <f>BG!D11</f>
        <v>-13512523</v>
      </c>
      <c r="U24" s="103">
        <f>BG!E11</f>
        <v>12455606</v>
      </c>
      <c r="V24" s="103">
        <f>BG!F11</f>
        <v>14406211</v>
      </c>
      <c r="W24" s="103">
        <f>BG!G11</f>
        <v>19311489</v>
      </c>
      <c r="X24" s="103">
        <f>(R24-S24)/S24</f>
        <v>-0.1229402182</v>
      </c>
    </row>
    <row r="25"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Q26" s="12"/>
      <c r="R26" s="12"/>
      <c r="S26" s="12"/>
      <c r="T26" s="12"/>
      <c r="U26" s="12"/>
      <c r="V26" s="12"/>
      <c r="W26" s="12"/>
      <c r="X26" s="12"/>
      <c r="Y26" s="12"/>
    </row>
  </sheetData>
  <mergeCells count="12">
    <mergeCell ref="B11:H11"/>
    <mergeCell ref="H19:I19"/>
    <mergeCell ref="H20:I20"/>
    <mergeCell ref="H21:I21"/>
    <mergeCell ref="H22:I22"/>
    <mergeCell ref="U1:AA1"/>
    <mergeCell ref="H6:N6"/>
    <mergeCell ref="U6:AA6"/>
    <mergeCell ref="AH6:AN6"/>
    <mergeCell ref="J11:P11"/>
    <mergeCell ref="R11:X11"/>
    <mergeCell ref="AA11:AG1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