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firstSheet="1" activeTab="7"/>
  </bookViews>
  <sheets>
    <sheet name="BPA" sheetId="5" r:id="rId1"/>
    <sheet name="BPP" sheetId="4" r:id="rId2"/>
    <sheet name="DRE" sheetId="2" r:id="rId3"/>
    <sheet name="DFC" sheetId="3" r:id="rId4"/>
    <sheet name="BG (2)" sheetId="6" r:id="rId5"/>
    <sheet name="Liquidez (2)" sheetId="7" r:id="rId6"/>
    <sheet name="FCF" sheetId="8" r:id="rId7"/>
    <sheet name="Rentabilidade" sheetId="9" r:id="rId8"/>
    <sheet name="DETERMINANTES DO ROE" sheetId="11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0" i="11" l="1"/>
  <c r="AJ10" i="11"/>
  <c r="AK10" i="11"/>
  <c r="AL10" i="11"/>
  <c r="AM10" i="11"/>
  <c r="AH10" i="11"/>
  <c r="AB19" i="11"/>
  <c r="AC19" i="11"/>
  <c r="AD19" i="11"/>
  <c r="AE19" i="11"/>
  <c r="AF19" i="11"/>
  <c r="AA19" i="11"/>
  <c r="K22" i="11"/>
  <c r="L22" i="11"/>
  <c r="M22" i="11"/>
  <c r="N22" i="11"/>
  <c r="O22" i="11"/>
  <c r="J22" i="11"/>
  <c r="K21" i="11"/>
  <c r="L21" i="11"/>
  <c r="M21" i="11"/>
  <c r="N21" i="11"/>
  <c r="O21" i="11"/>
  <c r="J21" i="11"/>
  <c r="K20" i="11"/>
  <c r="L20" i="11"/>
  <c r="M20" i="11"/>
  <c r="N20" i="11"/>
  <c r="O20" i="11"/>
  <c r="J20" i="11"/>
  <c r="K19" i="11"/>
  <c r="L19" i="11"/>
  <c r="M19" i="11"/>
  <c r="N19" i="11"/>
  <c r="O19" i="11"/>
  <c r="J19" i="11"/>
  <c r="H16" i="11"/>
  <c r="C15" i="11"/>
  <c r="D15" i="11"/>
  <c r="E15" i="11"/>
  <c r="F15" i="11"/>
  <c r="G15" i="11"/>
  <c r="B15" i="11"/>
  <c r="J13" i="11" s="1"/>
  <c r="C16" i="11"/>
  <c r="D16" i="11"/>
  <c r="E16" i="11"/>
  <c r="F16" i="11"/>
  <c r="G16" i="11"/>
  <c r="B16" i="11"/>
  <c r="C17" i="11"/>
  <c r="D17" i="11"/>
  <c r="E17" i="11"/>
  <c r="F17" i="11"/>
  <c r="G17" i="11"/>
  <c r="B17" i="11"/>
  <c r="W25" i="11"/>
  <c r="W13" i="11" s="1"/>
  <c r="V25" i="11"/>
  <c r="U25" i="11"/>
  <c r="T25" i="11"/>
  <c r="S25" i="11"/>
  <c r="S13" i="11" s="1"/>
  <c r="R25" i="11"/>
  <c r="P22" i="11"/>
  <c r="P21" i="11"/>
  <c r="P20" i="11"/>
  <c r="AK8" i="11"/>
  <c r="AG19" i="11"/>
  <c r="P19" i="11"/>
  <c r="L13" i="11"/>
  <c r="AF13" i="11"/>
  <c r="AB13" i="11"/>
  <c r="E13" i="11"/>
  <c r="H15" i="11"/>
  <c r="AC13" i="11"/>
  <c r="R13" i="11"/>
  <c r="O13" i="11"/>
  <c r="M13" i="11"/>
  <c r="K13" i="11"/>
  <c r="D13" i="11"/>
  <c r="AM8" i="11"/>
  <c r="AJ8" i="11"/>
  <c r="AI8" i="11"/>
  <c r="AH8" i="11"/>
  <c r="C35" i="9"/>
  <c r="D35" i="9"/>
  <c r="E35" i="9"/>
  <c r="F35" i="9"/>
  <c r="G35" i="9"/>
  <c r="B35" i="9"/>
  <c r="C34" i="9"/>
  <c r="D34" i="9"/>
  <c r="E34" i="9"/>
  <c r="F34" i="9"/>
  <c r="G34" i="9"/>
  <c r="B34" i="9"/>
  <c r="C33" i="9"/>
  <c r="D33" i="9"/>
  <c r="E33" i="9"/>
  <c r="F33" i="9"/>
  <c r="G33" i="9"/>
  <c r="B33" i="9"/>
  <c r="C32" i="9"/>
  <c r="D32" i="9"/>
  <c r="E32" i="9"/>
  <c r="F32" i="9"/>
  <c r="G32" i="9"/>
  <c r="B32" i="9"/>
  <c r="C31" i="9"/>
  <c r="D31" i="9"/>
  <c r="E31" i="9"/>
  <c r="F31" i="9"/>
  <c r="G31" i="9"/>
  <c r="B31" i="9"/>
  <c r="C30" i="9"/>
  <c r="D30" i="9"/>
  <c r="E30" i="9"/>
  <c r="F30" i="9"/>
  <c r="G30" i="9"/>
  <c r="B30" i="9"/>
  <c r="C25" i="9"/>
  <c r="D25" i="9"/>
  <c r="E25" i="9"/>
  <c r="F25" i="9"/>
  <c r="G25" i="9"/>
  <c r="B25" i="9"/>
  <c r="C24" i="9"/>
  <c r="D24" i="9"/>
  <c r="E24" i="9"/>
  <c r="F24" i="9"/>
  <c r="G24" i="9"/>
  <c r="B24" i="9"/>
  <c r="C23" i="9"/>
  <c r="D23" i="9"/>
  <c r="E23" i="9"/>
  <c r="F23" i="9"/>
  <c r="G23" i="9"/>
  <c r="B23" i="9"/>
  <c r="C18" i="9"/>
  <c r="D18" i="9"/>
  <c r="E18" i="9"/>
  <c r="F18" i="9"/>
  <c r="G18" i="9"/>
  <c r="B18" i="9"/>
  <c r="C17" i="9"/>
  <c r="D17" i="9"/>
  <c r="E17" i="9"/>
  <c r="F17" i="9"/>
  <c r="G17" i="9"/>
  <c r="B17" i="9"/>
  <c r="C16" i="9"/>
  <c r="D16" i="9"/>
  <c r="E16" i="9"/>
  <c r="F16" i="9"/>
  <c r="G16" i="9"/>
  <c r="B16" i="9"/>
  <c r="C11" i="9"/>
  <c r="D11" i="9"/>
  <c r="E11" i="9"/>
  <c r="F11" i="9"/>
  <c r="G11" i="9"/>
  <c r="G15" i="8"/>
  <c r="F15" i="8"/>
  <c r="E15" i="8"/>
  <c r="D15" i="8"/>
  <c r="C15" i="8"/>
  <c r="B15" i="8"/>
  <c r="C14" i="8"/>
  <c r="D14" i="8"/>
  <c r="E14" i="8"/>
  <c r="F14" i="8"/>
  <c r="G14" i="8"/>
  <c r="B14" i="8"/>
  <c r="V13" i="11" l="1"/>
  <c r="X25" i="11"/>
  <c r="U13" i="11"/>
  <c r="AL8" i="11"/>
  <c r="V8" i="11"/>
  <c r="N13" i="11"/>
  <c r="K8" i="11"/>
  <c r="P13" i="11"/>
  <c r="F13" i="11"/>
  <c r="L8" i="11" s="1"/>
  <c r="J8" i="11"/>
  <c r="AE13" i="11"/>
  <c r="Y8" i="11" s="1"/>
  <c r="Z8" i="11"/>
  <c r="AN8" i="11"/>
  <c r="AN10" i="11"/>
  <c r="AD13" i="11"/>
  <c r="X8" i="11" s="1"/>
  <c r="X3" i="11" s="1"/>
  <c r="H17" i="11"/>
  <c r="B13" i="11"/>
  <c r="T13" i="11"/>
  <c r="W8" i="11" s="1"/>
  <c r="W3" i="11" s="1"/>
  <c r="AA13" i="11"/>
  <c r="AG13" i="11" s="1"/>
  <c r="C13" i="11"/>
  <c r="I8" i="11" s="1"/>
  <c r="V3" i="11" s="1"/>
  <c r="G13" i="11"/>
  <c r="M8" i="11" s="1"/>
  <c r="Y3" i="11" l="1"/>
  <c r="Z3" i="11"/>
  <c r="H13" i="11"/>
  <c r="H8" i="11"/>
  <c r="U8" i="11"/>
  <c r="AA8" i="11" s="1"/>
  <c r="U3" i="11" l="1"/>
  <c r="AA3" i="11" s="1"/>
  <c r="N8" i="11"/>
  <c r="C12" i="8" l="1"/>
  <c r="D12" i="8"/>
  <c r="E12" i="8"/>
  <c r="F12" i="8"/>
  <c r="G12" i="8"/>
  <c r="B12" i="8"/>
  <c r="B11" i="9" l="1"/>
  <c r="G10" i="9"/>
  <c r="F10" i="9"/>
  <c r="E10" i="9"/>
  <c r="D10" i="9"/>
  <c r="C10" i="9"/>
  <c r="B10" i="9"/>
  <c r="G9" i="9"/>
  <c r="F9" i="9"/>
  <c r="E9" i="9"/>
  <c r="D9" i="9"/>
  <c r="C9" i="9"/>
  <c r="B9" i="9"/>
  <c r="G13" i="8"/>
  <c r="F13" i="8"/>
  <c r="E13" i="8"/>
  <c r="D13" i="8"/>
  <c r="C13" i="8"/>
  <c r="B13" i="8"/>
  <c r="D11" i="8"/>
  <c r="E11" i="8"/>
  <c r="F11" i="8"/>
  <c r="G11" i="8"/>
  <c r="C11" i="8"/>
  <c r="B11" i="8"/>
  <c r="D10" i="8"/>
  <c r="E10" i="8"/>
  <c r="F10" i="8"/>
  <c r="G10" i="8"/>
  <c r="C10" i="8"/>
  <c r="B10" i="8"/>
  <c r="G9" i="8"/>
  <c r="F9" i="8"/>
  <c r="E9" i="8"/>
  <c r="D9" i="8"/>
  <c r="C9" i="8"/>
  <c r="B9" i="8"/>
  <c r="G27" i="7" l="1"/>
  <c r="F27" i="7"/>
  <c r="E27" i="7"/>
  <c r="D27" i="7"/>
  <c r="C27" i="7"/>
  <c r="B27" i="7"/>
  <c r="F24" i="7"/>
  <c r="F25" i="7" s="1"/>
  <c r="G24" i="7"/>
  <c r="G25" i="7" s="1"/>
  <c r="E24" i="7"/>
  <c r="E25" i="7" s="1"/>
  <c r="D24" i="7"/>
  <c r="D25" i="7" s="1"/>
  <c r="C24" i="7"/>
  <c r="C25" i="7" s="1"/>
  <c r="B24" i="7"/>
  <c r="B25" i="7" s="1"/>
  <c r="G23" i="7"/>
  <c r="F23" i="7"/>
  <c r="E23" i="7"/>
  <c r="D23" i="7"/>
  <c r="C23" i="7"/>
  <c r="B23" i="7"/>
  <c r="G22" i="7"/>
  <c r="F22" i="7"/>
  <c r="E22" i="7"/>
  <c r="D22" i="7"/>
  <c r="C22" i="7"/>
  <c r="B22" i="7"/>
  <c r="G21" i="7"/>
  <c r="F21" i="7"/>
  <c r="E21" i="7"/>
  <c r="D21" i="7"/>
  <c r="C21" i="7"/>
  <c r="B21" i="7"/>
  <c r="F20" i="7"/>
  <c r="G20" i="7"/>
  <c r="E20" i="7"/>
  <c r="D20" i="7"/>
  <c r="C20" i="7"/>
  <c r="B20" i="7"/>
  <c r="G17" i="7"/>
  <c r="F17" i="7"/>
  <c r="E17" i="7"/>
  <c r="D17" i="7"/>
  <c r="C17" i="7"/>
  <c r="B17" i="7"/>
  <c r="G16" i="7"/>
  <c r="F16" i="7"/>
  <c r="E16" i="7"/>
  <c r="D16" i="7"/>
  <c r="C16" i="7"/>
  <c r="B16" i="7"/>
  <c r="G14" i="7"/>
  <c r="F14" i="7"/>
  <c r="E14" i="7"/>
  <c r="D14" i="7"/>
  <c r="C14" i="7"/>
  <c r="B14" i="7"/>
  <c r="G11" i="7"/>
  <c r="F11" i="7"/>
  <c r="E11" i="7"/>
  <c r="D11" i="7"/>
  <c r="C11" i="7"/>
  <c r="B11" i="7"/>
  <c r="G10" i="7"/>
  <c r="F10" i="7"/>
  <c r="E10" i="7"/>
  <c r="D10" i="7"/>
  <c r="C10" i="7"/>
  <c r="B10" i="7"/>
  <c r="B8" i="7"/>
  <c r="G8" i="7"/>
  <c r="F8" i="7"/>
  <c r="E8" i="7"/>
  <c r="D8" i="7"/>
  <c r="C8" i="7"/>
  <c r="C7" i="7"/>
  <c r="D7" i="7"/>
  <c r="E7" i="7"/>
  <c r="F7" i="7"/>
  <c r="G7" i="7"/>
  <c r="B7" i="7"/>
  <c r="G21" i="6"/>
  <c r="F21" i="6"/>
  <c r="E21" i="6"/>
  <c r="D21" i="6"/>
  <c r="C21" i="6"/>
  <c r="G20" i="6"/>
  <c r="F20" i="6"/>
  <c r="F8" i="6" s="1"/>
  <c r="F10" i="6" s="1"/>
  <c r="E20" i="6"/>
  <c r="D20" i="6"/>
  <c r="D20" i="5"/>
  <c r="C20" i="6"/>
  <c r="G16" i="6"/>
  <c r="F16" i="6"/>
  <c r="E16" i="6"/>
  <c r="D16" i="6"/>
  <c r="C16" i="6"/>
  <c r="G15" i="6"/>
  <c r="F15" i="6"/>
  <c r="E15" i="6"/>
  <c r="E13" i="6" s="1"/>
  <c r="D15" i="6"/>
  <c r="C15" i="6"/>
  <c r="G14" i="6"/>
  <c r="F14" i="6"/>
  <c r="E14" i="6"/>
  <c r="D14" i="6"/>
  <c r="C14" i="6"/>
  <c r="G13" i="6"/>
  <c r="G12" i="6"/>
  <c r="F12" i="6"/>
  <c r="E12" i="6"/>
  <c r="D12" i="6"/>
  <c r="C12" i="6"/>
  <c r="G9" i="6"/>
  <c r="F9" i="6"/>
  <c r="E9" i="6"/>
  <c r="D9" i="6"/>
  <c r="C9" i="6"/>
  <c r="E8" i="6"/>
  <c r="E10" i="6" s="1"/>
  <c r="D8" i="6"/>
  <c r="D10" i="6" s="1"/>
  <c r="G7" i="6"/>
  <c r="F7" i="6"/>
  <c r="E7" i="6"/>
  <c r="G8" i="6" l="1"/>
  <c r="G10" i="6" s="1"/>
  <c r="C8" i="6"/>
  <c r="C10" i="6" s="1"/>
  <c r="F13" i="6"/>
  <c r="D13" i="6"/>
  <c r="C13" i="6"/>
  <c r="D7" i="6" l="1"/>
  <c r="C7" i="6"/>
  <c r="B21" i="6"/>
  <c r="B20" i="6"/>
  <c r="B8" i="6" s="1"/>
  <c r="B10" i="6" s="1"/>
  <c r="B16" i="6"/>
  <c r="B15" i="6"/>
  <c r="B14" i="6"/>
  <c r="B13" i="6"/>
  <c r="B12" i="6"/>
  <c r="B9" i="6"/>
  <c r="B7" i="6"/>
</calcChain>
</file>

<file path=xl/sharedStrings.xml><?xml version="1.0" encoding="utf-8"?>
<sst xmlns="http://schemas.openxmlformats.org/spreadsheetml/2006/main" count="430" uniqueCount="327">
  <si>
    <t>Lucro Diluído por Ação</t>
  </si>
  <si>
    <t>3.99.02</t>
  </si>
  <si>
    <t>Lucro Básico por Ação</t>
  </si>
  <si>
    <t>3.99.01</t>
  </si>
  <si>
    <t>Lucro por Ação - (Reais / Ação)</t>
  </si>
  <si>
    <t>3.99</t>
  </si>
  <si>
    <t>Atribuído a Sócios Não Controladores</t>
  </si>
  <si>
    <t>3.11.02</t>
  </si>
  <si>
    <t>Atribuído a Sócios da Empresa Controladora</t>
  </si>
  <si>
    <t>3.11.01</t>
  </si>
  <si>
    <t>Lucro/Prejuízo Consolidado do Período</t>
  </si>
  <si>
    <t>3.11</t>
  </si>
  <si>
    <t>Ganhos/Perdas Líquidas sobre Ativos de Operações Descontinuadas</t>
  </si>
  <si>
    <t>3.10.02</t>
  </si>
  <si>
    <t>Lucro/Prejuízo Líquido das Operações Descontinuadas</t>
  </si>
  <si>
    <t>3.10.01</t>
  </si>
  <si>
    <t>Resultado Líquido de Operações Descontinuadas</t>
  </si>
  <si>
    <t>3.10</t>
  </si>
  <si>
    <t>Resultado Líquido das Operações Continuadas</t>
  </si>
  <si>
    <t>3.09</t>
  </si>
  <si>
    <t>Diferido</t>
  </si>
  <si>
    <t>3.08.02</t>
  </si>
  <si>
    <t>Corrente</t>
  </si>
  <si>
    <t>3.08.01</t>
  </si>
  <si>
    <t>Imposto de Renda e Contribuição Social sobre o Lucro</t>
  </si>
  <si>
    <t>3.08</t>
  </si>
  <si>
    <t>Resultado Antes dos Tributos sobre o Lucro</t>
  </si>
  <si>
    <t>3.07</t>
  </si>
  <si>
    <t>Despesas Financeiras</t>
  </si>
  <si>
    <t>3.06.02</t>
  </si>
  <si>
    <t>Receitas Financeiras</t>
  </si>
  <si>
    <t>3.06.01</t>
  </si>
  <si>
    <t>Resultado Financeiro</t>
  </si>
  <si>
    <t>3.06</t>
  </si>
  <si>
    <t>Resultado Antes do Resultado Financeiro e dos Tributos</t>
  </si>
  <si>
    <t>3.05</t>
  </si>
  <si>
    <t>Resultado de Equivalência Patrimonial</t>
  </si>
  <si>
    <t>3.04.06</t>
  </si>
  <si>
    <t>Outras Despesas Operacionais</t>
  </si>
  <si>
    <t>3.04.05</t>
  </si>
  <si>
    <t>Outras Receitas Operacionais</t>
  </si>
  <si>
    <t>3.04.04</t>
  </si>
  <si>
    <t>Perdas pela Não Recuperabilidade de Ativos</t>
  </si>
  <si>
    <t>3.04.03</t>
  </si>
  <si>
    <t>Despesas Gerais e Administrativas</t>
  </si>
  <si>
    <t>3.04.02</t>
  </si>
  <si>
    <t>Despesas com Vendas</t>
  </si>
  <si>
    <t>3.04.01</t>
  </si>
  <si>
    <t>Despesas/Receitas Operacionais</t>
  </si>
  <si>
    <t>3.04</t>
  </si>
  <si>
    <t>Resultado Bruto</t>
  </si>
  <si>
    <t>3.03</t>
  </si>
  <si>
    <t>Custo dos Bens e/ou Serviços Vendidos</t>
  </si>
  <si>
    <t>3.02</t>
  </si>
  <si>
    <t>Receita de Venda de Bens e/ou Serviços</t>
  </si>
  <si>
    <t>3.01</t>
  </si>
  <si>
    <t>30/09/2014"</t>
  </si>
  <si>
    <t>30/09/2015"</t>
  </si>
  <si>
    <t>30/09/2016"</t>
  </si>
  <si>
    <t>30/09/2017"</t>
  </si>
  <si>
    <t>30/09/2018"</t>
  </si>
  <si>
    <t>30/09/2019"</t>
  </si>
  <si>
    <t>Descrição</t>
  </si>
  <si>
    <t>Conta</t>
  </si>
  <si>
    <t>Período:</t>
  </si>
  <si>
    <t>Demonstrativo:</t>
  </si>
  <si>
    <t>EMPRESA:</t>
  </si>
  <si>
    <t>Saldo Final de Caixa e Equivalentes</t>
  </si>
  <si>
    <t>6.05.02</t>
  </si>
  <si>
    <t>Saldo Inicial de Caixa e Equivalentes</t>
  </si>
  <si>
    <t>6.05.01</t>
  </si>
  <si>
    <t>Aumento (Redução) de Caixa e Equivalentes</t>
  </si>
  <si>
    <t>6.05</t>
  </si>
  <si>
    <t>Variação Cambial s/ Caixa e Equivalentes</t>
  </si>
  <si>
    <t>6.04</t>
  </si>
  <si>
    <t>Aumento de Capital</t>
  </si>
  <si>
    <t>6.03.09</t>
  </si>
  <si>
    <t>Pagamento de leasing financeiro</t>
  </si>
  <si>
    <t>6.03.07</t>
  </si>
  <si>
    <t>6.03.06</t>
  </si>
  <si>
    <t>Operações com derivativos</t>
  </si>
  <si>
    <t>6.03.04</t>
  </si>
  <si>
    <t>Dividendos pagos</t>
  </si>
  <si>
    <t>6.03.03</t>
  </si>
  <si>
    <t>Amortização de empréstimos</t>
  </si>
  <si>
    <t>6.03.02</t>
  </si>
  <si>
    <t>Novos empréstimos</t>
  </si>
  <si>
    <t>6.03.01</t>
  </si>
  <si>
    <t>Caixa Líquido Atividades de Financiamento</t>
  </si>
  <si>
    <t>6.03</t>
  </si>
  <si>
    <t>Caixa recebido na venda de ativo imobilizado</t>
  </si>
  <si>
    <t>6.02.04</t>
  </si>
  <si>
    <t>Adições ao imobilizado e intangível</t>
  </si>
  <si>
    <t>6.02.02</t>
  </si>
  <si>
    <t>Títulos e valores mobiliários</t>
  </si>
  <si>
    <t>6.02.01</t>
  </si>
  <si>
    <t>Caixa Líquido Atividades de Investimento</t>
  </si>
  <si>
    <t>6.02</t>
  </si>
  <si>
    <t>Outros</t>
  </si>
  <si>
    <t>6.01.03</t>
  </si>
  <si>
    <t>Variações nos Ativos e Passivos</t>
  </si>
  <si>
    <t>6.01.02</t>
  </si>
  <si>
    <t>Caixa Gerado nas Operações</t>
  </si>
  <si>
    <t>6.01.01</t>
  </si>
  <si>
    <t>Caixa Líquido Atividades Operacionais</t>
  </si>
  <si>
    <t>6.01</t>
  </si>
  <si>
    <t>Participação dos Acionistas Não Controladores</t>
  </si>
  <si>
    <t>2.03.09</t>
  </si>
  <si>
    <t>Outros Resultados Abrangentes</t>
  </si>
  <si>
    <t>2.03.08</t>
  </si>
  <si>
    <t>Ajustes Acumulados de Conversão</t>
  </si>
  <si>
    <t>2.03.07</t>
  </si>
  <si>
    <t>Ajustes de Avaliação Patrimonial</t>
  </si>
  <si>
    <t>2.03.06</t>
  </si>
  <si>
    <t>Lucros/Prejuízos Acumulados</t>
  </si>
  <si>
    <t>2.03.05</t>
  </si>
  <si>
    <t>Reservas de Lucros</t>
  </si>
  <si>
    <t>2.03.04</t>
  </si>
  <si>
    <t>Reservas de Reavaliação</t>
  </si>
  <si>
    <t>2.03.03</t>
  </si>
  <si>
    <t>Reservas de Capital</t>
  </si>
  <si>
    <t>2.03.02</t>
  </si>
  <si>
    <t>Capital Social Realizado</t>
  </si>
  <si>
    <t>2.03.01</t>
  </si>
  <si>
    <t>Patrimônio Líquido Consolidado</t>
  </si>
  <si>
    <t>2.03</t>
  </si>
  <si>
    <t>Lucros e Receitas a Apropriar</t>
  </si>
  <si>
    <t>2.02.06</t>
  </si>
  <si>
    <t>Passivos sobre Ativos Não-Correntes a Venda e Descontinuados</t>
  </si>
  <si>
    <t>2.02.05</t>
  </si>
  <si>
    <t>Provisões</t>
  </si>
  <si>
    <t>2.02.04</t>
  </si>
  <si>
    <t>Tributos Diferidos</t>
  </si>
  <si>
    <t>2.02.03</t>
  </si>
  <si>
    <t>Outras Obrigações</t>
  </si>
  <si>
    <t>2.02.02</t>
  </si>
  <si>
    <t>Empréstimos e Financiamentos</t>
  </si>
  <si>
    <t>2.02.01</t>
  </si>
  <si>
    <t>Passivo Não Circulante</t>
  </si>
  <si>
    <t>2.02</t>
  </si>
  <si>
    <t>2.01.07</t>
  </si>
  <si>
    <t>2.01.06</t>
  </si>
  <si>
    <t>2.01.05</t>
  </si>
  <si>
    <t>2.01.04</t>
  </si>
  <si>
    <t>Obrigações Fiscais</t>
  </si>
  <si>
    <t>2.01.03</t>
  </si>
  <si>
    <t>Fornecedores</t>
  </si>
  <si>
    <t>2.01.02</t>
  </si>
  <si>
    <t>Obrigações Sociais e Trabalhistas</t>
  </si>
  <si>
    <t>2.01.01</t>
  </si>
  <si>
    <t>Passivo Circulante</t>
  </si>
  <si>
    <t>2.01</t>
  </si>
  <si>
    <t>Passivo Total</t>
  </si>
  <si>
    <t>31/12/2014</t>
  </si>
  <si>
    <t>31/12/2015</t>
  </si>
  <si>
    <t>31/12/2016</t>
  </si>
  <si>
    <t>31/12/2017</t>
  </si>
  <si>
    <t>31/12/2018</t>
  </si>
  <si>
    <t>30/09/2019</t>
  </si>
  <si>
    <t>Intangível</t>
  </si>
  <si>
    <t>1.02.04</t>
  </si>
  <si>
    <t>Imobilizado</t>
  </si>
  <si>
    <t>1.02.03</t>
  </si>
  <si>
    <t>Investimentos</t>
  </si>
  <si>
    <t>1.02.02</t>
  </si>
  <si>
    <t>Ativo Realizável a Longo Prazo</t>
  </si>
  <si>
    <t>1.02.01</t>
  </si>
  <si>
    <t>Ativo Não Circulante</t>
  </si>
  <si>
    <t>1.02</t>
  </si>
  <si>
    <t>Outros Ativos Circulantes</t>
  </si>
  <si>
    <t>1.01.08</t>
  </si>
  <si>
    <t>Despesas Antecipadas</t>
  </si>
  <si>
    <t>1.01.07</t>
  </si>
  <si>
    <t>Tributos a Recuperar</t>
  </si>
  <si>
    <t>1.01.06</t>
  </si>
  <si>
    <t>Ativos Biológicos</t>
  </si>
  <si>
    <t>1.01.05</t>
  </si>
  <si>
    <t>Estoques</t>
  </si>
  <si>
    <t>1.01.04</t>
  </si>
  <si>
    <t>Contas a Receber</t>
  </si>
  <si>
    <t>1.01.03</t>
  </si>
  <si>
    <t>Aplicações Financeiras</t>
  </si>
  <si>
    <t>1.01.02</t>
  </si>
  <si>
    <t>Caixa e Equivalentes de Caixa</t>
  </si>
  <si>
    <t>1.01.01</t>
  </si>
  <si>
    <t>Ativo Circulante</t>
  </si>
  <si>
    <t>1.01</t>
  </si>
  <si>
    <t>Ativo Total</t>
  </si>
  <si>
    <t>PC Operacional</t>
  </si>
  <si>
    <t>AC Operacional</t>
  </si>
  <si>
    <t>Capital Aplicado Total</t>
  </si>
  <si>
    <t xml:space="preserve">                   Patrimônio dos Acionistas</t>
  </si>
  <si>
    <t xml:space="preserve">                   Dívidas de Longo Prazo</t>
  </si>
  <si>
    <r>
      <rPr>
        <b/>
        <sz val="11"/>
        <color theme="1"/>
        <rFont val="Calibri"/>
        <family val="2"/>
        <scheme val="minor"/>
      </rPr>
      <t>· </t>
    </r>
    <r>
      <rPr>
        <sz val="11"/>
        <color theme="1"/>
        <rFont val="Calibri"/>
        <family val="2"/>
        <scheme val="minor"/>
      </rPr>
      <t>        Financiamento de Longo Prazo</t>
    </r>
  </si>
  <si>
    <r>
      <rPr>
        <b/>
        <sz val="11"/>
        <color theme="1"/>
        <rFont val="Calibri"/>
        <family val="2"/>
        <scheme val="minor"/>
      </rPr>
      <t>· </t>
    </r>
    <r>
      <rPr>
        <sz val="11"/>
        <color theme="1"/>
        <rFont val="Calibri"/>
        <family val="2"/>
        <scheme val="minor"/>
      </rPr>
      <t>        Dívidas de curto prazo</t>
    </r>
  </si>
  <si>
    <t>Capital Aplicado ou Fontes de recursos</t>
  </si>
  <si>
    <t>Capital Investido total ou Ativos Líquidos Totais</t>
  </si>
  <si>
    <r>
      <rPr>
        <b/>
        <sz val="11"/>
        <color theme="1"/>
        <rFont val="Calibri"/>
        <family val="2"/>
        <scheme val="minor"/>
      </rPr>
      <t>· </t>
    </r>
    <r>
      <rPr>
        <sz val="11"/>
        <color theme="1"/>
        <rFont val="Calibri"/>
        <family val="2"/>
        <scheme val="minor"/>
      </rPr>
      <t>        Ativos Fixos Líquidos</t>
    </r>
  </si>
  <si>
    <r>
      <rPr>
        <b/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2"/>
        <scheme val="minor"/>
      </rPr>
      <t>         Necessidades de capital de Giro (NCG)</t>
    </r>
  </si>
  <si>
    <r>
      <rPr>
        <b/>
        <sz val="11"/>
        <color theme="1"/>
        <rFont val="Calibri"/>
        <family val="2"/>
        <scheme val="minor"/>
      </rPr>
      <t>·</t>
    </r>
    <r>
      <rPr>
        <sz val="11"/>
        <color theme="1"/>
        <rFont val="Calibri"/>
        <family val="2"/>
        <scheme val="minor"/>
      </rPr>
      <t>         Caixa e equivalentes de caixa</t>
    </r>
  </si>
  <si>
    <t>Capital Investido ou Ativos Líquidos</t>
  </si>
  <si>
    <t>Período: 2014 - 2019</t>
  </si>
  <si>
    <t>Demonstrativo: Balanço Gerencial</t>
  </si>
  <si>
    <t xml:space="preserve">EMPRESA: </t>
  </si>
  <si>
    <t xml:space="preserve">Compras=CPV+ (Estoques finais-estoques iniciais) </t>
  </si>
  <si>
    <t>Ciclo de caixa= Prazo médio estoques + PM de recebimento-PM de pagamento</t>
  </si>
  <si>
    <t>Prazo médio de pagamento= contas a pagar a fornecedores/compras diárias médias</t>
  </si>
  <si>
    <t>Prazo médio de recebimento= contas a receber de clientes/vendas diárias médias</t>
  </si>
  <si>
    <t>Prazo médio de estoques= 365/Giro = Estoques*365/CPV</t>
  </si>
  <si>
    <t>Giro de estoques = CPV/Estoques</t>
  </si>
  <si>
    <t>NCG/Receita Líquida Operacional=</t>
  </si>
  <si>
    <t>Gestão do Ciclo Operacional</t>
  </si>
  <si>
    <t>Liquidez = FLLP/NCG</t>
  </si>
  <si>
    <t>FLLP = Dívidas de Longo Prazo + Patrimônio dos acionistas - Ativos Fixos Líquidos</t>
  </si>
  <si>
    <t>Financiamento do Ciclo Operacional</t>
  </si>
  <si>
    <t xml:space="preserve">NCG= </t>
  </si>
  <si>
    <t>Investimento Líquido no ciclo operacional ou em necessidades de capital de giro (NCG)</t>
  </si>
  <si>
    <t>Índice de Liquidez Seca (Acid Test)= (Ativos Circulantes - Estoques)/Passivos Circulantes</t>
  </si>
  <si>
    <t>Índice de Liquidez Corrente= Ativos Circulantes/Passivos Circulantes</t>
  </si>
  <si>
    <t>Capital de Giro Líquido = Ativo Circulante - Passivo Circulante=</t>
  </si>
  <si>
    <t>Capital de Giro Líquido = Financiamentos de Longo Prazo - Ativos Fixos Líquidos=</t>
  </si>
  <si>
    <t>Medidas de Liquidez Tradicionais</t>
  </si>
  <si>
    <t>Demonstrativo: Análise de Liquidez</t>
  </si>
  <si>
    <t>EMPRESA: TIMP3 - TELEFÔNICA BRASIL S.A</t>
  </si>
  <si>
    <t>Fluxo de Caixa Livre</t>
  </si>
  <si>
    <t>Lucro Antes de Juros e Impostos (LAJI) ou (EBIT)</t>
  </si>
  <si>
    <t xml:space="preserve">         (-) Despesas com Imposto sobre LAJI    (Tc = 34%)</t>
  </si>
  <si>
    <t>Lucro Antes de Juros e Depois dos Impostos (NOPAT)</t>
  </si>
  <si>
    <t xml:space="preserve">         (+) Despesas de depreciação</t>
  </si>
  <si>
    <t xml:space="preserve">         (-) Variação das Necessidades de Capital de Giro</t>
  </si>
  <si>
    <t xml:space="preserve">         (-) Gastos líquidos de capital (CAPEX)</t>
  </si>
  <si>
    <t>Fluxos de Caixa Livre da Empresa</t>
  </si>
  <si>
    <t>ROE = LDI/PA</t>
  </si>
  <si>
    <t xml:space="preserve">         Lucro Depois do Imposto (LDI) ou Lucro Líquido</t>
  </si>
  <si>
    <t xml:space="preserve">         Patrimônio Líquido dos Acionistas ou PL</t>
  </si>
  <si>
    <t>Retorno sobre o Capital Próprio (ROE)</t>
  </si>
  <si>
    <t>ROICbt = LAJI/Capital Investido</t>
  </si>
  <si>
    <t xml:space="preserve">         Lucro Antes dos Juros e do Imposto (LAJI ou EBIT)</t>
  </si>
  <si>
    <t xml:space="preserve">         Capital Investido</t>
  </si>
  <si>
    <r>
      <t>Retorno sobre o Capital Investido (ROICb</t>
    </r>
    <r>
      <rPr>
        <b/>
        <sz val="8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</si>
  <si>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r>
      <t>ROICb</t>
    </r>
    <r>
      <rPr>
        <b/>
        <sz val="8"/>
        <color theme="0"/>
        <rFont val="Calibri"/>
        <family val="2"/>
        <scheme val="minor"/>
      </rPr>
      <t xml:space="preserve">t </t>
    </r>
    <r>
      <rPr>
        <b/>
        <sz val="11"/>
        <color theme="0"/>
        <rFont val="Calibri"/>
        <family val="2"/>
        <scheme val="minor"/>
      </rPr>
      <t>= Margem de Lucro Operacional x Giro do Capital</t>
    </r>
  </si>
  <si>
    <t xml:space="preserve">         Margem de Lucro Operacional = EBIT/Receita Operacional Líquida</t>
  </si>
  <si>
    <t xml:space="preserve">         Giro de Capital = Receita Operacional Líquida / Capital Investido</t>
  </si>
  <si>
    <t>Efeitos das Decisões de Financiamento</t>
  </si>
  <si>
    <t xml:space="preserve">         Indice de Custo Financeiro = EBT / EBIT</t>
  </si>
  <si>
    <t xml:space="preserve">         Indice da Estrutura Financeira = Capital Investido / PL</t>
  </si>
  <si>
    <t>Multiplicador Financeiro = Ind. Custo Financ. X Ind. Estrutura Fin.</t>
  </si>
  <si>
    <t xml:space="preserve">         Indice de Efeito Fiscal = EAT/EBT = 1 - aliquota efetiva de imposto</t>
  </si>
  <si>
    <t>ROE = ROICbt X Multiplicador Financeiro x (1 - aliquota efet. imposto)</t>
  </si>
  <si>
    <t>6.01.01.01</t>
  </si>
  <si>
    <t>Lucro antes dos impostos</t>
  </si>
  <si>
    <t>6.01.01.02</t>
  </si>
  <si>
    <t>Depreciação e amortização</t>
  </si>
  <si>
    <t>6.01.01.03</t>
  </si>
  <si>
    <t>Valor residual de ativo permanente baixado</t>
  </si>
  <si>
    <t>6.01.01.04</t>
  </si>
  <si>
    <t>Atualização monetária provisões desmobilização de ativos</t>
  </si>
  <si>
    <t>6.01.01.05</t>
  </si>
  <si>
    <t>Provisão para processos administrativos e judiciais</t>
  </si>
  <si>
    <t>6.01.01.06</t>
  </si>
  <si>
    <t>Atualização monetária sobre os depósitos e processos judiciais</t>
  </si>
  <si>
    <t>6.01.01.07</t>
  </si>
  <si>
    <t>Juros, variação monetária e cambial s/ empréstimos e outros ajustes financeiros</t>
  </si>
  <si>
    <t>6.01.01.08</t>
  </si>
  <si>
    <t>Atualização monetária sobre dividendos</t>
  </si>
  <si>
    <t>6.01.01.09</t>
  </si>
  <si>
    <t>Juros sobre aplicações financeiras</t>
  </si>
  <si>
    <t>6.01.01.10</t>
  </si>
  <si>
    <t>Provisão para créditos de liquidação duvidosa</t>
  </si>
  <si>
    <t>6.01.01.11</t>
  </si>
  <si>
    <t>Opções de compra de ações</t>
  </si>
  <si>
    <t>6.01.01.12</t>
  </si>
  <si>
    <t>Outros ajustes financeiros</t>
  </si>
  <si>
    <t>6.01.01.13</t>
  </si>
  <si>
    <t>Juros s/ leasing a pagar</t>
  </si>
  <si>
    <t>6.01.01.14</t>
  </si>
  <si>
    <t>Juros s/ leasing a receber</t>
  </si>
  <si>
    <t>6.01.01.15</t>
  </si>
  <si>
    <t>Ganho na venda de ativo imobilizado baixado - Torres</t>
  </si>
  <si>
    <t>6.01.02.01</t>
  </si>
  <si>
    <t>Contas a receber de clientes</t>
  </si>
  <si>
    <t>6.01.02.02</t>
  </si>
  <si>
    <t>Impostos e contribuições a recuperar</t>
  </si>
  <si>
    <t>6.01.02.03</t>
  </si>
  <si>
    <t>6.01.02.04</t>
  </si>
  <si>
    <t>Despesas antecipadas</t>
  </si>
  <si>
    <t>6.01.02.05</t>
  </si>
  <si>
    <t>Depósitos judiciais</t>
  </si>
  <si>
    <t>6.01.02.06</t>
  </si>
  <si>
    <t>Outros ativos</t>
  </si>
  <si>
    <t>6.01.02.07</t>
  </si>
  <si>
    <t>Obrigações trabalhistas</t>
  </si>
  <si>
    <t>6.01.02.08</t>
  </si>
  <si>
    <t>6.01.02.09</t>
  </si>
  <si>
    <t>Impostos, taxas e contribuições</t>
  </si>
  <si>
    <t>6.01.02.10</t>
  </si>
  <si>
    <t>Pagamento de processos administrativos e judiciais</t>
  </si>
  <si>
    <t>6.01.02.11</t>
  </si>
  <si>
    <t>Autorizações a pagar</t>
  </si>
  <si>
    <t>6.01.02.12</t>
  </si>
  <si>
    <t>Outros passivos</t>
  </si>
  <si>
    <t>6.01.02.13</t>
  </si>
  <si>
    <t>Receita diferida</t>
  </si>
  <si>
    <t>6.02.03</t>
  </si>
  <si>
    <t>Obrigações decorrentes de descontinuidade de ativos</t>
  </si>
  <si>
    <t>Reembolso aos acionistas - grupamento de ações TIM Fiber RJ S.A.</t>
  </si>
  <si>
    <t>6.03.08</t>
  </si>
  <si>
    <t>Recebimento de leasing financeiro</t>
  </si>
  <si>
    <t>Vendas</t>
  </si>
  <si>
    <t>Custo e Despesas operacionais</t>
  </si>
  <si>
    <t>EBIT</t>
  </si>
  <si>
    <t>ROICbt</t>
  </si>
  <si>
    <t>%</t>
  </si>
  <si>
    <t>Margem de lucro operacional</t>
  </si>
  <si>
    <t>Giro do Capital</t>
  </si>
  <si>
    <t>Capital investido</t>
  </si>
  <si>
    <t>Caixa</t>
  </si>
  <si>
    <t>NCG</t>
  </si>
  <si>
    <t>Ativos fixos</t>
  </si>
  <si>
    <t>ROE - Retorno sobre capital próprio</t>
  </si>
  <si>
    <t>Multiplicador alavancagem Fin</t>
  </si>
  <si>
    <t>Efeito Fiscal</t>
  </si>
  <si>
    <t>EAT</t>
  </si>
  <si>
    <t>Índice de Estrutura Financeira</t>
  </si>
  <si>
    <t>Índice de Custo Financeiro</t>
  </si>
  <si>
    <t>EBT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</si>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</sst>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8">
    <xf numFmtId="0" fontId="0" fillId="0" borderId="0" xfId="0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1" fillId="4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5" borderId="0" xfId="0" applyFill="1" applyAlignment="1">
      <alignment horizontal="left"/>
    </xf>
    <xf numFmtId="0" fontId="0" fillId="0" borderId="0" xfId="0" applyBorder="1"/>
    <xf numFmtId="0" fontId="5" fillId="6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5" xfId="0" applyBorder="1"/>
    <xf numFmtId="0" fontId="1" fillId="4" borderId="1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4" fillId="4" borderId="0" xfId="0" applyFont="1" applyFill="1" applyBorder="1"/>
    <xf numFmtId="0" fontId="5" fillId="6" borderId="22" xfId="0" applyFont="1" applyFill="1" applyBorder="1"/>
    <xf numFmtId="0" fontId="0" fillId="0" borderId="23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5" fillId="0" borderId="31" xfId="0" applyFont="1" applyBorder="1"/>
    <xf numFmtId="0" fontId="0" fillId="0" borderId="31" xfId="0" applyBorder="1"/>
    <xf numFmtId="0" fontId="5" fillId="0" borderId="32" xfId="0" applyFont="1" applyBorder="1"/>
    <xf numFmtId="0" fontId="0" fillId="0" borderId="33" xfId="0" applyBorder="1"/>
    <xf numFmtId="0" fontId="2" fillId="0" borderId="34" xfId="0" applyFont="1" applyBorder="1"/>
    <xf numFmtId="0" fontId="0" fillId="0" borderId="35" xfId="0" applyBorder="1"/>
    <xf numFmtId="0" fontId="0" fillId="0" borderId="32" xfId="0" applyBorder="1"/>
    <xf numFmtId="3" fontId="0" fillId="0" borderId="14" xfId="0" applyNumberFormat="1" applyBorder="1"/>
    <xf numFmtId="3" fontId="0" fillId="0" borderId="9" xfId="0" applyNumberFormat="1" applyBorder="1"/>
    <xf numFmtId="3" fontId="0" fillId="6" borderId="21" xfId="0" applyNumberFormat="1" applyFill="1" applyBorder="1"/>
    <xf numFmtId="3" fontId="0" fillId="0" borderId="0" xfId="0" applyNumberFormat="1" applyBorder="1"/>
    <xf numFmtId="3" fontId="0" fillId="0" borderId="26" xfId="0" applyNumberFormat="1" applyBorder="1"/>
    <xf numFmtId="3" fontId="0" fillId="0" borderId="25" xfId="0" applyNumberFormat="1" applyBorder="1"/>
    <xf numFmtId="3" fontId="0" fillId="0" borderId="24" xfId="0" applyNumberFormat="1" applyBorder="1"/>
    <xf numFmtId="3" fontId="0" fillId="0" borderId="8" xfId="0" applyNumberFormat="1" applyBorder="1"/>
    <xf numFmtId="3" fontId="0" fillId="0" borderId="12" xfId="0" applyNumberFormat="1" applyBorder="1"/>
    <xf numFmtId="3" fontId="0" fillId="0" borderId="7" xfId="0" applyNumberFormat="1" applyBorder="1"/>
    <xf numFmtId="3" fontId="0" fillId="0" borderId="6" xfId="0" applyNumberFormat="1" applyBorder="1"/>
    <xf numFmtId="3" fontId="0" fillId="6" borderId="20" xfId="0" applyNumberFormat="1" applyFill="1" applyBorder="1"/>
    <xf numFmtId="3" fontId="0" fillId="6" borderId="19" xfId="0" applyNumberFormat="1" applyFill="1" applyBorder="1"/>
    <xf numFmtId="3" fontId="0" fillId="6" borderId="18" xfId="0" applyNumberFormat="1" applyFill="1" applyBorder="1"/>
    <xf numFmtId="3" fontId="0" fillId="0" borderId="11" xfId="0" applyNumberFormat="1" applyBorder="1"/>
    <xf numFmtId="3" fontId="0" fillId="6" borderId="3" xfId="0" applyNumberFormat="1" applyFill="1" applyBorder="1"/>
    <xf numFmtId="3" fontId="0" fillId="6" borderId="2" xfId="0" applyNumberFormat="1" applyFill="1" applyBorder="1"/>
    <xf numFmtId="3" fontId="0" fillId="6" borderId="1" xfId="0" applyNumberFormat="1" applyFill="1" applyBorder="1"/>
    <xf numFmtId="0" fontId="0" fillId="7" borderId="9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7" xfId="0" applyFill="1" applyBorder="1"/>
    <xf numFmtId="0" fontId="0" fillId="7" borderId="6" xfId="0" applyFill="1" applyBorder="1"/>
    <xf numFmtId="3" fontId="0" fillId="7" borderId="0" xfId="0" applyNumberFormat="1" applyFill="1"/>
    <xf numFmtId="0" fontId="0" fillId="7" borderId="0" xfId="0" applyFill="1"/>
    <xf numFmtId="10" fontId="0" fillId="0" borderId="0" xfId="0" applyNumberFormat="1"/>
    <xf numFmtId="10" fontId="0" fillId="7" borderId="0" xfId="0" applyNumberFormat="1" applyFill="1"/>
    <xf numFmtId="2" fontId="0" fillId="0" borderId="0" xfId="0" applyNumberFormat="1"/>
    <xf numFmtId="0" fontId="6" fillId="4" borderId="0" xfId="0" applyFont="1" applyFill="1" applyAlignment="1">
      <alignment horizontal="center" vertical="center"/>
    </xf>
    <xf numFmtId="0" fontId="0" fillId="4" borderId="0" xfId="0" applyFill="1"/>
    <xf numFmtId="0" fontId="5" fillId="8" borderId="36" xfId="0" applyFont="1" applyFill="1" applyBorder="1"/>
    <xf numFmtId="0" fontId="0" fillId="0" borderId="36" xfId="0" applyBorder="1"/>
    <xf numFmtId="14" fontId="1" fillId="4" borderId="37" xfId="0" applyNumberFormat="1" applyFont="1" applyFill="1" applyBorder="1" applyAlignment="1">
      <alignment horizontal="center" vertical="center"/>
    </xf>
    <xf numFmtId="14" fontId="1" fillId="4" borderId="38" xfId="0" applyNumberFormat="1" applyFont="1" applyFill="1" applyBorder="1" applyAlignment="1">
      <alignment horizontal="center" vertical="center"/>
    </xf>
    <xf numFmtId="3" fontId="0" fillId="8" borderId="0" xfId="0" applyNumberFormat="1" applyFill="1"/>
    <xf numFmtId="0" fontId="4" fillId="4" borderId="0" xfId="0" applyFont="1" applyFill="1" applyBorder="1" applyAlignment="1">
      <alignment horizontal="left" vertical="center"/>
    </xf>
    <xf numFmtId="0" fontId="0" fillId="0" borderId="39" xfId="0" applyBorder="1"/>
    <xf numFmtId="0" fontId="5" fillId="0" borderId="40" xfId="0" applyFont="1" applyBorder="1"/>
    <xf numFmtId="0" fontId="4" fillId="4" borderId="41" xfId="0" applyFont="1" applyFill="1" applyBorder="1" applyAlignment="1">
      <alignment horizontal="left" vertical="center"/>
    </xf>
    <xf numFmtId="0" fontId="5" fillId="0" borderId="39" xfId="0" applyFont="1" applyBorder="1"/>
    <xf numFmtId="0" fontId="0" fillId="0" borderId="42" xfId="0" applyBorder="1"/>
    <xf numFmtId="0" fontId="4" fillId="4" borderId="40" xfId="0" applyFont="1" applyFill="1" applyBorder="1" applyAlignment="1">
      <alignment horizontal="left" vertical="center"/>
    </xf>
    <xf numFmtId="0" fontId="5" fillId="0" borderId="43" xfId="0" applyFont="1" applyBorder="1"/>
    <xf numFmtId="0" fontId="0" fillId="0" borderId="43" xfId="0" applyBorder="1"/>
    <xf numFmtId="0" fontId="1" fillId="4" borderId="40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0" fillId="0" borderId="0" xfId="0" applyFont="1"/>
    <xf numFmtId="9" fontId="0" fillId="0" borderId="0" xfId="2" applyFont="1"/>
    <xf numFmtId="164" fontId="0" fillId="0" borderId="0" xfId="2" applyNumberFormat="1" applyFont="1"/>
    <xf numFmtId="4" fontId="0" fillId="0" borderId="0" xfId="0" applyNumberFormat="1"/>
    <xf numFmtId="164" fontId="0" fillId="0" borderId="0" xfId="0" applyNumberFormat="1"/>
    <xf numFmtId="0" fontId="0" fillId="0" borderId="38" xfId="0" applyBorder="1"/>
    <xf numFmtId="0" fontId="5" fillId="4" borderId="36" xfId="0" applyFont="1" applyFill="1" applyBorder="1" applyAlignment="1">
      <alignment horizontal="center"/>
    </xf>
    <xf numFmtId="0" fontId="5" fillId="0" borderId="0" xfId="0" applyFont="1"/>
    <xf numFmtId="0" fontId="5" fillId="4" borderId="47" xfId="0" applyFont="1" applyFill="1" applyBorder="1" applyAlignment="1">
      <alignment horizontal="center"/>
    </xf>
    <xf numFmtId="164" fontId="9" fillId="9" borderId="47" xfId="2" applyNumberFormat="1" applyFont="1" applyFill="1" applyBorder="1"/>
    <xf numFmtId="9" fontId="9" fillId="9" borderId="36" xfId="2" applyFont="1" applyFill="1" applyBorder="1"/>
    <xf numFmtId="0" fontId="0" fillId="0" borderId="48" xfId="0" applyBorder="1"/>
    <xf numFmtId="43" fontId="9" fillId="9" borderId="47" xfId="1" applyFont="1" applyFill="1" applyBorder="1"/>
    <xf numFmtId="3" fontId="0" fillId="9" borderId="36" xfId="0" applyNumberFormat="1" applyFill="1" applyBorder="1"/>
    <xf numFmtId="9" fontId="0" fillId="9" borderId="36" xfId="2" applyFont="1" applyFill="1" applyBorder="1"/>
    <xf numFmtId="3" fontId="5" fillId="9" borderId="36" xfId="0" applyNumberFormat="1" applyFont="1" applyFill="1" applyBorder="1" applyAlignment="1">
      <alignment wrapText="1"/>
    </xf>
    <xf numFmtId="9" fontId="5" fillId="9" borderId="36" xfId="2" applyFont="1" applyFill="1" applyBorder="1"/>
    <xf numFmtId="9" fontId="8" fillId="9" borderId="36" xfId="2" applyFont="1" applyFill="1" applyBorder="1"/>
    <xf numFmtId="0" fontId="5" fillId="4" borderId="36" xfId="0" applyFont="1" applyFill="1" applyBorder="1" applyAlignment="1">
      <alignment wrapText="1"/>
    </xf>
    <xf numFmtId="9" fontId="9" fillId="9" borderId="47" xfId="2" applyFont="1" applyFill="1" applyBorder="1"/>
    <xf numFmtId="9" fontId="8" fillId="0" borderId="0" xfId="2" applyFont="1" applyBorder="1"/>
    <xf numFmtId="0" fontId="5" fillId="4" borderId="36" xfId="0" applyFont="1" applyFill="1" applyBorder="1" applyAlignment="1">
      <alignment horizontal="center" wrapText="1"/>
    </xf>
    <xf numFmtId="0" fontId="5" fillId="4" borderId="36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wrapText="1"/>
    </xf>
    <xf numFmtId="0" fontId="0" fillId="4" borderId="36" xfId="0" applyFill="1" applyBorder="1" applyAlignment="1">
      <alignment horizontal="center"/>
    </xf>
    <xf numFmtId="0" fontId="0" fillId="4" borderId="36" xfId="0" applyFont="1" applyFill="1" applyBorder="1" applyAlignment="1">
      <alignment horizontal="center"/>
    </xf>
    <xf numFmtId="0" fontId="0" fillId="4" borderId="36" xfId="0" applyFont="1" applyFill="1" applyBorder="1" applyAlignment="1">
      <alignment horizontal="center" wrapText="1"/>
    </xf>
    <xf numFmtId="0" fontId="5" fillId="4" borderId="45" xfId="0" applyFont="1" applyFill="1" applyBorder="1" applyAlignment="1">
      <alignment horizontal="center"/>
    </xf>
    <xf numFmtId="0" fontId="5" fillId="4" borderId="46" xfId="0" applyFont="1" applyFill="1" applyBorder="1" applyAlignment="1">
      <alignment horizontal="center"/>
    </xf>
    <xf numFmtId="0" fontId="5" fillId="4" borderId="47" xfId="0" applyFont="1" applyFill="1" applyBorder="1" applyAlignment="1">
      <alignment horizontal="center"/>
    </xf>
    <xf numFmtId="0" fontId="5" fillId="4" borderId="49" xfId="0" applyFont="1" applyFill="1" applyBorder="1" applyAlignment="1">
      <alignment horizontal="center"/>
    </xf>
    <xf numFmtId="3" fontId="0" fillId="7" borderId="9" xfId="0" applyNumberFormat="1" applyFill="1" applyBorder="1"/>
    <xf numFmtId="3" fontId="0" fillId="7" borderId="13" xfId="0" applyNumberFormat="1" applyFill="1" applyBorder="1"/>
    <xf numFmtId="3" fontId="0" fillId="7" borderId="8" xfId="0" applyNumberFormat="1" applyFill="1" applyBorder="1"/>
    <xf numFmtId="3" fontId="0" fillId="7" borderId="4" xfId="0" applyNumberFormat="1" applyFill="1" applyBorder="1"/>
    <xf numFmtId="164" fontId="0" fillId="7" borderId="0" xfId="2" applyNumberFormat="1" applyFont="1" applyFill="1"/>
    <xf numFmtId="4" fontId="0" fillId="7" borderId="0" xfId="0" applyNumberFormat="1" applyFill="1"/>
    <xf numFmtId="164" fontId="0" fillId="7" borderId="0" xfId="0" applyNumberFormat="1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9</xdr:row>
      <xdr:rowOff>0</xdr:rowOff>
    </xdr:from>
    <xdr:to>
      <xdr:col>2</xdr:col>
      <xdr:colOff>295275</xdr:colOff>
      <xdr:row>10</xdr:row>
      <xdr:rowOff>0</xdr:rowOff>
    </xdr:to>
    <xdr:cxnSp macro="">
      <xdr:nvCxnSpPr>
        <xdr:cNvPr id="2" name="Conector de seta reta 1"/>
        <xdr:cNvCxnSpPr/>
      </xdr:nvCxnSpPr>
      <xdr:spPr>
        <a:xfrm flipV="1">
          <a:off x="2924175" y="1790700"/>
          <a:ext cx="0" cy="2000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257175</xdr:colOff>
      <xdr:row>8</xdr:row>
      <xdr:rowOff>180975</xdr:rowOff>
    </xdr:from>
    <xdr:to>
      <xdr:col>13</xdr:col>
      <xdr:colOff>257175</xdr:colOff>
      <xdr:row>10</xdr:row>
      <xdr:rowOff>0</xdr:rowOff>
    </xdr:to>
    <xdr:cxnSp macro="">
      <xdr:nvCxnSpPr>
        <xdr:cNvPr id="3" name="Conector de seta reta 2"/>
        <xdr:cNvCxnSpPr/>
      </xdr:nvCxnSpPr>
      <xdr:spPr>
        <a:xfrm flipV="1">
          <a:off x="10801350" y="1771650"/>
          <a:ext cx="0" cy="21907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304800</xdr:colOff>
      <xdr:row>9</xdr:row>
      <xdr:rowOff>0</xdr:rowOff>
    </xdr:from>
    <xdr:to>
      <xdr:col>19</xdr:col>
      <xdr:colOff>304800</xdr:colOff>
      <xdr:row>10</xdr:row>
      <xdr:rowOff>0</xdr:rowOff>
    </xdr:to>
    <xdr:cxnSp macro="">
      <xdr:nvCxnSpPr>
        <xdr:cNvPr id="4" name="Conector de seta reta 3"/>
        <xdr:cNvCxnSpPr/>
      </xdr:nvCxnSpPr>
      <xdr:spPr>
        <a:xfrm flipV="1">
          <a:off x="15116175" y="1790700"/>
          <a:ext cx="0" cy="2000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352425</xdr:colOff>
      <xdr:row>9</xdr:row>
      <xdr:rowOff>0</xdr:rowOff>
    </xdr:from>
    <xdr:to>
      <xdr:col>27</xdr:col>
      <xdr:colOff>352425</xdr:colOff>
      <xdr:row>10</xdr:row>
      <xdr:rowOff>0</xdr:rowOff>
    </xdr:to>
    <xdr:cxnSp macro="">
      <xdr:nvCxnSpPr>
        <xdr:cNvPr id="5" name="Conector de seta reta 4"/>
        <xdr:cNvCxnSpPr/>
      </xdr:nvCxnSpPr>
      <xdr:spPr>
        <a:xfrm flipV="1">
          <a:off x="20650200" y="1790700"/>
          <a:ext cx="0" cy="2000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4</xdr:row>
      <xdr:rowOff>9525</xdr:rowOff>
    </xdr:from>
    <xdr:to>
      <xdr:col>8</xdr:col>
      <xdr:colOff>323850</xdr:colOff>
      <xdr:row>5</xdr:row>
      <xdr:rowOff>9525</xdr:rowOff>
    </xdr:to>
    <xdr:cxnSp macro="">
      <xdr:nvCxnSpPr>
        <xdr:cNvPr id="6" name="Conector de seta reta 5"/>
        <xdr:cNvCxnSpPr/>
      </xdr:nvCxnSpPr>
      <xdr:spPr>
        <a:xfrm flipV="1">
          <a:off x="7134225" y="800100"/>
          <a:ext cx="0" cy="2000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419100</xdr:colOff>
      <xdr:row>4</xdr:row>
      <xdr:rowOff>9525</xdr:rowOff>
    </xdr:from>
    <xdr:to>
      <xdr:col>25</xdr:col>
      <xdr:colOff>419100</xdr:colOff>
      <xdr:row>5</xdr:row>
      <xdr:rowOff>9525</xdr:rowOff>
    </xdr:to>
    <xdr:cxnSp macro="">
      <xdr:nvCxnSpPr>
        <xdr:cNvPr id="7" name="Conector de seta reta 6"/>
        <xdr:cNvCxnSpPr/>
      </xdr:nvCxnSpPr>
      <xdr:spPr>
        <a:xfrm flipV="1">
          <a:off x="19345275" y="800100"/>
          <a:ext cx="0" cy="2000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342900</xdr:colOff>
      <xdr:row>4</xdr:row>
      <xdr:rowOff>19050</xdr:rowOff>
    </xdr:from>
    <xdr:to>
      <xdr:col>34</xdr:col>
      <xdr:colOff>342900</xdr:colOff>
      <xdr:row>5</xdr:row>
      <xdr:rowOff>19050</xdr:rowOff>
    </xdr:to>
    <xdr:cxnSp macro="">
      <xdr:nvCxnSpPr>
        <xdr:cNvPr id="8" name="Conector de seta reta 7"/>
        <xdr:cNvCxnSpPr/>
      </xdr:nvCxnSpPr>
      <xdr:spPr>
        <a:xfrm flipV="1">
          <a:off x="25441275" y="809625"/>
          <a:ext cx="0" cy="2000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13</xdr:row>
      <xdr:rowOff>0</xdr:rowOff>
    </xdr:from>
    <xdr:to>
      <xdr:col>2</xdr:col>
      <xdr:colOff>285750</xdr:colOff>
      <xdr:row>14</xdr:row>
      <xdr:rowOff>0</xdr:rowOff>
    </xdr:to>
    <xdr:cxnSp macro="">
      <xdr:nvCxnSpPr>
        <xdr:cNvPr id="9" name="Conector de seta reta 8"/>
        <xdr:cNvCxnSpPr/>
      </xdr:nvCxnSpPr>
      <xdr:spPr>
        <a:xfrm flipV="1">
          <a:off x="2914650" y="2590800"/>
          <a:ext cx="0" cy="2000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171450</xdr:colOff>
      <xdr:row>13</xdr:row>
      <xdr:rowOff>9525</xdr:rowOff>
    </xdr:from>
    <xdr:to>
      <xdr:col>13</xdr:col>
      <xdr:colOff>171450</xdr:colOff>
      <xdr:row>14</xdr:row>
      <xdr:rowOff>114300</xdr:rowOff>
    </xdr:to>
    <xdr:cxnSp macro="">
      <xdr:nvCxnSpPr>
        <xdr:cNvPr id="10" name="Conector de seta reta 9"/>
        <xdr:cNvCxnSpPr/>
      </xdr:nvCxnSpPr>
      <xdr:spPr>
        <a:xfrm flipV="1">
          <a:off x="10715625" y="2600325"/>
          <a:ext cx="0" cy="30480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8</xdr:row>
      <xdr:rowOff>180975</xdr:rowOff>
    </xdr:from>
    <xdr:to>
      <xdr:col>13</xdr:col>
      <xdr:colOff>247650</xdr:colOff>
      <xdr:row>8</xdr:row>
      <xdr:rowOff>180975</xdr:rowOff>
    </xdr:to>
    <xdr:cxnSp macro="">
      <xdr:nvCxnSpPr>
        <xdr:cNvPr id="11" name="Conector reto 10"/>
        <xdr:cNvCxnSpPr/>
      </xdr:nvCxnSpPr>
      <xdr:spPr>
        <a:xfrm>
          <a:off x="2914650" y="1771650"/>
          <a:ext cx="7877175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314325</xdr:colOff>
      <xdr:row>9</xdr:row>
      <xdr:rowOff>0</xdr:rowOff>
    </xdr:from>
    <xdr:to>
      <xdr:col>27</xdr:col>
      <xdr:colOff>381000</xdr:colOff>
      <xdr:row>9</xdr:row>
      <xdr:rowOff>0</xdr:rowOff>
    </xdr:to>
    <xdr:cxnSp macro="">
      <xdr:nvCxnSpPr>
        <xdr:cNvPr id="12" name="Conector reto 11"/>
        <xdr:cNvCxnSpPr/>
      </xdr:nvCxnSpPr>
      <xdr:spPr>
        <a:xfrm>
          <a:off x="15125700" y="1790700"/>
          <a:ext cx="5553075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4</xdr:row>
      <xdr:rowOff>19050</xdr:rowOff>
    </xdr:from>
    <xdr:to>
      <xdr:col>34</xdr:col>
      <xdr:colOff>342900</xdr:colOff>
      <xdr:row>4</xdr:row>
      <xdr:rowOff>19050</xdr:rowOff>
    </xdr:to>
    <xdr:cxnSp macro="">
      <xdr:nvCxnSpPr>
        <xdr:cNvPr id="13" name="Conector reto 12"/>
        <xdr:cNvCxnSpPr/>
      </xdr:nvCxnSpPr>
      <xdr:spPr>
        <a:xfrm>
          <a:off x="7153275" y="809625"/>
          <a:ext cx="1828800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409575</xdr:colOff>
      <xdr:row>3</xdr:row>
      <xdr:rowOff>9525</xdr:rowOff>
    </xdr:from>
    <xdr:to>
      <xdr:col>25</xdr:col>
      <xdr:colOff>409575</xdr:colOff>
      <xdr:row>4</xdr:row>
      <xdr:rowOff>9525</xdr:rowOff>
    </xdr:to>
    <xdr:cxnSp macro="">
      <xdr:nvCxnSpPr>
        <xdr:cNvPr id="14" name="Conector de seta reta 13"/>
        <xdr:cNvCxnSpPr/>
      </xdr:nvCxnSpPr>
      <xdr:spPr>
        <a:xfrm flipV="1">
          <a:off x="19335750" y="609600"/>
          <a:ext cx="0" cy="19050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8</xdr:row>
      <xdr:rowOff>9525</xdr:rowOff>
    </xdr:from>
    <xdr:to>
      <xdr:col>8</xdr:col>
      <xdr:colOff>285750</xdr:colOff>
      <xdr:row>9</xdr:row>
      <xdr:rowOff>9525</xdr:rowOff>
    </xdr:to>
    <xdr:cxnSp macro="">
      <xdr:nvCxnSpPr>
        <xdr:cNvPr id="15" name="Conector de seta reta 14"/>
        <xdr:cNvCxnSpPr/>
      </xdr:nvCxnSpPr>
      <xdr:spPr>
        <a:xfrm flipV="1">
          <a:off x="7096125" y="1600200"/>
          <a:ext cx="0" cy="2000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647700</xdr:colOff>
      <xdr:row>7</xdr:row>
      <xdr:rowOff>171450</xdr:rowOff>
    </xdr:from>
    <xdr:to>
      <xdr:col>25</xdr:col>
      <xdr:colOff>647700</xdr:colOff>
      <xdr:row>8</xdr:row>
      <xdr:rowOff>171450</xdr:rowOff>
    </xdr:to>
    <xdr:cxnSp macro="">
      <xdr:nvCxnSpPr>
        <xdr:cNvPr id="16" name="Conector de seta reta 15"/>
        <xdr:cNvCxnSpPr/>
      </xdr:nvCxnSpPr>
      <xdr:spPr>
        <a:xfrm flipV="1">
          <a:off x="19573875" y="1562100"/>
          <a:ext cx="0" cy="2000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14</xdr:row>
      <xdr:rowOff>114300</xdr:rowOff>
    </xdr:from>
    <xdr:to>
      <xdr:col>13</xdr:col>
      <xdr:colOff>200025</xdr:colOff>
      <xdr:row>14</xdr:row>
      <xdr:rowOff>133350</xdr:rowOff>
    </xdr:to>
    <xdr:cxnSp macro="">
      <xdr:nvCxnSpPr>
        <xdr:cNvPr id="17" name="Conector de seta reta 16"/>
        <xdr:cNvCxnSpPr/>
      </xdr:nvCxnSpPr>
      <xdr:spPr>
        <a:xfrm flipV="1">
          <a:off x="6819900" y="2905125"/>
          <a:ext cx="3924300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333375</xdr:colOff>
      <xdr:row>12</xdr:row>
      <xdr:rowOff>180975</xdr:rowOff>
    </xdr:from>
    <xdr:to>
      <xdr:col>13</xdr:col>
      <xdr:colOff>342900</xdr:colOff>
      <xdr:row>18</xdr:row>
      <xdr:rowOff>9525</xdr:rowOff>
    </xdr:to>
    <xdr:cxnSp macro="">
      <xdr:nvCxnSpPr>
        <xdr:cNvPr id="18" name="Conector de seta reta 17"/>
        <xdr:cNvCxnSpPr/>
      </xdr:nvCxnSpPr>
      <xdr:spPr>
        <a:xfrm flipH="1" flipV="1">
          <a:off x="10877550" y="2571750"/>
          <a:ext cx="9525" cy="102870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200025</xdr:colOff>
      <xdr:row>13</xdr:row>
      <xdr:rowOff>19050</xdr:rowOff>
    </xdr:from>
    <xdr:to>
      <xdr:col>19</xdr:col>
      <xdr:colOff>209550</xdr:colOff>
      <xdr:row>18</xdr:row>
      <xdr:rowOff>209551</xdr:rowOff>
    </xdr:to>
    <xdr:cxnSp macro="">
      <xdr:nvCxnSpPr>
        <xdr:cNvPr id="19" name="Conector de seta reta 18"/>
        <xdr:cNvCxnSpPr/>
      </xdr:nvCxnSpPr>
      <xdr:spPr>
        <a:xfrm flipH="1" flipV="1">
          <a:off x="15011400" y="2609850"/>
          <a:ext cx="9525" cy="1162051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47625</xdr:colOff>
      <xdr:row>18</xdr:row>
      <xdr:rowOff>209550</xdr:rowOff>
    </xdr:from>
    <xdr:to>
      <xdr:col>19</xdr:col>
      <xdr:colOff>238125</xdr:colOff>
      <xdr:row>18</xdr:row>
      <xdr:rowOff>209550</xdr:rowOff>
    </xdr:to>
    <xdr:cxnSp macro="">
      <xdr:nvCxnSpPr>
        <xdr:cNvPr id="20" name="Conector de seta reta 19"/>
        <xdr:cNvCxnSpPr/>
      </xdr:nvCxnSpPr>
      <xdr:spPr>
        <a:xfrm>
          <a:off x="12801600" y="3771900"/>
          <a:ext cx="2247900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400050</xdr:colOff>
      <xdr:row>13</xdr:row>
      <xdr:rowOff>47626</xdr:rowOff>
    </xdr:from>
    <xdr:to>
      <xdr:col>19</xdr:col>
      <xdr:colOff>409575</xdr:colOff>
      <xdr:row>24</xdr:row>
      <xdr:rowOff>19050</xdr:rowOff>
    </xdr:to>
    <xdr:cxnSp macro="">
      <xdr:nvCxnSpPr>
        <xdr:cNvPr id="21" name="Conector de seta reta 20"/>
        <xdr:cNvCxnSpPr/>
      </xdr:nvCxnSpPr>
      <xdr:spPr>
        <a:xfrm flipV="1">
          <a:off x="15211425" y="2638426"/>
          <a:ext cx="9525" cy="2133599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304800</xdr:colOff>
      <xdr:row>8</xdr:row>
      <xdr:rowOff>9525</xdr:rowOff>
    </xdr:from>
    <xdr:to>
      <xdr:col>38</xdr:col>
      <xdr:colOff>304800</xdr:colOff>
      <xdr:row>9</xdr:row>
      <xdr:rowOff>9525</xdr:rowOff>
    </xdr:to>
    <xdr:cxnSp macro="">
      <xdr:nvCxnSpPr>
        <xdr:cNvPr id="22" name="Conector de seta reta 21"/>
        <xdr:cNvCxnSpPr/>
      </xdr:nvCxnSpPr>
      <xdr:spPr>
        <a:xfrm flipV="1">
          <a:off x="28146375" y="1600200"/>
          <a:ext cx="0" cy="2000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714375</xdr:colOff>
      <xdr:row>9</xdr:row>
      <xdr:rowOff>209550</xdr:rowOff>
    </xdr:from>
    <xdr:to>
      <xdr:col>0</xdr:col>
      <xdr:colOff>1466850</xdr:colOff>
      <xdr:row>10</xdr:row>
      <xdr:rowOff>133350</xdr:rowOff>
    </xdr:to>
    <xdr:sp macro="" textlink="">
      <xdr:nvSpPr>
        <xdr:cNvPr id="23" name="Texto explicativo retangular com cantos arredondados 22"/>
        <xdr:cNvSpPr/>
      </xdr:nvSpPr>
      <xdr:spPr>
        <a:xfrm>
          <a:off x="714375" y="1990725"/>
          <a:ext cx="752475" cy="133350"/>
        </a:xfrm>
        <a:prstGeom prst="wedgeRoundRectCallout">
          <a:avLst>
            <a:gd name="adj1" fmla="val 85496"/>
            <a:gd name="adj2" fmla="val 32292"/>
            <a:gd name="adj3" fmla="val 16667"/>
          </a:avLst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</a:rPr>
            <a:t>EBIT/Vendas</a:t>
          </a:r>
        </a:p>
      </xdr:txBody>
    </xdr:sp>
    <xdr:clientData/>
  </xdr:twoCellAnchor>
  <xdr:twoCellAnchor>
    <xdr:from>
      <xdr:col>13</xdr:col>
      <xdr:colOff>533400</xdr:colOff>
      <xdr:row>14</xdr:row>
      <xdr:rowOff>9525</xdr:rowOff>
    </xdr:from>
    <xdr:to>
      <xdr:col>15</xdr:col>
      <xdr:colOff>0</xdr:colOff>
      <xdr:row>16</xdr:row>
      <xdr:rowOff>9525</xdr:rowOff>
    </xdr:to>
    <xdr:sp macro="" textlink="">
      <xdr:nvSpPr>
        <xdr:cNvPr id="24" name="Texto explicativo retangular com cantos arredondados 23"/>
        <xdr:cNvSpPr/>
      </xdr:nvSpPr>
      <xdr:spPr>
        <a:xfrm>
          <a:off x="11077575" y="2800350"/>
          <a:ext cx="990600" cy="400050"/>
        </a:xfrm>
        <a:prstGeom prst="wedgeRoundRectCallout">
          <a:avLst>
            <a:gd name="adj1" fmla="val -43618"/>
            <a:gd name="adj2" fmla="val -97083"/>
            <a:gd name="adj3" fmla="val 16667"/>
          </a:avLst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</a:rPr>
            <a:t>Vendas/ Cap Investido</a:t>
          </a:r>
        </a:p>
      </xdr:txBody>
    </xdr:sp>
    <xdr:clientData/>
  </xdr:twoCellAnchor>
  <xdr:twoCellAnchor>
    <xdr:from>
      <xdr:col>16</xdr:col>
      <xdr:colOff>381000</xdr:colOff>
      <xdr:row>14</xdr:row>
      <xdr:rowOff>28574</xdr:rowOff>
    </xdr:from>
    <xdr:to>
      <xdr:col>19</xdr:col>
      <xdr:colOff>47625</xdr:colOff>
      <xdr:row>16</xdr:row>
      <xdr:rowOff>110835</xdr:rowOff>
    </xdr:to>
    <xdr:sp macro="" textlink="">
      <xdr:nvSpPr>
        <xdr:cNvPr id="25" name="Texto explicativo retangular com cantos arredondados 24"/>
        <xdr:cNvSpPr/>
      </xdr:nvSpPr>
      <xdr:spPr>
        <a:xfrm>
          <a:off x="13134975" y="2819399"/>
          <a:ext cx="1724025" cy="482311"/>
        </a:xfrm>
        <a:prstGeom prst="wedgeRoundRectCallout">
          <a:avLst>
            <a:gd name="adj1" fmla="val 60179"/>
            <a:gd name="adj2" fmla="val -99583"/>
            <a:gd name="adj3" fmla="val 16667"/>
          </a:avLst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</a:rPr>
            <a:t>Cap </a:t>
          </a:r>
          <a:r>
            <a:rPr lang="en-US" sz="8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Investido/Patrim acionistas</a:t>
          </a:r>
        </a:p>
      </xdr:txBody>
    </xdr:sp>
    <xdr:clientData/>
  </xdr:twoCellAnchor>
  <xdr:twoCellAnchor>
    <xdr:from>
      <xdr:col>25</xdr:col>
      <xdr:colOff>200025</xdr:colOff>
      <xdr:row>11</xdr:row>
      <xdr:rowOff>142875</xdr:rowOff>
    </xdr:from>
    <xdr:to>
      <xdr:col>25</xdr:col>
      <xdr:colOff>952500</xdr:colOff>
      <xdr:row>13</xdr:row>
      <xdr:rowOff>142875</xdr:rowOff>
    </xdr:to>
    <xdr:sp macro="" textlink="">
      <xdr:nvSpPr>
        <xdr:cNvPr id="26" name="Texto explicativo retangular com cantos arredondados 25"/>
        <xdr:cNvSpPr/>
      </xdr:nvSpPr>
      <xdr:spPr>
        <a:xfrm>
          <a:off x="19126200" y="2333625"/>
          <a:ext cx="485775" cy="400050"/>
        </a:xfrm>
        <a:prstGeom prst="wedgeRoundRectCallout">
          <a:avLst>
            <a:gd name="adj1" fmla="val 58914"/>
            <a:gd name="adj2" fmla="val -92083"/>
            <a:gd name="adj3" fmla="val 16667"/>
          </a:avLst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</a:rPr>
            <a:t>EBT/ EBIT</a:t>
          </a:r>
        </a:p>
      </xdr:txBody>
    </xdr:sp>
    <xdr:clientData/>
  </xdr:twoCellAnchor>
  <xdr:twoCellAnchor>
    <xdr:from>
      <xdr:col>31</xdr:col>
      <xdr:colOff>390525</xdr:colOff>
      <xdr:row>6</xdr:row>
      <xdr:rowOff>85725</xdr:rowOff>
    </xdr:from>
    <xdr:to>
      <xdr:col>32</xdr:col>
      <xdr:colOff>533400</xdr:colOff>
      <xdr:row>8</xdr:row>
      <xdr:rowOff>85725</xdr:rowOff>
    </xdr:to>
    <xdr:sp macro="" textlink="">
      <xdr:nvSpPr>
        <xdr:cNvPr id="27" name="Texto explicativo retangular com cantos arredondados 26"/>
        <xdr:cNvSpPr/>
      </xdr:nvSpPr>
      <xdr:spPr>
        <a:xfrm>
          <a:off x="23431500" y="1276350"/>
          <a:ext cx="828675" cy="400050"/>
        </a:xfrm>
        <a:prstGeom prst="wedgeRoundRectCallout">
          <a:avLst>
            <a:gd name="adj1" fmla="val 58914"/>
            <a:gd name="adj2" fmla="val -92083"/>
            <a:gd name="adj3" fmla="val 16667"/>
          </a:avLst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</a:rPr>
            <a:t>EAT/ EBT</a:t>
          </a:r>
        </a:p>
      </xdr:txBody>
    </xdr:sp>
    <xdr:clientData/>
  </xdr:twoCellAnchor>
  <xdr:twoCellAnchor>
    <xdr:from>
      <xdr:col>27</xdr:col>
      <xdr:colOff>323850</xdr:colOff>
      <xdr:row>12</xdr:row>
      <xdr:rowOff>180976</xdr:rowOff>
    </xdr:from>
    <xdr:to>
      <xdr:col>27</xdr:col>
      <xdr:colOff>323850</xdr:colOff>
      <xdr:row>18</xdr:row>
      <xdr:rowOff>9525</xdr:rowOff>
    </xdr:to>
    <xdr:cxnSp macro="">
      <xdr:nvCxnSpPr>
        <xdr:cNvPr id="28" name="Conector de seta reta 27"/>
        <xdr:cNvCxnSpPr/>
      </xdr:nvCxnSpPr>
      <xdr:spPr>
        <a:xfrm flipV="1">
          <a:off x="20621625" y="2571751"/>
          <a:ext cx="0" cy="1028699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228600</xdr:colOff>
      <xdr:row>6</xdr:row>
      <xdr:rowOff>104775</xdr:rowOff>
    </xdr:from>
    <xdr:to>
      <xdr:col>19</xdr:col>
      <xdr:colOff>371474</xdr:colOff>
      <xdr:row>8</xdr:row>
      <xdr:rowOff>104775</xdr:rowOff>
    </xdr:to>
    <xdr:sp macro="" textlink="">
      <xdr:nvSpPr>
        <xdr:cNvPr id="29" name="Texto explicativo retangular com cantos arredondados 28"/>
        <xdr:cNvSpPr/>
      </xdr:nvSpPr>
      <xdr:spPr>
        <a:xfrm>
          <a:off x="14354175" y="1295400"/>
          <a:ext cx="828674" cy="400050"/>
        </a:xfrm>
        <a:prstGeom prst="wedgeRoundRectCallout">
          <a:avLst>
            <a:gd name="adj1" fmla="val 70435"/>
            <a:gd name="adj2" fmla="val -89583"/>
            <a:gd name="adj3" fmla="val 16667"/>
          </a:avLst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Ind Estrut financ x Índ Custo Financ</a:t>
          </a:r>
        </a:p>
      </xdr:txBody>
    </xdr:sp>
    <xdr:clientData/>
  </xdr:twoCellAnchor>
  <xdr:twoCellAnchor>
    <xdr:from>
      <xdr:col>4</xdr:col>
      <xdr:colOff>609600</xdr:colOff>
      <xdr:row>6</xdr:row>
      <xdr:rowOff>19050</xdr:rowOff>
    </xdr:from>
    <xdr:to>
      <xdr:col>6</xdr:col>
      <xdr:colOff>371474</xdr:colOff>
      <xdr:row>8</xdr:row>
      <xdr:rowOff>19050</xdr:rowOff>
    </xdr:to>
    <xdr:sp macro="" textlink="">
      <xdr:nvSpPr>
        <xdr:cNvPr id="30" name="Texto explicativo retangular com cantos arredondados 29"/>
        <xdr:cNvSpPr/>
      </xdr:nvSpPr>
      <xdr:spPr>
        <a:xfrm>
          <a:off x="4638675" y="1209675"/>
          <a:ext cx="1171574" cy="400050"/>
        </a:xfrm>
        <a:prstGeom prst="wedgeRoundRectCallout">
          <a:avLst>
            <a:gd name="adj1" fmla="val 72999"/>
            <a:gd name="adj2" fmla="val -89583"/>
            <a:gd name="adj3" fmla="val 16667"/>
          </a:avLst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Margem lucro operac x Giro de capital</a:t>
          </a:r>
        </a:p>
      </xdr:txBody>
    </xdr:sp>
    <xdr:clientData/>
  </xdr:twoCellAnchor>
  <xdr:twoCellAnchor>
    <xdr:from>
      <xdr:col>14</xdr:col>
      <xdr:colOff>228600</xdr:colOff>
      <xdr:row>1</xdr:row>
      <xdr:rowOff>19050</xdr:rowOff>
    </xdr:from>
    <xdr:to>
      <xdr:col>19</xdr:col>
      <xdr:colOff>361949</xdr:colOff>
      <xdr:row>3</xdr:row>
      <xdr:rowOff>19050</xdr:rowOff>
    </xdr:to>
    <xdr:sp macro="" textlink="">
      <xdr:nvSpPr>
        <xdr:cNvPr id="31" name="Texto explicativo retangular com cantos arredondados 30"/>
        <xdr:cNvSpPr/>
      </xdr:nvSpPr>
      <xdr:spPr>
        <a:xfrm>
          <a:off x="11534775" y="219075"/>
          <a:ext cx="3638549" cy="400050"/>
        </a:xfrm>
        <a:prstGeom prst="wedgeRoundRectCallout">
          <a:avLst>
            <a:gd name="adj1" fmla="val 63140"/>
            <a:gd name="adj2" fmla="val -79583"/>
            <a:gd name="adj3" fmla="val 16667"/>
          </a:avLst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8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ROICbt x Multiplicador alavancagem Financ x efeito fiscal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&#225;rio\Downloads\VIVT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A"/>
      <sheetName val="BPP"/>
      <sheetName val="DRE"/>
      <sheetName val="DFC"/>
      <sheetName val="BG"/>
      <sheetName val="Liquidez"/>
      <sheetName val="FCF"/>
      <sheetName val="Rentabilidade"/>
      <sheetName val="Determinantes do ROE"/>
    </sheetNames>
    <sheetDataSet>
      <sheetData sheetId="0"/>
      <sheetData sheetId="1"/>
      <sheetData sheetId="2"/>
      <sheetData sheetId="3"/>
      <sheetData sheetId="4">
        <row r="15">
          <cell r="B15">
            <v>70612262</v>
          </cell>
          <cell r="C15">
            <v>71607027</v>
          </cell>
          <cell r="D15">
            <v>69461358</v>
          </cell>
          <cell r="E15">
            <v>69244419</v>
          </cell>
          <cell r="F15">
            <v>68567242</v>
          </cell>
          <cell r="G15">
            <v>44950095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7" sqref="B17"/>
    </sheetView>
  </sheetViews>
  <sheetFormatPr defaultRowHeight="15" x14ac:dyDescent="0.25"/>
  <cols>
    <col min="1" max="1" width="17.5703125" customWidth="1"/>
    <col min="2" max="2" width="62.140625" customWidth="1"/>
    <col min="3" max="3" width="15.7109375" customWidth="1"/>
    <col min="4" max="5" width="14.7109375" customWidth="1"/>
    <col min="6" max="6" width="14.28515625" customWidth="1"/>
    <col min="7" max="7" width="13.7109375" customWidth="1"/>
    <col min="8" max="8" width="14.28515625" customWidth="1"/>
  </cols>
  <sheetData>
    <row r="1" spans="1:8" ht="18.75" x14ac:dyDescent="0.3">
      <c r="A1" s="7" t="s">
        <v>66</v>
      </c>
    </row>
    <row r="2" spans="1:8" ht="15.75" x14ac:dyDescent="0.25">
      <c r="A2" s="6" t="s">
        <v>65</v>
      </c>
    </row>
    <row r="3" spans="1:8" ht="15.75" x14ac:dyDescent="0.25">
      <c r="A3" s="6" t="s">
        <v>64</v>
      </c>
    </row>
    <row r="6" spans="1:8" x14ac:dyDescent="0.25">
      <c r="A6" s="4" t="s">
        <v>63</v>
      </c>
      <c r="B6" s="4" t="s">
        <v>62</v>
      </c>
      <c r="C6" s="4" t="s">
        <v>158</v>
      </c>
      <c r="D6" s="4" t="s">
        <v>157</v>
      </c>
      <c r="E6" s="4" t="s">
        <v>156</v>
      </c>
      <c r="F6" s="4" t="s">
        <v>155</v>
      </c>
      <c r="G6" s="4" t="s">
        <v>154</v>
      </c>
      <c r="H6" s="4" t="s">
        <v>153</v>
      </c>
    </row>
    <row r="7" spans="1:8" x14ac:dyDescent="0.25">
      <c r="A7" s="8">
        <v>1</v>
      </c>
      <c r="B7" t="s">
        <v>187</v>
      </c>
      <c r="C7" s="3">
        <v>38910409</v>
      </c>
      <c r="D7" s="3">
        <v>31957889</v>
      </c>
      <c r="E7" s="3">
        <v>32600365</v>
      </c>
      <c r="F7" s="3">
        <v>34655680</v>
      </c>
      <c r="G7" s="3">
        <v>35556388</v>
      </c>
      <c r="H7" s="3">
        <v>32695111</v>
      </c>
    </row>
    <row r="8" spans="1:8" x14ac:dyDescent="0.25">
      <c r="A8" s="2" t="s">
        <v>186</v>
      </c>
      <c r="B8" t="s">
        <v>185</v>
      </c>
      <c r="C8" s="3">
        <v>6707360</v>
      </c>
      <c r="D8" s="3">
        <v>5998126</v>
      </c>
      <c r="E8" s="3">
        <v>7607388</v>
      </c>
      <c r="F8" s="3">
        <v>10107399</v>
      </c>
      <c r="G8" s="3">
        <v>12040246</v>
      </c>
      <c r="H8" s="3">
        <v>11174415</v>
      </c>
    </row>
    <row r="9" spans="1:8" x14ac:dyDescent="0.25">
      <c r="A9" s="1" t="s">
        <v>184</v>
      </c>
      <c r="B9" t="s">
        <v>183</v>
      </c>
      <c r="C9" s="3">
        <v>875857</v>
      </c>
      <c r="D9" s="3">
        <v>1075530</v>
      </c>
      <c r="E9" s="3">
        <v>2960718</v>
      </c>
      <c r="F9" s="3">
        <v>5128186</v>
      </c>
      <c r="G9" s="3">
        <v>6100403</v>
      </c>
      <c r="H9" s="3">
        <v>5232992</v>
      </c>
    </row>
    <row r="10" spans="1:8" x14ac:dyDescent="0.25">
      <c r="A10" s="1" t="s">
        <v>182</v>
      </c>
      <c r="B10" t="s">
        <v>181</v>
      </c>
      <c r="C10" s="3">
        <v>781897</v>
      </c>
      <c r="D10" s="3">
        <v>784841</v>
      </c>
      <c r="E10" s="3">
        <v>765614</v>
      </c>
      <c r="F10" s="3">
        <v>479953</v>
      </c>
      <c r="G10" s="3">
        <v>599414</v>
      </c>
      <c r="H10">
        <v>0</v>
      </c>
    </row>
    <row r="11" spans="1:8" x14ac:dyDescent="0.25">
      <c r="A11" s="1" t="s">
        <v>180</v>
      </c>
      <c r="B11" t="s">
        <v>179</v>
      </c>
      <c r="C11" s="3">
        <v>3197728</v>
      </c>
      <c r="D11" s="3">
        <v>2838808</v>
      </c>
      <c r="E11" s="3">
        <v>2540856</v>
      </c>
      <c r="F11" s="3">
        <v>2919177</v>
      </c>
      <c r="G11" s="3">
        <v>2858089</v>
      </c>
      <c r="H11" s="3">
        <v>3537417</v>
      </c>
    </row>
    <row r="12" spans="1:8" x14ac:dyDescent="0.25">
      <c r="A12" s="1" t="s">
        <v>178</v>
      </c>
      <c r="B12" t="s">
        <v>177</v>
      </c>
      <c r="C12" s="3">
        <v>211034</v>
      </c>
      <c r="D12" s="3">
        <v>183059</v>
      </c>
      <c r="E12" s="3">
        <v>123785</v>
      </c>
      <c r="F12" s="3">
        <v>143934</v>
      </c>
      <c r="G12" s="3">
        <v>141720</v>
      </c>
      <c r="H12" s="3">
        <v>264033</v>
      </c>
    </row>
    <row r="13" spans="1:8" x14ac:dyDescent="0.25">
      <c r="A13" s="1" t="s">
        <v>176</v>
      </c>
      <c r="B13" t="s">
        <v>175</v>
      </c>
    </row>
    <row r="14" spans="1:8" x14ac:dyDescent="0.25">
      <c r="A14" s="1" t="s">
        <v>174</v>
      </c>
      <c r="B14" t="s">
        <v>173</v>
      </c>
      <c r="C14" s="3">
        <v>991446</v>
      </c>
      <c r="D14" s="3">
        <v>627759</v>
      </c>
      <c r="E14" s="3">
        <v>709041</v>
      </c>
      <c r="F14" s="3">
        <v>968660</v>
      </c>
      <c r="G14" s="3">
        <v>1254346</v>
      </c>
      <c r="H14" s="3">
        <v>1642625</v>
      </c>
    </row>
    <row r="15" spans="1:8" x14ac:dyDescent="0.25">
      <c r="A15" s="1" t="s">
        <v>172</v>
      </c>
      <c r="B15" t="s">
        <v>171</v>
      </c>
      <c r="C15" s="3">
        <v>429208</v>
      </c>
      <c r="D15" s="3">
        <v>272060</v>
      </c>
      <c r="E15" s="3">
        <v>168366</v>
      </c>
      <c r="F15" s="3">
        <v>130392</v>
      </c>
      <c r="G15" s="3">
        <v>210056</v>
      </c>
      <c r="H15" s="3">
        <v>266264</v>
      </c>
    </row>
    <row r="16" spans="1:8" x14ac:dyDescent="0.25">
      <c r="A16" s="1" t="s">
        <v>170</v>
      </c>
      <c r="B16" t="s">
        <v>169</v>
      </c>
      <c r="C16" s="3">
        <v>220190</v>
      </c>
      <c r="D16" s="3">
        <v>216069</v>
      </c>
      <c r="E16" s="3">
        <v>339008</v>
      </c>
      <c r="F16" s="3">
        <v>337097</v>
      </c>
      <c r="G16" s="3">
        <v>876218</v>
      </c>
      <c r="H16" s="3">
        <v>231084</v>
      </c>
    </row>
    <row r="17" spans="1:8" x14ac:dyDescent="0.25">
      <c r="A17" s="2" t="s">
        <v>168</v>
      </c>
      <c r="B17" t="s">
        <v>167</v>
      </c>
      <c r="C17" s="3">
        <v>32203049</v>
      </c>
      <c r="D17" s="3">
        <v>25959763</v>
      </c>
      <c r="E17" s="3">
        <v>24992977</v>
      </c>
      <c r="F17" s="3">
        <v>24548281</v>
      </c>
      <c r="G17" s="3">
        <v>23516142</v>
      </c>
      <c r="H17" s="3">
        <v>21520696</v>
      </c>
    </row>
    <row r="18" spans="1:8" x14ac:dyDescent="0.25">
      <c r="A18" s="1" t="s">
        <v>166</v>
      </c>
      <c r="B18" t="s">
        <v>165</v>
      </c>
      <c r="C18" s="3">
        <v>5675635</v>
      </c>
      <c r="D18" s="3">
        <v>4074137</v>
      </c>
      <c r="E18" s="3">
        <v>2841962</v>
      </c>
      <c r="F18" s="3">
        <v>2831176</v>
      </c>
      <c r="G18" s="3">
        <v>2889601</v>
      </c>
      <c r="H18" s="3">
        <v>3283133</v>
      </c>
    </row>
    <row r="19" spans="1:8" x14ac:dyDescent="0.25">
      <c r="A19" s="1" t="s">
        <v>164</v>
      </c>
      <c r="B19" t="s">
        <v>163</v>
      </c>
    </row>
    <row r="20" spans="1:8" x14ac:dyDescent="0.25">
      <c r="A20" s="1" t="s">
        <v>162</v>
      </c>
      <c r="B20" t="s">
        <v>161</v>
      </c>
      <c r="C20" s="3">
        <v>16684072</v>
      </c>
      <c r="D20" s="3" t="e">
        <f>BPA!E8_</f>
        <v>#NAME?</v>
      </c>
      <c r="E20" s="3">
        <v>10838488</v>
      </c>
      <c r="F20" s="3">
        <v>11084530</v>
      </c>
      <c r="G20" s="3">
        <v>10667348</v>
      </c>
      <c r="H20" s="3">
        <v>8914929</v>
      </c>
    </row>
    <row r="21" spans="1:8" x14ac:dyDescent="0.25">
      <c r="A21" s="1" t="s">
        <v>160</v>
      </c>
      <c r="B21" t="s">
        <v>159</v>
      </c>
      <c r="C21" s="3">
        <v>9843342</v>
      </c>
      <c r="D21" s="3">
        <v>10682004</v>
      </c>
      <c r="E21" s="3">
        <v>11312527</v>
      </c>
      <c r="F21" s="3">
        <v>10632575</v>
      </c>
      <c r="G21" s="3">
        <v>9959193</v>
      </c>
      <c r="H21" s="3">
        <v>9322634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0" workbookViewId="0">
      <selection activeCell="B23" sqref="B23"/>
    </sheetView>
  </sheetViews>
  <sheetFormatPr defaultRowHeight="15" x14ac:dyDescent="0.25"/>
  <cols>
    <col min="1" max="1" width="17.5703125" customWidth="1"/>
    <col min="2" max="2" width="62.140625" customWidth="1"/>
    <col min="3" max="3" width="15.7109375" customWidth="1"/>
    <col min="4" max="5" width="14.7109375" customWidth="1"/>
    <col min="6" max="6" width="14.28515625" customWidth="1"/>
    <col min="7" max="7" width="13.7109375" customWidth="1"/>
    <col min="8" max="8" width="14.28515625" customWidth="1"/>
  </cols>
  <sheetData>
    <row r="1" spans="1:8" ht="18.75" x14ac:dyDescent="0.3">
      <c r="A1" s="7" t="s">
        <v>66</v>
      </c>
    </row>
    <row r="2" spans="1:8" ht="15.75" x14ac:dyDescent="0.25">
      <c r="A2" s="6" t="s">
        <v>65</v>
      </c>
    </row>
    <row r="3" spans="1:8" ht="15.75" x14ac:dyDescent="0.25">
      <c r="A3" s="6" t="s">
        <v>64</v>
      </c>
    </row>
    <row r="6" spans="1:8" x14ac:dyDescent="0.25">
      <c r="A6" s="4" t="s">
        <v>63</v>
      </c>
      <c r="B6" s="4" t="s">
        <v>62</v>
      </c>
      <c r="C6" s="4" t="s">
        <v>158</v>
      </c>
      <c r="D6" s="4" t="s">
        <v>157</v>
      </c>
      <c r="E6" s="4" t="s">
        <v>156</v>
      </c>
      <c r="F6" s="4" t="s">
        <v>155</v>
      </c>
      <c r="G6" s="4" t="s">
        <v>154</v>
      </c>
      <c r="H6" s="4" t="s">
        <v>153</v>
      </c>
    </row>
    <row r="7" spans="1:8" x14ac:dyDescent="0.25">
      <c r="A7" s="8">
        <v>2</v>
      </c>
      <c r="B7" t="s">
        <v>152</v>
      </c>
      <c r="C7" s="3">
        <v>38910409</v>
      </c>
      <c r="D7" s="3">
        <v>31957889</v>
      </c>
      <c r="E7" s="3">
        <v>32600365</v>
      </c>
      <c r="F7" s="3">
        <v>34655680</v>
      </c>
      <c r="G7" s="3">
        <v>35556388</v>
      </c>
      <c r="H7" s="3">
        <v>32695111</v>
      </c>
    </row>
    <row r="8" spans="1:8" x14ac:dyDescent="0.25">
      <c r="A8" s="2" t="s">
        <v>151</v>
      </c>
      <c r="B8" t="s">
        <v>150</v>
      </c>
      <c r="C8" s="3">
        <v>7271815</v>
      </c>
      <c r="D8" s="3">
        <v>7075379</v>
      </c>
      <c r="E8" s="3">
        <v>7224437</v>
      </c>
      <c r="F8" s="3">
        <v>7281555</v>
      </c>
      <c r="G8" s="3">
        <v>9166864</v>
      </c>
      <c r="H8" s="3">
        <v>9123256</v>
      </c>
    </row>
    <row r="9" spans="1:8" x14ac:dyDescent="0.25">
      <c r="A9" s="1" t="s">
        <v>149</v>
      </c>
      <c r="B9" t="s">
        <v>148</v>
      </c>
      <c r="C9" s="3">
        <v>240656</v>
      </c>
      <c r="D9" s="3">
        <v>211685</v>
      </c>
      <c r="E9" s="3">
        <v>262450</v>
      </c>
      <c r="F9" s="3">
        <v>212279</v>
      </c>
      <c r="G9" s="3">
        <v>199373</v>
      </c>
      <c r="H9" s="3">
        <v>208629</v>
      </c>
    </row>
    <row r="10" spans="1:8" x14ac:dyDescent="0.25">
      <c r="A10" s="1" t="s">
        <v>147</v>
      </c>
      <c r="B10" t="s">
        <v>146</v>
      </c>
      <c r="C10" s="3">
        <v>2923128</v>
      </c>
      <c r="D10" s="3">
        <v>4323374</v>
      </c>
      <c r="E10" s="3">
        <v>3986557</v>
      </c>
      <c r="F10" s="3">
        <v>3461081</v>
      </c>
      <c r="G10" s="3">
        <v>3734556</v>
      </c>
      <c r="H10" s="3">
        <v>5402204</v>
      </c>
    </row>
    <row r="11" spans="1:8" x14ac:dyDescent="0.25">
      <c r="A11" s="1" t="s">
        <v>145</v>
      </c>
      <c r="B11" t="s">
        <v>144</v>
      </c>
      <c r="C11" s="3">
        <v>737932</v>
      </c>
      <c r="D11" s="3">
        <v>783502</v>
      </c>
      <c r="E11" s="3">
        <v>566052</v>
      </c>
      <c r="F11" s="3">
        <v>816856</v>
      </c>
      <c r="G11" s="3">
        <v>715648</v>
      </c>
      <c r="H11" s="3">
        <v>808207</v>
      </c>
    </row>
    <row r="12" spans="1:8" x14ac:dyDescent="0.25">
      <c r="A12" s="1" t="s">
        <v>143</v>
      </c>
      <c r="B12" t="s">
        <v>136</v>
      </c>
      <c r="C12" s="3">
        <v>1464848</v>
      </c>
      <c r="D12" s="3">
        <v>698728</v>
      </c>
      <c r="E12" s="3">
        <v>1351860</v>
      </c>
      <c r="F12" s="3">
        <v>1145225</v>
      </c>
      <c r="G12" s="3">
        <v>2326186</v>
      </c>
      <c r="H12" s="3">
        <v>1281554</v>
      </c>
    </row>
    <row r="13" spans="1:8" x14ac:dyDescent="0.25">
      <c r="A13" s="1" t="s">
        <v>142</v>
      </c>
      <c r="B13" t="s">
        <v>134</v>
      </c>
      <c r="C13" s="3">
        <v>1905251</v>
      </c>
      <c r="D13" s="3">
        <v>1058090</v>
      </c>
      <c r="E13" s="3">
        <v>1057518</v>
      </c>
      <c r="F13" s="3">
        <v>1646114</v>
      </c>
      <c r="G13" s="3">
        <v>2191101</v>
      </c>
      <c r="H13" s="3">
        <v>1422662</v>
      </c>
    </row>
    <row r="14" spans="1:8" x14ac:dyDescent="0.25">
      <c r="A14" s="1" t="s">
        <v>141</v>
      </c>
      <c r="B14" t="s">
        <v>130</v>
      </c>
    </row>
    <row r="15" spans="1:8" x14ac:dyDescent="0.25">
      <c r="A15" s="1" t="s">
        <v>140</v>
      </c>
      <c r="B15" t="s">
        <v>128</v>
      </c>
    </row>
    <row r="16" spans="1:8" x14ac:dyDescent="0.25">
      <c r="A16" s="2" t="s">
        <v>139</v>
      </c>
      <c r="B16" t="s">
        <v>138</v>
      </c>
      <c r="C16" s="3">
        <v>9875936</v>
      </c>
      <c r="D16" s="3">
        <v>5087673</v>
      </c>
      <c r="E16" s="3">
        <v>7224744</v>
      </c>
      <c r="F16" s="3">
        <v>10186612</v>
      </c>
      <c r="G16" s="3">
        <v>9812202</v>
      </c>
      <c r="H16" s="3">
        <v>8249821</v>
      </c>
    </row>
    <row r="17" spans="1:8" x14ac:dyDescent="0.25">
      <c r="A17" s="1" t="s">
        <v>137</v>
      </c>
      <c r="B17" t="s">
        <v>136</v>
      </c>
      <c r="C17" s="3">
        <v>768943</v>
      </c>
      <c r="D17" s="3">
        <v>964289</v>
      </c>
      <c r="E17" s="3">
        <v>3339084</v>
      </c>
      <c r="F17" s="3">
        <v>5574557</v>
      </c>
      <c r="G17" s="3">
        <v>5600250</v>
      </c>
      <c r="H17" s="3">
        <v>5472865</v>
      </c>
    </row>
    <row r="18" spans="1:8" x14ac:dyDescent="0.25">
      <c r="A18" s="1" t="s">
        <v>135</v>
      </c>
      <c r="B18" t="s">
        <v>134</v>
      </c>
      <c r="C18" s="3">
        <v>8020229</v>
      </c>
      <c r="D18" s="3">
        <v>3271126</v>
      </c>
      <c r="E18" s="3">
        <v>3255786</v>
      </c>
      <c r="F18" s="3">
        <v>4001903</v>
      </c>
      <c r="G18" s="3">
        <v>3642727</v>
      </c>
      <c r="H18" s="3">
        <v>1602354</v>
      </c>
    </row>
    <row r="19" spans="1:8" x14ac:dyDescent="0.25">
      <c r="A19" s="1" t="s">
        <v>133</v>
      </c>
      <c r="B19" t="s">
        <v>132</v>
      </c>
      <c r="C19" s="3">
        <v>17848</v>
      </c>
      <c r="D19">
        <v>0</v>
      </c>
      <c r="E19" s="3">
        <v>98919</v>
      </c>
      <c r="F19" s="3">
        <v>108358</v>
      </c>
      <c r="G19" s="3">
        <v>120730</v>
      </c>
      <c r="H19" s="3">
        <v>481173</v>
      </c>
    </row>
    <row r="20" spans="1:8" x14ac:dyDescent="0.25">
      <c r="A20" s="1" t="s">
        <v>131</v>
      </c>
      <c r="B20" t="s">
        <v>130</v>
      </c>
      <c r="C20" s="3">
        <v>1068916</v>
      </c>
      <c r="D20" s="3">
        <v>852258</v>
      </c>
      <c r="E20" s="3">
        <v>530955</v>
      </c>
      <c r="F20" s="3">
        <v>501794</v>
      </c>
      <c r="G20" s="3">
        <v>448495</v>
      </c>
      <c r="H20" s="3">
        <v>693429</v>
      </c>
    </row>
    <row r="21" spans="1:8" x14ac:dyDescent="0.25">
      <c r="A21" s="1" t="s">
        <v>129</v>
      </c>
      <c r="B21" t="s">
        <v>128</v>
      </c>
    </row>
    <row r="22" spans="1:8" x14ac:dyDescent="0.25">
      <c r="A22" s="1" t="s">
        <v>127</v>
      </c>
      <c r="B22" t="s">
        <v>126</v>
      </c>
    </row>
    <row r="23" spans="1:8" x14ac:dyDescent="0.25">
      <c r="A23" s="2" t="s">
        <v>125</v>
      </c>
      <c r="B23" t="s">
        <v>124</v>
      </c>
      <c r="C23" s="3">
        <v>21762658</v>
      </c>
      <c r="D23" s="3">
        <v>19794837</v>
      </c>
      <c r="E23" s="3">
        <v>18151184</v>
      </c>
      <c r="F23" s="3">
        <v>17187513</v>
      </c>
      <c r="G23" s="3">
        <v>16577322</v>
      </c>
      <c r="H23" s="3">
        <v>15322034</v>
      </c>
    </row>
    <row r="24" spans="1:8" x14ac:dyDescent="0.25">
      <c r="A24" s="1" t="s">
        <v>123</v>
      </c>
      <c r="B24" t="s">
        <v>122</v>
      </c>
      <c r="C24" s="3">
        <v>9866298</v>
      </c>
      <c r="D24" s="3">
        <v>9866298</v>
      </c>
      <c r="E24" s="3">
        <v>9866298</v>
      </c>
      <c r="F24" s="3">
        <v>9866298</v>
      </c>
      <c r="G24" s="3">
        <v>9866298</v>
      </c>
      <c r="H24" s="3">
        <v>9866298</v>
      </c>
    </row>
    <row r="25" spans="1:8" x14ac:dyDescent="0.25">
      <c r="A25" s="1" t="s">
        <v>121</v>
      </c>
      <c r="B25" t="s">
        <v>120</v>
      </c>
      <c r="C25" s="3">
        <v>406915</v>
      </c>
      <c r="D25" s="3">
        <v>403568</v>
      </c>
      <c r="E25" s="3">
        <v>399674</v>
      </c>
      <c r="F25" s="3">
        <v>1560780</v>
      </c>
      <c r="G25" s="3">
        <v>1438728</v>
      </c>
      <c r="H25" s="3">
        <v>1341101</v>
      </c>
    </row>
    <row r="26" spans="1:8" x14ac:dyDescent="0.25">
      <c r="A26" s="1" t="s">
        <v>119</v>
      </c>
      <c r="B26" t="s">
        <v>118</v>
      </c>
    </row>
    <row r="27" spans="1:8" x14ac:dyDescent="0.25">
      <c r="A27" s="1" t="s">
        <v>117</v>
      </c>
      <c r="B27" t="s">
        <v>116</v>
      </c>
      <c r="C27" s="3">
        <v>9532474</v>
      </c>
      <c r="D27" s="3">
        <v>9524124</v>
      </c>
      <c r="E27" s="3">
        <v>7884223</v>
      </c>
      <c r="F27" s="3">
        <v>5760942</v>
      </c>
      <c r="G27" s="3">
        <v>5270409</v>
      </c>
      <c r="H27" s="3">
        <v>4112332</v>
      </c>
    </row>
    <row r="28" spans="1:8" x14ac:dyDescent="0.25">
      <c r="A28" s="1" t="s">
        <v>115</v>
      </c>
      <c r="B28" t="s">
        <v>114</v>
      </c>
      <c r="C28" s="3">
        <v>1956124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1" t="s">
        <v>113</v>
      </c>
      <c r="B29" t="s">
        <v>112</v>
      </c>
    </row>
    <row r="30" spans="1:8" x14ac:dyDescent="0.25">
      <c r="A30" s="1" t="s">
        <v>111</v>
      </c>
      <c r="B30" t="s">
        <v>110</v>
      </c>
    </row>
    <row r="31" spans="1:8" x14ac:dyDescent="0.25">
      <c r="A31" s="1" t="s">
        <v>109</v>
      </c>
      <c r="B31" t="s">
        <v>108</v>
      </c>
      <c r="C31">
        <v>847</v>
      </c>
      <c r="D31">
        <v>847</v>
      </c>
      <c r="E31">
        <v>989</v>
      </c>
      <c r="F31">
        <v>-507</v>
      </c>
      <c r="G31" s="3">
        <v>1887</v>
      </c>
      <c r="H31" s="3">
        <v>2303</v>
      </c>
    </row>
    <row r="32" spans="1:8" x14ac:dyDescent="0.25">
      <c r="A32" s="1" t="s">
        <v>107</v>
      </c>
      <c r="B32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8" workbookViewId="0">
      <selection activeCell="B26" sqref="B26"/>
    </sheetView>
  </sheetViews>
  <sheetFormatPr defaultRowHeight="15" x14ac:dyDescent="0.25"/>
  <cols>
    <col min="1" max="1" width="17.7109375" customWidth="1"/>
    <col min="2" max="2" width="62" customWidth="1"/>
    <col min="3" max="3" width="14.7109375" customWidth="1"/>
    <col min="4" max="4" width="14" customWidth="1"/>
    <col min="5" max="5" width="14.28515625" customWidth="1"/>
    <col min="6" max="6" width="14" customWidth="1"/>
    <col min="7" max="7" width="13.85546875" customWidth="1"/>
    <col min="8" max="8" width="14.28515625" customWidth="1"/>
  </cols>
  <sheetData>
    <row r="1" spans="1:8" ht="18.75" x14ac:dyDescent="0.3">
      <c r="A1" s="7" t="s">
        <v>66</v>
      </c>
    </row>
    <row r="2" spans="1:8" ht="15.75" x14ac:dyDescent="0.25">
      <c r="A2" s="6" t="s">
        <v>65</v>
      </c>
    </row>
    <row r="3" spans="1:8" ht="15.75" x14ac:dyDescent="0.25">
      <c r="A3" s="6" t="s">
        <v>64</v>
      </c>
    </row>
    <row r="6" spans="1:8" x14ac:dyDescent="0.25">
      <c r="A6" s="4" t="s">
        <v>63</v>
      </c>
      <c r="B6" s="4" t="s">
        <v>62</v>
      </c>
      <c r="C6" s="5">
        <v>43466</v>
      </c>
      <c r="D6" s="5">
        <v>43101</v>
      </c>
      <c r="E6" s="5">
        <v>42736</v>
      </c>
      <c r="F6" s="5">
        <v>42370</v>
      </c>
      <c r="G6" s="5">
        <v>42005</v>
      </c>
      <c r="H6" s="5">
        <v>41640</v>
      </c>
    </row>
    <row r="7" spans="1:8" x14ac:dyDescent="0.25">
      <c r="A7" s="4"/>
      <c r="B7" s="4"/>
      <c r="C7" s="4" t="s">
        <v>61</v>
      </c>
      <c r="D7" s="4" t="s">
        <v>60</v>
      </c>
      <c r="E7" s="4" t="s">
        <v>59</v>
      </c>
      <c r="F7" s="4" t="s">
        <v>58</v>
      </c>
      <c r="G7" s="4" t="s">
        <v>57</v>
      </c>
      <c r="H7" s="4" t="s">
        <v>56</v>
      </c>
    </row>
    <row r="8" spans="1:8" x14ac:dyDescent="0.25">
      <c r="A8" s="2" t="s">
        <v>55</v>
      </c>
      <c r="B8" t="s">
        <v>54</v>
      </c>
      <c r="C8" s="3">
        <v>12790630</v>
      </c>
      <c r="D8" s="3">
        <v>12524007</v>
      </c>
      <c r="E8" s="3">
        <v>11977127</v>
      </c>
      <c r="F8" s="3">
        <v>11573771</v>
      </c>
      <c r="G8" s="3">
        <v>13027440</v>
      </c>
      <c r="H8" s="3">
        <v>14329721</v>
      </c>
    </row>
    <row r="9" spans="1:8" x14ac:dyDescent="0.25">
      <c r="A9" s="2" t="s">
        <v>53</v>
      </c>
      <c r="B9" t="s">
        <v>52</v>
      </c>
      <c r="C9" s="3">
        <v>-5769535</v>
      </c>
      <c r="D9" s="3">
        <v>-5735613</v>
      </c>
      <c r="E9" s="3">
        <v>-6003742</v>
      </c>
      <c r="F9" s="3">
        <v>-5881122</v>
      </c>
      <c r="G9" s="3">
        <v>-6567088</v>
      </c>
      <c r="H9" s="3">
        <v>-7382397</v>
      </c>
    </row>
    <row r="10" spans="1:8" x14ac:dyDescent="0.25">
      <c r="A10" s="2" t="s">
        <v>51</v>
      </c>
      <c r="B10" t="s">
        <v>50</v>
      </c>
      <c r="C10" s="3">
        <v>7021095</v>
      </c>
      <c r="D10" s="3">
        <v>6788394</v>
      </c>
      <c r="E10" s="3">
        <v>5973385</v>
      </c>
      <c r="F10" s="3">
        <v>5692649</v>
      </c>
      <c r="G10" s="3">
        <v>6460352</v>
      </c>
      <c r="H10" s="3">
        <v>6947324</v>
      </c>
    </row>
    <row r="11" spans="1:8" x14ac:dyDescent="0.25">
      <c r="A11" s="2" t="s">
        <v>49</v>
      </c>
      <c r="B11" t="s">
        <v>48</v>
      </c>
      <c r="C11" s="3">
        <v>-3756875</v>
      </c>
      <c r="D11" s="3">
        <v>-5175245</v>
      </c>
      <c r="E11" s="3">
        <v>-4769127</v>
      </c>
      <c r="F11" s="3">
        <v>-4856415</v>
      </c>
      <c r="G11" s="3">
        <v>-3842114</v>
      </c>
      <c r="H11" s="3">
        <v>-5217251</v>
      </c>
    </row>
    <row r="12" spans="1:8" x14ac:dyDescent="0.25">
      <c r="A12" s="1" t="s">
        <v>47</v>
      </c>
      <c r="B12" t="s">
        <v>46</v>
      </c>
      <c r="C12" s="3">
        <v>-3775995</v>
      </c>
      <c r="D12" s="3">
        <v>-3710797</v>
      </c>
      <c r="E12" s="3">
        <v>-3434884</v>
      </c>
      <c r="F12" s="3">
        <v>-3502739</v>
      </c>
      <c r="G12" s="3">
        <v>-3612067</v>
      </c>
      <c r="H12" s="3">
        <v>-3820340</v>
      </c>
    </row>
    <row r="13" spans="1:8" x14ac:dyDescent="0.25">
      <c r="A13" s="1" t="s">
        <v>45</v>
      </c>
      <c r="B13" t="s">
        <v>44</v>
      </c>
      <c r="C13" s="3">
        <v>-1303979</v>
      </c>
      <c r="D13" s="3">
        <v>-1159056</v>
      </c>
      <c r="E13" s="3">
        <v>-1055259</v>
      </c>
      <c r="F13" s="3">
        <v>-952126</v>
      </c>
      <c r="G13" s="3">
        <v>-847603</v>
      </c>
      <c r="H13" s="3">
        <v>-825608</v>
      </c>
    </row>
    <row r="14" spans="1:8" x14ac:dyDescent="0.25">
      <c r="A14" s="1" t="s">
        <v>43</v>
      </c>
      <c r="B14" t="s">
        <v>42</v>
      </c>
    </row>
    <row r="15" spans="1:8" x14ac:dyDescent="0.25">
      <c r="A15" s="1" t="s">
        <v>41</v>
      </c>
      <c r="B15" t="s">
        <v>40</v>
      </c>
      <c r="C15" s="3">
        <v>1896119</v>
      </c>
      <c r="D15" s="3">
        <v>109274</v>
      </c>
      <c r="E15" s="3">
        <v>153297</v>
      </c>
      <c r="F15" s="3">
        <v>141406</v>
      </c>
      <c r="G15" s="3">
        <v>1269577</v>
      </c>
      <c r="H15" s="3">
        <v>37645</v>
      </c>
    </row>
    <row r="16" spans="1:8" x14ac:dyDescent="0.25">
      <c r="A16" s="1" t="s">
        <v>39</v>
      </c>
      <c r="B16" t="s">
        <v>38</v>
      </c>
      <c r="C16" s="3">
        <v>-573020</v>
      </c>
      <c r="D16" s="3">
        <v>-414666</v>
      </c>
      <c r="E16" s="3">
        <v>-432281</v>
      </c>
      <c r="F16" s="3">
        <v>-542956</v>
      </c>
      <c r="G16" s="3">
        <v>-652021</v>
      </c>
      <c r="H16" s="3">
        <v>-608948</v>
      </c>
    </row>
    <row r="17" spans="1:8" x14ac:dyDescent="0.25">
      <c r="A17" s="1" t="s">
        <v>37</v>
      </c>
      <c r="B17" t="s">
        <v>36</v>
      </c>
    </row>
    <row r="18" spans="1:8" x14ac:dyDescent="0.25">
      <c r="A18" s="2" t="s">
        <v>35</v>
      </c>
      <c r="B18" t="s">
        <v>34</v>
      </c>
      <c r="C18" s="3">
        <v>3264220</v>
      </c>
      <c r="D18" s="3">
        <v>1613149</v>
      </c>
      <c r="E18" s="3">
        <v>1204258</v>
      </c>
      <c r="F18" s="3">
        <v>836234</v>
      </c>
      <c r="G18" s="3">
        <v>2618238</v>
      </c>
      <c r="H18" s="3">
        <v>1730073</v>
      </c>
    </row>
    <row r="19" spans="1:8" x14ac:dyDescent="0.25">
      <c r="A19" s="2" t="s">
        <v>33</v>
      </c>
      <c r="B19" t="s">
        <v>32</v>
      </c>
      <c r="C19" s="3">
        <v>256948</v>
      </c>
      <c r="D19" s="3">
        <v>-479389</v>
      </c>
      <c r="E19" s="3">
        <v>-378598</v>
      </c>
      <c r="F19" s="3">
        <v>-309530</v>
      </c>
      <c r="G19" s="3">
        <v>-272912</v>
      </c>
      <c r="H19" s="3">
        <v>-182877</v>
      </c>
    </row>
    <row r="20" spans="1:8" x14ac:dyDescent="0.25">
      <c r="A20" s="1" t="s">
        <v>31</v>
      </c>
      <c r="B20" t="s">
        <v>30</v>
      </c>
      <c r="C20" s="3">
        <v>1460737</v>
      </c>
      <c r="D20" s="3">
        <v>308184</v>
      </c>
      <c r="E20" s="3">
        <v>816973</v>
      </c>
      <c r="F20" s="3">
        <v>2224616</v>
      </c>
      <c r="G20" s="3">
        <v>1814217</v>
      </c>
      <c r="H20" s="3">
        <v>620352</v>
      </c>
    </row>
    <row r="21" spans="1:8" x14ac:dyDescent="0.25">
      <c r="A21" s="1" t="s">
        <v>29</v>
      </c>
      <c r="B21" t="s">
        <v>28</v>
      </c>
      <c r="C21" s="3">
        <v>-1203789</v>
      </c>
      <c r="D21" s="3">
        <v>-787573</v>
      </c>
      <c r="E21" s="3">
        <v>-1195571</v>
      </c>
      <c r="F21" s="3">
        <v>-2534146</v>
      </c>
      <c r="G21" s="3">
        <v>-2087129</v>
      </c>
      <c r="H21" s="3">
        <v>-803229</v>
      </c>
    </row>
    <row r="22" spans="1:8" x14ac:dyDescent="0.25">
      <c r="A22" s="2" t="s">
        <v>27</v>
      </c>
      <c r="B22" t="s">
        <v>26</v>
      </c>
      <c r="C22" s="3">
        <v>3521168</v>
      </c>
      <c r="D22" s="3">
        <v>1133760</v>
      </c>
      <c r="E22" s="3">
        <v>825660</v>
      </c>
      <c r="F22" s="3">
        <v>526704</v>
      </c>
      <c r="G22" s="3">
        <v>2345326</v>
      </c>
      <c r="H22" s="3">
        <v>1547196</v>
      </c>
    </row>
    <row r="23" spans="1:8" x14ac:dyDescent="0.25">
      <c r="A23" s="2" t="s">
        <v>25</v>
      </c>
      <c r="B23" t="s">
        <v>24</v>
      </c>
      <c r="C23" s="3">
        <v>-817353</v>
      </c>
      <c r="D23" s="3">
        <v>779158</v>
      </c>
      <c r="E23" s="3">
        <v>-195551</v>
      </c>
      <c r="F23" s="3">
        <v>-140271</v>
      </c>
      <c r="G23" s="3">
        <v>-725583</v>
      </c>
      <c r="H23" s="3">
        <v>-461120</v>
      </c>
    </row>
    <row r="24" spans="1:8" x14ac:dyDescent="0.25">
      <c r="A24" s="1" t="s">
        <v>23</v>
      </c>
      <c r="B24" t="s">
        <v>22</v>
      </c>
      <c r="C24" s="3">
        <v>2466</v>
      </c>
      <c r="D24" s="3">
        <v>-87437</v>
      </c>
      <c r="E24" s="3">
        <v>-149810</v>
      </c>
      <c r="F24" s="3">
        <v>-208752</v>
      </c>
      <c r="G24" s="3">
        <v>-283274</v>
      </c>
      <c r="H24" s="3">
        <v>-264857</v>
      </c>
    </row>
    <row r="25" spans="1:8" x14ac:dyDescent="0.25">
      <c r="A25" s="1" t="s">
        <v>21</v>
      </c>
      <c r="B25" t="s">
        <v>20</v>
      </c>
      <c r="C25" s="3">
        <v>-819819</v>
      </c>
      <c r="D25" s="3">
        <v>866595</v>
      </c>
      <c r="E25" s="3">
        <v>-45741</v>
      </c>
      <c r="F25" s="3">
        <v>68481</v>
      </c>
      <c r="G25" s="3">
        <v>-442309</v>
      </c>
      <c r="H25" s="3">
        <v>-196263</v>
      </c>
    </row>
    <row r="26" spans="1:8" x14ac:dyDescent="0.25">
      <c r="A26" s="2" t="s">
        <v>19</v>
      </c>
      <c r="B26" t="s">
        <v>18</v>
      </c>
      <c r="C26" s="3">
        <v>2703815</v>
      </c>
      <c r="D26" s="3">
        <v>1912918</v>
      </c>
      <c r="E26" s="3">
        <v>630109</v>
      </c>
      <c r="F26" s="3">
        <v>386433</v>
      </c>
      <c r="G26" s="3">
        <v>1619743</v>
      </c>
      <c r="H26" s="3">
        <v>1086076</v>
      </c>
    </row>
    <row r="27" spans="1:8" x14ac:dyDescent="0.25">
      <c r="A27" s="2" t="s">
        <v>17</v>
      </c>
      <c r="B27" t="s">
        <v>16</v>
      </c>
    </row>
    <row r="28" spans="1:8" x14ac:dyDescent="0.25">
      <c r="A28" s="1" t="s">
        <v>15</v>
      </c>
      <c r="B28" t="s">
        <v>14</v>
      </c>
    </row>
    <row r="29" spans="1:8" x14ac:dyDescent="0.25">
      <c r="A29" s="1" t="s">
        <v>13</v>
      </c>
      <c r="B29" t="s">
        <v>12</v>
      </c>
    </row>
    <row r="30" spans="1:8" x14ac:dyDescent="0.25">
      <c r="A30" s="2" t="s">
        <v>11</v>
      </c>
      <c r="B30" t="s">
        <v>10</v>
      </c>
      <c r="C30" s="3">
        <v>2703815</v>
      </c>
      <c r="D30" s="3">
        <v>1912918</v>
      </c>
      <c r="E30" s="3">
        <v>630109</v>
      </c>
      <c r="F30" s="3">
        <v>386433</v>
      </c>
      <c r="G30" s="3">
        <v>1619743</v>
      </c>
      <c r="H30" s="3">
        <v>1086076</v>
      </c>
    </row>
    <row r="31" spans="1:8" x14ac:dyDescent="0.25">
      <c r="A31" s="1" t="s">
        <v>9</v>
      </c>
      <c r="B31" t="s">
        <v>8</v>
      </c>
      <c r="C31" s="3">
        <v>2703815</v>
      </c>
      <c r="D31" s="3">
        <v>1912918</v>
      </c>
      <c r="E31" s="3">
        <v>630109</v>
      </c>
      <c r="F31" s="3">
        <v>386433</v>
      </c>
      <c r="G31" s="3">
        <v>1619743</v>
      </c>
      <c r="H31" s="3">
        <v>1086076</v>
      </c>
    </row>
    <row r="32" spans="1:8" x14ac:dyDescent="0.25">
      <c r="A32" s="1" t="s">
        <v>7</v>
      </c>
      <c r="B32" t="s">
        <v>6</v>
      </c>
    </row>
    <row r="33" spans="1:2" x14ac:dyDescent="0.25">
      <c r="A33" s="2" t="s">
        <v>5</v>
      </c>
      <c r="B33" t="s">
        <v>4</v>
      </c>
    </row>
    <row r="34" spans="1:2" x14ac:dyDescent="0.25">
      <c r="A34" s="1" t="s">
        <v>3</v>
      </c>
      <c r="B34" t="s">
        <v>2</v>
      </c>
    </row>
    <row r="35" spans="1:2" x14ac:dyDescent="0.25">
      <c r="A35" s="1" t="s">
        <v>1</v>
      </c>
      <c r="B35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33" workbookViewId="0">
      <selection activeCell="B10" sqref="B10"/>
    </sheetView>
  </sheetViews>
  <sheetFormatPr defaultRowHeight="15" x14ac:dyDescent="0.25"/>
  <cols>
    <col min="1" max="1" width="17.7109375" customWidth="1"/>
    <col min="2" max="2" width="71.7109375" customWidth="1"/>
    <col min="3" max="3" width="14.7109375" customWidth="1"/>
    <col min="4" max="4" width="14" customWidth="1"/>
    <col min="5" max="5" width="14.28515625" customWidth="1"/>
    <col min="6" max="6" width="14" customWidth="1"/>
    <col min="7" max="7" width="13.85546875" customWidth="1"/>
    <col min="8" max="8" width="14.28515625" customWidth="1"/>
  </cols>
  <sheetData>
    <row r="1" spans="1:8" ht="18.75" x14ac:dyDescent="0.3">
      <c r="A1" s="7" t="s">
        <v>66</v>
      </c>
    </row>
    <row r="2" spans="1:8" ht="15.75" x14ac:dyDescent="0.25">
      <c r="A2" s="6" t="s">
        <v>65</v>
      </c>
    </row>
    <row r="3" spans="1:8" ht="15.75" x14ac:dyDescent="0.25">
      <c r="A3" s="6" t="s">
        <v>64</v>
      </c>
    </row>
    <row r="6" spans="1:8" x14ac:dyDescent="0.25">
      <c r="A6" s="4" t="s">
        <v>63</v>
      </c>
      <c r="B6" s="4" t="s">
        <v>62</v>
      </c>
      <c r="C6" s="5">
        <v>43466</v>
      </c>
      <c r="D6" s="5">
        <v>43101</v>
      </c>
      <c r="E6" s="5">
        <v>42736</v>
      </c>
      <c r="F6" s="5">
        <v>42370</v>
      </c>
      <c r="G6" s="5">
        <v>42005</v>
      </c>
      <c r="H6" s="5">
        <v>41640</v>
      </c>
    </row>
    <row r="7" spans="1:8" x14ac:dyDescent="0.25">
      <c r="A7" s="4"/>
      <c r="B7" s="4"/>
      <c r="C7" s="4" t="s">
        <v>61</v>
      </c>
      <c r="D7" s="4" t="s">
        <v>60</v>
      </c>
      <c r="E7" s="4" t="s">
        <v>59</v>
      </c>
      <c r="F7" s="4" t="s">
        <v>58</v>
      </c>
      <c r="G7" s="4" t="s">
        <v>57</v>
      </c>
      <c r="H7" s="4" t="s">
        <v>56</v>
      </c>
    </row>
    <row r="8" spans="1:8" x14ac:dyDescent="0.25">
      <c r="A8" s="2" t="s">
        <v>105</v>
      </c>
      <c r="B8" t="s">
        <v>104</v>
      </c>
      <c r="C8" s="3">
        <v>3458347</v>
      </c>
      <c r="D8" s="3">
        <v>3209691</v>
      </c>
      <c r="E8" s="3">
        <v>2196040</v>
      </c>
      <c r="F8" s="3">
        <v>2304084</v>
      </c>
      <c r="G8" s="3">
        <v>1907411</v>
      </c>
      <c r="H8" s="3">
        <v>2440359</v>
      </c>
    </row>
    <row r="9" spans="1:8" x14ac:dyDescent="0.25">
      <c r="A9" s="1" t="s">
        <v>103</v>
      </c>
      <c r="B9" t="s">
        <v>102</v>
      </c>
      <c r="C9" s="3">
        <v>8470926</v>
      </c>
      <c r="D9" s="3">
        <v>5643879</v>
      </c>
      <c r="E9" s="3">
        <v>5017639</v>
      </c>
      <c r="F9" s="3">
        <v>4403163</v>
      </c>
      <c r="G9" s="3">
        <v>4816906</v>
      </c>
      <c r="H9" s="3">
        <v>4762101</v>
      </c>
    </row>
    <row r="10" spans="1:8" x14ac:dyDescent="0.25">
      <c r="A10" t="s">
        <v>249</v>
      </c>
      <c r="B10" t="s">
        <v>250</v>
      </c>
      <c r="C10" s="3">
        <v>3521168</v>
      </c>
      <c r="D10" s="3">
        <v>1133760</v>
      </c>
      <c r="E10" s="3">
        <v>825659</v>
      </c>
      <c r="F10" s="3">
        <v>526704</v>
      </c>
      <c r="G10" s="3">
        <v>2315666</v>
      </c>
      <c r="H10" s="3">
        <v>1547196</v>
      </c>
    </row>
    <row r="11" spans="1:8" x14ac:dyDescent="0.25">
      <c r="A11" t="s">
        <v>251</v>
      </c>
      <c r="B11" t="s">
        <v>252</v>
      </c>
      <c r="C11" s="3">
        <v>4068700</v>
      </c>
      <c r="D11" s="3">
        <v>2936500</v>
      </c>
      <c r="E11" s="3">
        <v>2973950</v>
      </c>
      <c r="F11" s="3">
        <v>2805097</v>
      </c>
      <c r="G11" s="3">
        <v>2493127</v>
      </c>
      <c r="H11" s="3">
        <v>2250014</v>
      </c>
    </row>
    <row r="12" spans="1:8" x14ac:dyDescent="0.25">
      <c r="A12" t="s">
        <v>253</v>
      </c>
      <c r="B12" t="s">
        <v>254</v>
      </c>
      <c r="C12" s="3">
        <v>23254</v>
      </c>
      <c r="D12" s="3">
        <v>7974</v>
      </c>
      <c r="E12" s="3">
        <v>1407</v>
      </c>
      <c r="F12" s="3">
        <v>15372</v>
      </c>
      <c r="G12" s="3">
        <v>5535</v>
      </c>
      <c r="H12" s="3">
        <v>5803</v>
      </c>
    </row>
    <row r="13" spans="1:8" x14ac:dyDescent="0.25">
      <c r="A13" t="s">
        <v>255</v>
      </c>
      <c r="B13" t="s">
        <v>256</v>
      </c>
      <c r="C13">
        <v>286</v>
      </c>
      <c r="D13">
        <v>479</v>
      </c>
      <c r="E13">
        <v>397</v>
      </c>
      <c r="F13">
        <v>873</v>
      </c>
      <c r="G13" s="3">
        <v>3465</v>
      </c>
      <c r="H13" s="3">
        <v>2644</v>
      </c>
    </row>
    <row r="14" spans="1:8" x14ac:dyDescent="0.25">
      <c r="A14" t="s">
        <v>257</v>
      </c>
      <c r="B14" t="s">
        <v>258</v>
      </c>
      <c r="C14" s="3">
        <v>485986</v>
      </c>
      <c r="D14" s="3">
        <v>322505</v>
      </c>
      <c r="E14" s="3">
        <v>304682</v>
      </c>
      <c r="F14" s="3">
        <v>234854</v>
      </c>
      <c r="G14" s="3">
        <v>257799</v>
      </c>
      <c r="H14" s="3">
        <v>191590</v>
      </c>
    </row>
    <row r="15" spans="1:8" x14ac:dyDescent="0.25">
      <c r="A15" t="s">
        <v>259</v>
      </c>
      <c r="B15" t="s">
        <v>260</v>
      </c>
      <c r="C15" s="3">
        <v>227585</v>
      </c>
      <c r="D15" s="3">
        <v>170673</v>
      </c>
      <c r="E15" s="3">
        <v>91155</v>
      </c>
      <c r="F15" s="3">
        <v>36301</v>
      </c>
      <c r="G15" s="3">
        <v>23354</v>
      </c>
      <c r="H15" s="3">
        <v>34367</v>
      </c>
    </row>
    <row r="16" spans="1:8" x14ac:dyDescent="0.25">
      <c r="A16" t="s">
        <v>261</v>
      </c>
      <c r="B16" t="s">
        <v>262</v>
      </c>
      <c r="C16" s="3">
        <v>-1026541</v>
      </c>
      <c r="D16" s="3">
        <v>498025</v>
      </c>
      <c r="E16" s="3">
        <v>396488</v>
      </c>
      <c r="F16" s="3">
        <v>442031</v>
      </c>
      <c r="G16" s="3">
        <v>647457</v>
      </c>
      <c r="H16" s="3">
        <v>497600</v>
      </c>
    </row>
    <row r="17" spans="1:8" x14ac:dyDescent="0.25">
      <c r="A17" t="s">
        <v>263</v>
      </c>
      <c r="B17" t="s">
        <v>264</v>
      </c>
      <c r="G17">
        <v>0</v>
      </c>
      <c r="H17" s="3">
        <v>10957</v>
      </c>
    </row>
    <row r="18" spans="1:8" x14ac:dyDescent="0.25">
      <c r="A18" t="s">
        <v>265</v>
      </c>
      <c r="B18" t="s">
        <v>266</v>
      </c>
    </row>
    <row r="19" spans="1:8" x14ac:dyDescent="0.25">
      <c r="A19" t="s">
        <v>267</v>
      </c>
      <c r="B19" t="s">
        <v>268</v>
      </c>
      <c r="C19" s="3">
        <v>561455</v>
      </c>
      <c r="D19" s="3">
        <v>395511</v>
      </c>
      <c r="E19" s="3">
        <v>238962</v>
      </c>
      <c r="F19" s="3">
        <v>213739</v>
      </c>
      <c r="G19" s="3">
        <v>179288</v>
      </c>
      <c r="H19" s="3">
        <v>211326</v>
      </c>
    </row>
    <row r="20" spans="1:8" x14ac:dyDescent="0.25">
      <c r="A20" t="s">
        <v>269</v>
      </c>
      <c r="B20" t="s">
        <v>270</v>
      </c>
      <c r="C20" s="3">
        <v>1418</v>
      </c>
      <c r="D20" s="3">
        <v>-1363</v>
      </c>
      <c r="E20" s="3">
        <v>4487</v>
      </c>
      <c r="F20" s="3">
        <v>2161</v>
      </c>
      <c r="G20" s="3">
        <v>3060</v>
      </c>
      <c r="H20" s="3">
        <v>4099</v>
      </c>
    </row>
    <row r="21" spans="1:8" x14ac:dyDescent="0.25">
      <c r="A21" t="s">
        <v>271</v>
      </c>
      <c r="B21" t="s">
        <v>272</v>
      </c>
    </row>
    <row r="22" spans="1:8" x14ac:dyDescent="0.25">
      <c r="A22" t="s">
        <v>273</v>
      </c>
      <c r="B22" t="s">
        <v>274</v>
      </c>
      <c r="C22" s="3">
        <v>614037</v>
      </c>
      <c r="D22" s="3">
        <v>199075</v>
      </c>
      <c r="E22" s="3">
        <v>197052</v>
      </c>
      <c r="F22" s="3">
        <v>182221</v>
      </c>
      <c r="G22" s="3">
        <v>90136</v>
      </c>
      <c r="H22" s="3">
        <v>32816</v>
      </c>
    </row>
    <row r="23" spans="1:8" x14ac:dyDescent="0.25">
      <c r="A23" t="s">
        <v>275</v>
      </c>
      <c r="B23" t="s">
        <v>276</v>
      </c>
      <c r="C23" s="3">
        <v>-6422</v>
      </c>
      <c r="D23" s="3">
        <v>-19260</v>
      </c>
      <c r="E23" s="3">
        <v>-18401</v>
      </c>
      <c r="F23" s="3">
        <v>-19161</v>
      </c>
      <c r="G23" s="3">
        <v>-17910</v>
      </c>
      <c r="H23" s="3">
        <v>-26311</v>
      </c>
    </row>
    <row r="24" spans="1:8" x14ac:dyDescent="0.25">
      <c r="A24" t="s">
        <v>277</v>
      </c>
      <c r="B24" s="80" t="s">
        <v>278</v>
      </c>
      <c r="E24" s="3">
        <v>1801</v>
      </c>
      <c r="F24" s="3">
        <v>-37029</v>
      </c>
      <c r="G24" s="3">
        <v>-1184071</v>
      </c>
      <c r="H24">
        <v>0</v>
      </c>
    </row>
    <row r="25" spans="1:8" x14ac:dyDescent="0.25">
      <c r="A25" s="1" t="s">
        <v>101</v>
      </c>
      <c r="B25" t="s">
        <v>100</v>
      </c>
      <c r="C25" s="3">
        <v>-5012579</v>
      </c>
      <c r="D25" s="3">
        <v>-2434188</v>
      </c>
      <c r="E25" s="3">
        <v>-2821599</v>
      </c>
      <c r="F25" s="3">
        <v>-2099079</v>
      </c>
      <c r="G25" s="3">
        <v>-2909495</v>
      </c>
      <c r="H25" s="3">
        <v>-2321742</v>
      </c>
    </row>
    <row r="26" spans="1:8" x14ac:dyDescent="0.25">
      <c r="A26" t="s">
        <v>279</v>
      </c>
      <c r="B26" t="s">
        <v>280</v>
      </c>
      <c r="C26" s="3">
        <v>-867869</v>
      </c>
      <c r="D26" s="3">
        <v>-711257</v>
      </c>
      <c r="E26" s="3">
        <v>257074</v>
      </c>
      <c r="F26" s="3">
        <v>-184799</v>
      </c>
      <c r="G26" s="3">
        <v>442393</v>
      </c>
      <c r="H26" s="3">
        <v>-80448</v>
      </c>
    </row>
    <row r="27" spans="1:8" x14ac:dyDescent="0.25">
      <c r="A27" t="s">
        <v>281</v>
      </c>
      <c r="B27" t="s">
        <v>282</v>
      </c>
      <c r="C27" s="3">
        <v>-1682153</v>
      </c>
      <c r="D27" s="3">
        <v>345130</v>
      </c>
      <c r="E27" s="3">
        <v>282538</v>
      </c>
      <c r="F27" s="3">
        <v>170977</v>
      </c>
      <c r="G27" s="3">
        <v>123692</v>
      </c>
      <c r="H27" s="3">
        <v>-310412</v>
      </c>
    </row>
    <row r="28" spans="1:8" x14ac:dyDescent="0.25">
      <c r="A28" t="s">
        <v>283</v>
      </c>
      <c r="B28" t="s">
        <v>177</v>
      </c>
      <c r="C28" s="3">
        <v>-27975</v>
      </c>
      <c r="D28" s="3">
        <v>-27512</v>
      </c>
      <c r="E28" s="3">
        <v>25778</v>
      </c>
      <c r="F28" s="3">
        <v>-32357</v>
      </c>
      <c r="G28" s="3">
        <v>103320</v>
      </c>
      <c r="H28" s="3">
        <v>-9790</v>
      </c>
    </row>
    <row r="29" spans="1:8" x14ac:dyDescent="0.25">
      <c r="A29" t="s">
        <v>284</v>
      </c>
      <c r="B29" t="s">
        <v>285</v>
      </c>
      <c r="C29" s="3">
        <v>-150784</v>
      </c>
      <c r="D29" s="3">
        <v>-96744</v>
      </c>
      <c r="E29" s="3">
        <v>-184387</v>
      </c>
      <c r="F29" s="3">
        <v>-153160</v>
      </c>
      <c r="G29" s="3">
        <v>-78275</v>
      </c>
      <c r="H29" s="3">
        <v>-133973</v>
      </c>
    </row>
    <row r="30" spans="1:8" x14ac:dyDescent="0.25">
      <c r="A30" t="s">
        <v>286</v>
      </c>
      <c r="B30" t="s">
        <v>287</v>
      </c>
      <c r="C30" s="3">
        <v>175474</v>
      </c>
      <c r="D30" s="3">
        <v>25956</v>
      </c>
      <c r="E30" s="3">
        <v>-49733</v>
      </c>
      <c r="F30" s="3">
        <v>-94073</v>
      </c>
      <c r="G30" s="3">
        <v>-46866</v>
      </c>
      <c r="H30" s="3">
        <v>-203776</v>
      </c>
    </row>
    <row r="31" spans="1:8" x14ac:dyDescent="0.25">
      <c r="A31" t="s">
        <v>288</v>
      </c>
      <c r="B31" t="s">
        <v>289</v>
      </c>
      <c r="C31" s="3">
        <v>-57866</v>
      </c>
      <c r="D31" s="3">
        <v>104343</v>
      </c>
      <c r="E31" s="3">
        <v>-103212</v>
      </c>
      <c r="F31" s="3">
        <v>-90394</v>
      </c>
      <c r="G31" s="3">
        <v>-10027</v>
      </c>
      <c r="H31" s="3">
        <v>-89006</v>
      </c>
    </row>
    <row r="32" spans="1:8" x14ac:dyDescent="0.25">
      <c r="A32" t="s">
        <v>290</v>
      </c>
      <c r="B32" t="s">
        <v>291</v>
      </c>
      <c r="C32" s="3">
        <v>28971</v>
      </c>
      <c r="D32" s="3">
        <v>-24871</v>
      </c>
      <c r="E32" s="3">
        <v>71181</v>
      </c>
      <c r="F32" s="3">
        <v>42956</v>
      </c>
      <c r="G32" s="3">
        <v>67361</v>
      </c>
      <c r="H32" s="3">
        <v>90905</v>
      </c>
    </row>
    <row r="33" spans="1:8" x14ac:dyDescent="0.25">
      <c r="A33" t="s">
        <v>292</v>
      </c>
      <c r="B33" t="s">
        <v>146</v>
      </c>
      <c r="C33" s="3">
        <v>-1403232</v>
      </c>
      <c r="D33" s="3">
        <v>-816768</v>
      </c>
      <c r="E33" s="3">
        <v>-969523</v>
      </c>
      <c r="F33" s="3">
        <v>-909259</v>
      </c>
      <c r="G33" s="3">
        <v>-2232056</v>
      </c>
      <c r="H33" s="3">
        <v>-1080372</v>
      </c>
    </row>
    <row r="34" spans="1:8" x14ac:dyDescent="0.25">
      <c r="A34" t="s">
        <v>293</v>
      </c>
      <c r="B34" t="s">
        <v>294</v>
      </c>
      <c r="C34" s="3">
        <v>-22271</v>
      </c>
      <c r="D34" s="3">
        <v>-310538</v>
      </c>
      <c r="E34" s="3">
        <v>-413774</v>
      </c>
      <c r="F34" s="3">
        <v>-211723</v>
      </c>
      <c r="G34" s="3">
        <v>-497056</v>
      </c>
      <c r="H34" s="3">
        <v>-318238</v>
      </c>
    </row>
    <row r="35" spans="1:8" x14ac:dyDescent="0.25">
      <c r="A35" t="s">
        <v>295</v>
      </c>
      <c r="B35" t="s">
        <v>296</v>
      </c>
      <c r="C35" s="3">
        <v>-499192</v>
      </c>
      <c r="D35" s="3">
        <v>-414745</v>
      </c>
      <c r="E35" s="3">
        <v>-352133</v>
      </c>
      <c r="F35" s="3">
        <v>-316134</v>
      </c>
      <c r="G35" s="3">
        <v>-297070</v>
      </c>
      <c r="H35" s="3">
        <v>-197935</v>
      </c>
    </row>
    <row r="36" spans="1:8" x14ac:dyDescent="0.25">
      <c r="A36" t="s">
        <v>297</v>
      </c>
      <c r="B36" t="s">
        <v>298</v>
      </c>
      <c r="C36" s="3">
        <v>-165321</v>
      </c>
      <c r="D36" s="3">
        <v>-303841</v>
      </c>
      <c r="E36" s="3">
        <v>-922134</v>
      </c>
      <c r="F36" s="3">
        <v>133278</v>
      </c>
      <c r="G36" s="3">
        <v>-322504</v>
      </c>
      <c r="H36" s="3">
        <v>28276</v>
      </c>
    </row>
    <row r="37" spans="1:8" x14ac:dyDescent="0.25">
      <c r="A37" t="s">
        <v>299</v>
      </c>
      <c r="B37" t="s">
        <v>300</v>
      </c>
      <c r="C37" s="3">
        <v>-163664</v>
      </c>
      <c r="D37" s="3">
        <v>-26693</v>
      </c>
      <c r="E37" s="3">
        <v>-103026</v>
      </c>
      <c r="F37" s="3">
        <v>-117209</v>
      </c>
      <c r="G37" s="3">
        <v>-85903</v>
      </c>
      <c r="H37" s="3">
        <v>-76277</v>
      </c>
    </row>
    <row r="38" spans="1:8" x14ac:dyDescent="0.25">
      <c r="A38" t="s">
        <v>301</v>
      </c>
      <c r="B38" t="s">
        <v>302</v>
      </c>
      <c r="C38" s="3">
        <v>-176697</v>
      </c>
      <c r="D38" s="3">
        <v>-176648</v>
      </c>
      <c r="E38" s="3">
        <v>-360248</v>
      </c>
      <c r="F38" s="3">
        <v>-337182</v>
      </c>
      <c r="G38" s="3">
        <v>-76504</v>
      </c>
      <c r="H38" s="3">
        <v>59304</v>
      </c>
    </row>
    <row r="39" spans="1:8" x14ac:dyDescent="0.25">
      <c r="A39" s="1" t="s">
        <v>99</v>
      </c>
      <c r="B39" t="s">
        <v>98</v>
      </c>
    </row>
    <row r="40" spans="1:8" x14ac:dyDescent="0.25">
      <c r="A40" s="2" t="s">
        <v>97</v>
      </c>
      <c r="B40" t="s">
        <v>96</v>
      </c>
      <c r="C40" s="3">
        <v>-2506038</v>
      </c>
      <c r="D40" s="3">
        <v>-2272671</v>
      </c>
      <c r="E40" s="3">
        <v>-2409465</v>
      </c>
      <c r="F40" s="3">
        <v>-2590537</v>
      </c>
      <c r="G40" s="3">
        <v>-1241650</v>
      </c>
      <c r="H40" s="3">
        <v>-2626889</v>
      </c>
    </row>
    <row r="41" spans="1:8" x14ac:dyDescent="0.25">
      <c r="A41" s="1" t="s">
        <v>95</v>
      </c>
      <c r="B41" t="s">
        <v>94</v>
      </c>
      <c r="C41" s="3">
        <v>4872</v>
      </c>
      <c r="D41" s="3">
        <v>169776</v>
      </c>
      <c r="E41" s="3">
        <v>63609</v>
      </c>
      <c r="F41" s="3">
        <v>106851</v>
      </c>
      <c r="G41" s="3">
        <v>-379505</v>
      </c>
      <c r="H41" s="3">
        <v>-13205</v>
      </c>
    </row>
    <row r="42" spans="1:8" x14ac:dyDescent="0.25">
      <c r="A42" s="1" t="s">
        <v>93</v>
      </c>
      <c r="B42" t="s">
        <v>92</v>
      </c>
      <c r="C42" s="3">
        <v>-2518878</v>
      </c>
      <c r="D42" s="3">
        <v>-2459592</v>
      </c>
      <c r="E42" s="3">
        <v>-2486924</v>
      </c>
      <c r="F42" s="3">
        <v>-2807012</v>
      </c>
      <c r="G42" s="3">
        <v>-3223531</v>
      </c>
      <c r="H42" s="3">
        <v>-2607583</v>
      </c>
    </row>
    <row r="43" spans="1:8" x14ac:dyDescent="0.25">
      <c r="A43" s="1" t="s">
        <v>303</v>
      </c>
      <c r="B43" t="s">
        <v>304</v>
      </c>
      <c r="E43" s="3">
        <v>13850</v>
      </c>
      <c r="F43" s="3">
        <v>109624</v>
      </c>
      <c r="G43" s="3">
        <v>-52760</v>
      </c>
      <c r="H43" s="3">
        <v>-6101</v>
      </c>
    </row>
    <row r="44" spans="1:8" x14ac:dyDescent="0.25">
      <c r="A44" s="1" t="s">
        <v>91</v>
      </c>
      <c r="B44" t="s">
        <v>90</v>
      </c>
      <c r="C44" s="3">
        <v>7968</v>
      </c>
      <c r="D44" s="3">
        <v>17145</v>
      </c>
      <c r="E44" s="3">
        <v>-1596543</v>
      </c>
      <c r="F44" s="3">
        <v>-2080179</v>
      </c>
      <c r="G44" s="3">
        <v>2414146</v>
      </c>
      <c r="H44">
        <v>0</v>
      </c>
    </row>
    <row r="45" spans="1:8" x14ac:dyDescent="0.25">
      <c r="A45" s="2" t="s">
        <v>89</v>
      </c>
      <c r="B45" t="s">
        <v>88</v>
      </c>
      <c r="C45" s="3">
        <v>-1151982</v>
      </c>
      <c r="D45" s="3">
        <v>-3244429</v>
      </c>
      <c r="E45" s="3">
        <v>646854</v>
      </c>
      <c r="F45" s="3">
        <v>500000</v>
      </c>
      <c r="G45" s="3">
        <v>-1490303</v>
      </c>
      <c r="H45" s="3">
        <v>326758</v>
      </c>
    </row>
    <row r="46" spans="1:8" x14ac:dyDescent="0.25">
      <c r="A46" s="1" t="s">
        <v>87</v>
      </c>
      <c r="B46" t="s">
        <v>86</v>
      </c>
      <c r="C46" s="3">
        <v>1000000</v>
      </c>
      <c r="D46" s="3">
        <v>166548</v>
      </c>
      <c r="E46" s="3">
        <v>-1946396</v>
      </c>
      <c r="F46" s="3">
        <v>-2314723</v>
      </c>
      <c r="G46">
        <v>0</v>
      </c>
      <c r="H46" s="3">
        <v>1925191</v>
      </c>
    </row>
    <row r="47" spans="1:8" x14ac:dyDescent="0.25">
      <c r="A47" s="1" t="s">
        <v>85</v>
      </c>
      <c r="B47" t="s">
        <v>84</v>
      </c>
      <c r="C47" s="3">
        <v>-600017</v>
      </c>
      <c r="D47" s="3">
        <v>-2867887</v>
      </c>
      <c r="E47" s="3">
        <v>-145835</v>
      </c>
      <c r="F47" s="3">
        <v>-460285</v>
      </c>
      <c r="G47" s="3">
        <v>-1389216</v>
      </c>
      <c r="H47" s="3">
        <v>-666712</v>
      </c>
    </row>
    <row r="48" spans="1:8" x14ac:dyDescent="0.25">
      <c r="A48" s="1" t="s">
        <v>83</v>
      </c>
      <c r="B48" t="s">
        <v>82</v>
      </c>
      <c r="C48" s="3">
        <v>-405763</v>
      </c>
      <c r="D48" s="3">
        <v>-359981</v>
      </c>
      <c r="E48" s="3">
        <v>4388</v>
      </c>
      <c r="F48" s="3">
        <v>324747</v>
      </c>
      <c r="G48" s="3">
        <v>-360426</v>
      </c>
      <c r="H48" s="3">
        <v>-835850</v>
      </c>
    </row>
    <row r="49" spans="1:8" x14ac:dyDescent="0.25">
      <c r="A49" s="1" t="s">
        <v>81</v>
      </c>
      <c r="B49" t="s">
        <v>80</v>
      </c>
      <c r="C49" s="3">
        <v>21901</v>
      </c>
      <c r="D49" s="3">
        <v>2814</v>
      </c>
      <c r="E49" s="3">
        <v>1722</v>
      </c>
      <c r="F49">
        <v>0</v>
      </c>
      <c r="G49" s="3">
        <v>306282</v>
      </c>
      <c r="H49" s="3">
        <v>-103602</v>
      </c>
    </row>
    <row r="50" spans="1:8" x14ac:dyDescent="0.25">
      <c r="A50" s="1" t="s">
        <v>79</v>
      </c>
      <c r="B50" t="s">
        <v>305</v>
      </c>
      <c r="C50" s="3">
        <v>1929</v>
      </c>
      <c r="D50" s="3">
        <v>8056</v>
      </c>
      <c r="E50" s="3">
        <v>-173770</v>
      </c>
      <c r="F50" s="3">
        <v>-145577</v>
      </c>
      <c r="G50">
        <v>-18</v>
      </c>
      <c r="H50">
        <v>-19</v>
      </c>
    </row>
    <row r="51" spans="1:8" x14ac:dyDescent="0.25">
      <c r="A51" s="1" t="s">
        <v>78</v>
      </c>
      <c r="B51" t="s">
        <v>77</v>
      </c>
      <c r="C51" s="3">
        <v>-1170032</v>
      </c>
      <c r="D51" s="3">
        <v>-193979</v>
      </c>
      <c r="E51" s="3">
        <v>16494</v>
      </c>
      <c r="F51" s="3">
        <v>15659</v>
      </c>
      <c r="G51" s="3">
        <v>-61108</v>
      </c>
      <c r="H51" s="3">
        <v>-29241</v>
      </c>
    </row>
    <row r="52" spans="1:8" x14ac:dyDescent="0.25">
      <c r="A52" s="1" t="s">
        <v>306</v>
      </c>
      <c r="B52" t="s">
        <v>307</v>
      </c>
      <c r="G52" s="3">
        <v>14183</v>
      </c>
      <c r="H52" s="3">
        <v>18019</v>
      </c>
    </row>
    <row r="53" spans="1:8" x14ac:dyDescent="0.25">
      <c r="A53" s="1" t="s">
        <v>76</v>
      </c>
      <c r="B53" t="s">
        <v>75</v>
      </c>
      <c r="G53">
        <v>0</v>
      </c>
      <c r="H53" s="3">
        <v>18972</v>
      </c>
    </row>
    <row r="54" spans="1:8" x14ac:dyDescent="0.25">
      <c r="A54" s="2" t="s">
        <v>74</v>
      </c>
      <c r="B54" t="s">
        <v>73</v>
      </c>
      <c r="C54" s="3">
        <v>-199673</v>
      </c>
      <c r="D54" s="3">
        <v>-2307409</v>
      </c>
      <c r="E54" s="3">
        <v>-1809968</v>
      </c>
      <c r="F54" s="3">
        <v>-2366632</v>
      </c>
    </row>
    <row r="55" spans="1:8" x14ac:dyDescent="0.25">
      <c r="A55" s="2" t="s">
        <v>72</v>
      </c>
      <c r="B55" t="s">
        <v>71</v>
      </c>
      <c r="C55" s="3">
        <v>1075530</v>
      </c>
      <c r="D55" s="3">
        <v>2960718</v>
      </c>
      <c r="E55" s="3">
        <v>5128186</v>
      </c>
      <c r="F55" s="3">
        <v>6100403</v>
      </c>
      <c r="G55" s="3">
        <v>-824542</v>
      </c>
      <c r="H55" s="3">
        <v>140228</v>
      </c>
    </row>
    <row r="56" spans="1:8" x14ac:dyDescent="0.25">
      <c r="A56" s="1" t="s">
        <v>70</v>
      </c>
      <c r="B56" t="s">
        <v>69</v>
      </c>
      <c r="C56" s="3">
        <v>875857</v>
      </c>
      <c r="D56" s="3">
        <v>653309</v>
      </c>
      <c r="E56" s="3">
        <v>3318218</v>
      </c>
      <c r="F56" s="3">
        <v>3733771</v>
      </c>
      <c r="G56" s="3">
        <v>5232992</v>
      </c>
      <c r="H56" s="3">
        <v>5287642</v>
      </c>
    </row>
    <row r="57" spans="1:8" x14ac:dyDescent="0.25">
      <c r="A57" s="1" t="s">
        <v>68</v>
      </c>
      <c r="B57" t="s">
        <v>67</v>
      </c>
      <c r="G57" s="3">
        <v>4408450</v>
      </c>
      <c r="H57" s="3">
        <v>5427870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2" workbookViewId="0">
      <selection activeCell="B16" sqref="B16"/>
    </sheetView>
  </sheetViews>
  <sheetFormatPr defaultRowHeight="15" x14ac:dyDescent="0.25"/>
  <cols>
    <col min="1" max="1" width="52" customWidth="1"/>
    <col min="2" max="2" width="17.42578125" customWidth="1"/>
    <col min="3" max="3" width="17.7109375" customWidth="1"/>
    <col min="4" max="4" width="18" customWidth="1"/>
    <col min="5" max="5" width="17.7109375" customWidth="1"/>
    <col min="6" max="6" width="17.42578125" customWidth="1"/>
    <col min="7" max="7" width="17.7109375" customWidth="1"/>
  </cols>
  <sheetData>
    <row r="1" spans="1:7" ht="18.75" x14ac:dyDescent="0.3">
      <c r="A1" s="7" t="s">
        <v>203</v>
      </c>
    </row>
    <row r="2" spans="1:7" ht="15.75" x14ac:dyDescent="0.25">
      <c r="A2" s="6" t="s">
        <v>202</v>
      </c>
    </row>
    <row r="3" spans="1:7" ht="15.75" x14ac:dyDescent="0.25">
      <c r="A3" s="6" t="s">
        <v>201</v>
      </c>
    </row>
    <row r="6" spans="1:7" x14ac:dyDescent="0.25">
      <c r="A6" s="20" t="s">
        <v>200</v>
      </c>
      <c r="B6" s="18" t="s">
        <v>158</v>
      </c>
      <c r="C6" s="18" t="s">
        <v>157</v>
      </c>
      <c r="D6" s="18" t="s">
        <v>156</v>
      </c>
      <c r="E6" s="18" t="s">
        <v>155</v>
      </c>
      <c r="F6" s="18" t="s">
        <v>154</v>
      </c>
      <c r="G6" s="18" t="s">
        <v>153</v>
      </c>
    </row>
    <row r="7" spans="1:7" x14ac:dyDescent="0.25">
      <c r="A7" s="23" t="s">
        <v>199</v>
      </c>
      <c r="B7" s="34">
        <f>BPA!C9+BPA!C10</f>
        <v>1657754</v>
      </c>
      <c r="C7" s="38">
        <f>BPA!D9+BPA!D10</f>
        <v>1860371</v>
      </c>
      <c r="D7" s="39">
        <f>BPA!E9+BPA!E10</f>
        <v>3726332</v>
      </c>
      <c r="E7" s="39">
        <f>BPA!F9+BPA!F10</f>
        <v>5608139</v>
      </c>
      <c r="F7" s="39">
        <f>BPA!G9+BPA!G10</f>
        <v>6699817</v>
      </c>
      <c r="G7" s="40">
        <f>BPA!H9+BPA!H10</f>
        <v>5232992</v>
      </c>
    </row>
    <row r="8" spans="1:7" x14ac:dyDescent="0.25">
      <c r="A8" s="22" t="s">
        <v>198</v>
      </c>
      <c r="B8" s="52">
        <f t="shared" ref="B8:G8" si="0">B20-B21</f>
        <v>-757361</v>
      </c>
      <c r="C8" s="53">
        <f t="shared" si="0"/>
        <v>-2238896</v>
      </c>
      <c r="D8" s="54">
        <f t="shared" si="0"/>
        <v>-1991521</v>
      </c>
      <c r="E8" s="55">
        <f t="shared" si="0"/>
        <v>-1637070</v>
      </c>
      <c r="F8" s="54">
        <f t="shared" si="0"/>
        <v>-1500249</v>
      </c>
      <c r="G8" s="56">
        <f t="shared" si="0"/>
        <v>-1900279</v>
      </c>
    </row>
    <row r="9" spans="1:7" x14ac:dyDescent="0.25">
      <c r="A9" s="22" t="s">
        <v>197</v>
      </c>
      <c r="B9" s="111">
        <f>BPA!C17</f>
        <v>32203049</v>
      </c>
      <c r="C9" s="41">
        <f>BPA!D17</f>
        <v>25959763</v>
      </c>
      <c r="D9" s="42">
        <f>BPA!E17</f>
        <v>24992977</v>
      </c>
      <c r="E9" s="43">
        <f>BPA!F17</f>
        <v>24548281</v>
      </c>
      <c r="F9" s="42">
        <f>BPA!G17</f>
        <v>23516142</v>
      </c>
      <c r="G9" s="44">
        <f>BPA!H17</f>
        <v>21520696</v>
      </c>
    </row>
    <row r="10" spans="1:7" x14ac:dyDescent="0.25">
      <c r="A10" s="21" t="s">
        <v>196</v>
      </c>
      <c r="B10" s="36">
        <f t="shared" ref="B10:G10" si="1">B7+B8+B9</f>
        <v>33103442</v>
      </c>
      <c r="C10" s="45">
        <f t="shared" si="1"/>
        <v>25581238</v>
      </c>
      <c r="D10" s="46">
        <f t="shared" si="1"/>
        <v>26727788</v>
      </c>
      <c r="E10" s="46">
        <f t="shared" si="1"/>
        <v>28519350</v>
      </c>
      <c r="F10" s="46">
        <f t="shared" si="1"/>
        <v>28715710</v>
      </c>
      <c r="G10" s="47">
        <f t="shared" si="1"/>
        <v>24853409</v>
      </c>
    </row>
    <row r="11" spans="1:7" x14ac:dyDescent="0.25">
      <c r="A11" s="20" t="s">
        <v>195</v>
      </c>
      <c r="B11" s="18" t="s">
        <v>158</v>
      </c>
      <c r="C11" s="19" t="s">
        <v>157</v>
      </c>
      <c r="D11" s="18" t="s">
        <v>156</v>
      </c>
      <c r="E11" s="18" t="s">
        <v>155</v>
      </c>
      <c r="F11" s="18" t="s">
        <v>154</v>
      </c>
      <c r="G11" s="17" t="s">
        <v>153</v>
      </c>
    </row>
    <row r="12" spans="1:7" x14ac:dyDescent="0.25">
      <c r="A12" s="16" t="s">
        <v>194</v>
      </c>
      <c r="B12" s="34">
        <f>BPP!C12</f>
        <v>1464848</v>
      </c>
      <c r="C12" s="112">
        <f>BPP!D12</f>
        <v>698728</v>
      </c>
      <c r="D12" s="42">
        <f>BPP!E12</f>
        <v>1351860</v>
      </c>
      <c r="E12" s="42">
        <f>BPP!F12</f>
        <v>1145225</v>
      </c>
      <c r="F12" s="42">
        <f>BPP!G12</f>
        <v>2326186</v>
      </c>
      <c r="G12" s="48">
        <f>BPP!H12</f>
        <v>1281554</v>
      </c>
    </row>
    <row r="13" spans="1:7" x14ac:dyDescent="0.25">
      <c r="A13" s="15" t="s">
        <v>193</v>
      </c>
      <c r="B13" s="14">
        <f t="shared" ref="B13:G13" si="2">B14+B15</f>
        <v>31638594</v>
      </c>
      <c r="C13" s="13">
        <f t="shared" si="2"/>
        <v>24882510</v>
      </c>
      <c r="D13" s="12">
        <f t="shared" si="2"/>
        <v>25375928</v>
      </c>
      <c r="E13" s="12">
        <f t="shared" si="2"/>
        <v>27374125</v>
      </c>
      <c r="F13" s="12">
        <f t="shared" si="2"/>
        <v>26389524</v>
      </c>
      <c r="G13" s="11">
        <f t="shared" si="2"/>
        <v>23571855</v>
      </c>
    </row>
    <row r="14" spans="1:7" x14ac:dyDescent="0.25">
      <c r="A14" s="15" t="s">
        <v>192</v>
      </c>
      <c r="B14" s="35">
        <f>BPP!C16</f>
        <v>9875936</v>
      </c>
      <c r="C14" s="113">
        <f>BPP!D16</f>
        <v>5087673</v>
      </c>
      <c r="D14" s="43">
        <f>BPP!E16</f>
        <v>7224744</v>
      </c>
      <c r="E14" s="43">
        <f>BPP!F16</f>
        <v>10186612</v>
      </c>
      <c r="F14" s="43">
        <f>BPP!G16</f>
        <v>9812202</v>
      </c>
      <c r="G14" s="44">
        <f>BPP!H16</f>
        <v>8249821</v>
      </c>
    </row>
    <row r="15" spans="1:7" x14ac:dyDescent="0.25">
      <c r="A15" s="15" t="s">
        <v>191</v>
      </c>
      <c r="B15" s="35">
        <f>BPP!C23</f>
        <v>21762658</v>
      </c>
      <c r="C15" s="41">
        <f>BPP!D23</f>
        <v>19794837</v>
      </c>
      <c r="D15" s="43">
        <f>BPP!E23</f>
        <v>18151184</v>
      </c>
      <c r="E15" s="43">
        <f>BPP!F23</f>
        <v>17187513</v>
      </c>
      <c r="F15" s="43">
        <f>BPP!G23</f>
        <v>16577322</v>
      </c>
      <c r="G15" s="44">
        <f>BPP!H23</f>
        <v>15322034</v>
      </c>
    </row>
    <row r="16" spans="1:7" x14ac:dyDescent="0.25">
      <c r="A16" s="10" t="s">
        <v>190</v>
      </c>
      <c r="B16" s="114">
        <f t="shared" ref="B16:G16" si="3">B12+B13</f>
        <v>33103442</v>
      </c>
      <c r="C16" s="49">
        <f t="shared" si="3"/>
        <v>25581238</v>
      </c>
      <c r="D16" s="50">
        <f t="shared" si="3"/>
        <v>26727788</v>
      </c>
      <c r="E16" s="50">
        <f t="shared" si="3"/>
        <v>28519350</v>
      </c>
      <c r="F16" s="50">
        <f t="shared" si="3"/>
        <v>28715710</v>
      </c>
      <c r="G16" s="51">
        <f t="shared" si="3"/>
        <v>24853409</v>
      </c>
    </row>
    <row r="17" spans="1:8" x14ac:dyDescent="0.25">
      <c r="F17" s="9"/>
      <c r="G17" s="9"/>
    </row>
    <row r="20" spans="1:8" x14ac:dyDescent="0.25">
      <c r="A20" t="s">
        <v>189</v>
      </c>
      <c r="B20" s="3">
        <f>BPA!C8-BPA!C9-BPA!C10</f>
        <v>5049606</v>
      </c>
      <c r="C20" s="3">
        <f>BPA!D8-BPA!D9-BPA!D10</f>
        <v>4137755</v>
      </c>
      <c r="D20" s="3">
        <f>BPA!E8-BPA!E9-BPA!E10</f>
        <v>3881056</v>
      </c>
      <c r="E20" s="3">
        <f>BPA!F8-BPA!F9-BPA!F10</f>
        <v>4499260</v>
      </c>
      <c r="F20" s="3">
        <f>BPA!G8-BPA!G9-BPA!G10</f>
        <v>5340429</v>
      </c>
      <c r="G20" s="37">
        <f>BPA!H8-BPA!H9-BPA!H10</f>
        <v>5941423</v>
      </c>
    </row>
    <row r="21" spans="1:8" x14ac:dyDescent="0.25">
      <c r="A21" t="s">
        <v>188</v>
      </c>
      <c r="B21" s="37">
        <f>BPP!C8-BPP!C12</f>
        <v>5806967</v>
      </c>
      <c r="C21" s="3">
        <f>BPP!D8-BPP!D12</f>
        <v>6376651</v>
      </c>
      <c r="D21" s="3">
        <f>BPP!E8-BPP!E12</f>
        <v>5872577</v>
      </c>
      <c r="E21" s="3">
        <f>BPP!F8-BPP!F12</f>
        <v>6136330</v>
      </c>
      <c r="F21" s="3">
        <f>BPP!G8-BPP!G12</f>
        <v>6840678</v>
      </c>
      <c r="G21" s="3">
        <f>BPP!H8-BPP!H12</f>
        <v>7841702</v>
      </c>
      <c r="H21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6" workbookViewId="0">
      <selection activeCell="E4" sqref="E4"/>
    </sheetView>
  </sheetViews>
  <sheetFormatPr defaultRowHeight="15" x14ac:dyDescent="0.25"/>
  <cols>
    <col min="1" max="1" width="80.42578125" customWidth="1"/>
    <col min="2" max="3" width="17.42578125" customWidth="1"/>
    <col min="4" max="5" width="17.28515625" customWidth="1"/>
    <col min="6" max="7" width="17.7109375" customWidth="1"/>
  </cols>
  <sheetData>
    <row r="1" spans="1:8" x14ac:dyDescent="0.25">
      <c r="A1" s="20"/>
    </row>
    <row r="2" spans="1:8" ht="18.75" x14ac:dyDescent="0.3">
      <c r="A2" s="7" t="s">
        <v>223</v>
      </c>
      <c r="B2" s="26"/>
      <c r="C2" s="25"/>
      <c r="D2" s="25"/>
      <c r="E2" s="25"/>
      <c r="F2" s="25"/>
      <c r="G2" s="24"/>
    </row>
    <row r="3" spans="1:8" ht="15.75" x14ac:dyDescent="0.25">
      <c r="A3" s="6" t="s">
        <v>222</v>
      </c>
      <c r="B3" s="26"/>
      <c r="C3" s="25"/>
      <c r="D3" s="25"/>
      <c r="E3" s="25"/>
      <c r="F3" s="25"/>
      <c r="G3" s="24"/>
    </row>
    <row r="4" spans="1:8" ht="15.75" x14ac:dyDescent="0.25">
      <c r="A4" s="6" t="s">
        <v>201</v>
      </c>
      <c r="B4" s="26"/>
      <c r="C4" s="25"/>
      <c r="D4" s="25"/>
      <c r="E4" s="25"/>
      <c r="F4" s="25"/>
      <c r="G4" s="24"/>
    </row>
    <row r="5" spans="1:8" x14ac:dyDescent="0.25">
      <c r="B5" s="26"/>
      <c r="C5" s="25"/>
      <c r="D5" s="25"/>
      <c r="E5" s="25"/>
      <c r="F5" s="25"/>
      <c r="G5" s="24"/>
    </row>
    <row r="6" spans="1:8" x14ac:dyDescent="0.25">
      <c r="A6" s="20" t="s">
        <v>221</v>
      </c>
      <c r="B6" s="18" t="s">
        <v>158</v>
      </c>
      <c r="C6" s="18" t="s">
        <v>157</v>
      </c>
      <c r="D6" s="18" t="s">
        <v>156</v>
      </c>
      <c r="E6" s="18" t="s">
        <v>155</v>
      </c>
      <c r="F6" s="18" t="s">
        <v>154</v>
      </c>
      <c r="G6" s="17" t="s">
        <v>153</v>
      </c>
      <c r="H6" s="9"/>
    </row>
    <row r="7" spans="1:8" x14ac:dyDescent="0.25">
      <c r="A7" s="33" t="s">
        <v>220</v>
      </c>
      <c r="B7" s="57">
        <f>'BG (2)'!B13-'BG (2)'!B9</f>
        <v>-564455</v>
      </c>
      <c r="C7" s="57">
        <f>'BG (2)'!C13-'BG (2)'!C9</f>
        <v>-1077253</v>
      </c>
      <c r="D7" s="3">
        <f>'BG (2)'!D13-'BG (2)'!D9</f>
        <v>382951</v>
      </c>
      <c r="E7" s="3">
        <f>'BG (2)'!E13-'BG (2)'!E9</f>
        <v>2825844</v>
      </c>
      <c r="F7" s="3">
        <f>'BG (2)'!F13-'BG (2)'!F9</f>
        <v>2873382</v>
      </c>
      <c r="G7" s="3">
        <f>'BG (2)'!G13-'BG (2)'!G9</f>
        <v>2051159</v>
      </c>
      <c r="H7" s="9"/>
    </row>
    <row r="8" spans="1:8" x14ac:dyDescent="0.25">
      <c r="A8" s="28" t="s">
        <v>219</v>
      </c>
      <c r="B8" s="57">
        <f>BPA!C8-BPP!C8</f>
        <v>-564455</v>
      </c>
      <c r="C8" s="57">
        <f>BPA!D8-BPP!D8</f>
        <v>-1077253</v>
      </c>
      <c r="D8" s="3">
        <f>BPA!E8-BPP!E8</f>
        <v>382951</v>
      </c>
      <c r="E8" s="3">
        <f>BPA!F8-BPP!F8</f>
        <v>2825844</v>
      </c>
      <c r="F8" s="3">
        <f>BPA!G8-BPP!G8</f>
        <v>2873382</v>
      </c>
      <c r="G8" s="3">
        <f>BPA!H8-BPP!H8</f>
        <v>2051159</v>
      </c>
      <c r="H8" s="9"/>
    </row>
    <row r="9" spans="1:8" x14ac:dyDescent="0.25">
      <c r="A9" s="28"/>
      <c r="H9" s="9"/>
    </row>
    <row r="10" spans="1:8" x14ac:dyDescent="0.25">
      <c r="A10" s="28" t="s">
        <v>218</v>
      </c>
      <c r="B10" s="61">
        <f>BPA!C8/BPP!C8</f>
        <v>0.9223777007528382</v>
      </c>
      <c r="C10" s="61">
        <f>BPA!D8/BPP!D8</f>
        <v>0.8477462479395097</v>
      </c>
      <c r="D10" s="61">
        <f>BPA!E8/BPP!E8</f>
        <v>1.0530077291836029</v>
      </c>
      <c r="E10" s="61">
        <f>BPA!F8/BPP!F8</f>
        <v>1.3880824906218521</v>
      </c>
      <c r="F10" s="61">
        <f>BPA!G8/BPP!G8</f>
        <v>1.3134531067549382</v>
      </c>
      <c r="G10" s="61">
        <f>BPA!H8/BPP!H8</f>
        <v>1.2248275177195509</v>
      </c>
      <c r="H10" s="9"/>
    </row>
    <row r="11" spans="1:8" x14ac:dyDescent="0.25">
      <c r="A11" s="28" t="s">
        <v>217</v>
      </c>
      <c r="B11" s="61">
        <f>(BPA!C8-BPA!C12)/BPP!C8</f>
        <v>0.89335688545431913</v>
      </c>
      <c r="C11" s="61">
        <f>(BPA!D8-BPA!D12)/BPP!D8</f>
        <v>0.82187357030626906</v>
      </c>
      <c r="D11" s="61">
        <f>(BPA!E8-BPA!E12)/BPP!E8</f>
        <v>1.035873522047462</v>
      </c>
      <c r="E11" s="61">
        <f>(BPA!F8-BPA!F12)/BPP!F8</f>
        <v>1.3683155589705771</v>
      </c>
      <c r="F11" s="61">
        <f>(BPA!G8-BPA!G12)/BPP!G8</f>
        <v>1.2979930759308744</v>
      </c>
      <c r="G11" s="61">
        <f>(BPA!H8-BPA!H12)/BPP!H8</f>
        <v>1.1958868631988404</v>
      </c>
      <c r="H11" s="9"/>
    </row>
    <row r="12" spans="1:8" x14ac:dyDescent="0.25">
      <c r="A12" s="32"/>
      <c r="H12" s="9"/>
    </row>
    <row r="13" spans="1:8" x14ac:dyDescent="0.25">
      <c r="A13" s="20" t="s">
        <v>216</v>
      </c>
      <c r="B13" s="18" t="s">
        <v>158</v>
      </c>
      <c r="C13" s="18" t="s">
        <v>157</v>
      </c>
      <c r="D13" s="18" t="s">
        <v>156</v>
      </c>
      <c r="E13" s="18" t="s">
        <v>155</v>
      </c>
      <c r="F13" s="18" t="s">
        <v>154</v>
      </c>
      <c r="G13" s="17" t="s">
        <v>153</v>
      </c>
      <c r="H13" s="9"/>
    </row>
    <row r="14" spans="1:8" ht="15.75" x14ac:dyDescent="0.25">
      <c r="A14" s="31" t="s">
        <v>215</v>
      </c>
      <c r="B14" s="58">
        <f>'BG (2)'!B8</f>
        <v>-757361</v>
      </c>
      <c r="C14" s="58">
        <f>'BG (2)'!C8</f>
        <v>-2238896</v>
      </c>
      <c r="D14" s="58">
        <f>'BG (2)'!D8</f>
        <v>-1991521</v>
      </c>
      <c r="E14" s="58">
        <f>'BG (2)'!E8</f>
        <v>-1637070</v>
      </c>
      <c r="F14" s="58">
        <f>'BG (2)'!F8</f>
        <v>-1500249</v>
      </c>
      <c r="G14" s="58">
        <f>'BG (2)'!G8</f>
        <v>-1900279</v>
      </c>
      <c r="H14" s="9"/>
    </row>
    <row r="15" spans="1:8" x14ac:dyDescent="0.25">
      <c r="A15" s="20" t="s">
        <v>214</v>
      </c>
      <c r="B15" s="18" t="s">
        <v>158</v>
      </c>
      <c r="C15" s="18" t="s">
        <v>157</v>
      </c>
      <c r="D15" s="18" t="s">
        <v>156</v>
      </c>
      <c r="E15" s="18" t="s">
        <v>155</v>
      </c>
      <c r="F15" s="18" t="s">
        <v>154</v>
      </c>
      <c r="G15" s="17" t="s">
        <v>153</v>
      </c>
      <c r="H15" s="9"/>
    </row>
    <row r="16" spans="1:8" x14ac:dyDescent="0.25">
      <c r="A16" s="29" t="s">
        <v>213</v>
      </c>
      <c r="B16" s="57">
        <f>'BG (2)'!B13-'BG (2)'!B9</f>
        <v>-564455</v>
      </c>
      <c r="C16" s="57">
        <f>'BG (2)'!C13-'BG (2)'!C9</f>
        <v>-1077253</v>
      </c>
      <c r="D16" s="3">
        <f>'BG (2)'!D13-'BG (2)'!D9</f>
        <v>382951</v>
      </c>
      <c r="E16" s="3">
        <f>'BG (2)'!E13-'BG (2)'!E9</f>
        <v>2825844</v>
      </c>
      <c r="F16" s="3">
        <f>'BG (2)'!F13-'BG (2)'!F9</f>
        <v>2873382</v>
      </c>
      <c r="G16" s="3">
        <f>'BG (2)'!G13-'BG (2)'!G9</f>
        <v>2051159</v>
      </c>
      <c r="H16" s="9"/>
    </row>
    <row r="17" spans="1:8" x14ac:dyDescent="0.25">
      <c r="A17" s="27" t="s">
        <v>212</v>
      </c>
      <c r="B17" s="59">
        <f t="shared" ref="B17:G17" si="0">B16/B14</f>
        <v>0.74529187534082164</v>
      </c>
      <c r="C17" s="59">
        <f t="shared" si="0"/>
        <v>0.48115365787423803</v>
      </c>
      <c r="D17" s="60">
        <f t="shared" si="0"/>
        <v>-0.19229071649257026</v>
      </c>
      <c r="E17" s="60">
        <f t="shared" si="0"/>
        <v>-1.7261595411314117</v>
      </c>
      <c r="F17" s="60">
        <f t="shared" si="0"/>
        <v>-1.9152700651691819</v>
      </c>
      <c r="G17" s="60">
        <f t="shared" si="0"/>
        <v>-1.0793988672189716</v>
      </c>
      <c r="H17" s="9"/>
    </row>
    <row r="18" spans="1:8" x14ac:dyDescent="0.25">
      <c r="A18" s="30"/>
      <c r="H18" s="9"/>
    </row>
    <row r="19" spans="1:8" x14ac:dyDescent="0.25">
      <c r="A19" s="20" t="s">
        <v>211</v>
      </c>
      <c r="B19" s="18" t="s">
        <v>158</v>
      </c>
      <c r="C19" s="18" t="s">
        <v>157</v>
      </c>
      <c r="D19" s="18" t="s">
        <v>156</v>
      </c>
      <c r="E19" s="18" t="s">
        <v>155</v>
      </c>
      <c r="F19" s="18" t="s">
        <v>154</v>
      </c>
      <c r="G19" s="17" t="s">
        <v>153</v>
      </c>
      <c r="H19" s="9"/>
    </row>
    <row r="20" spans="1:8" x14ac:dyDescent="0.25">
      <c r="A20" s="29" t="s">
        <v>210</v>
      </c>
      <c r="B20" s="60">
        <f>B14/DRE!C8</f>
        <v>-5.9212173286225932E-2</v>
      </c>
      <c r="C20" s="60">
        <f>C14/DRE!D8</f>
        <v>-0.17876834466796448</v>
      </c>
      <c r="D20" s="60">
        <f>D14/DRE!E8</f>
        <v>-0.16627702119214399</v>
      </c>
      <c r="E20" s="60">
        <f>E14/DRE!F8</f>
        <v>-0.14144655186282845</v>
      </c>
      <c r="F20" s="60">
        <f>F14/DRE!G8</f>
        <v>-0.11516069158637461</v>
      </c>
      <c r="G20" s="60">
        <f>G14/DRE!H8</f>
        <v>-0.13261102571361996</v>
      </c>
      <c r="H20" s="9"/>
    </row>
    <row r="21" spans="1:8" x14ac:dyDescent="0.25">
      <c r="A21" s="27" t="s">
        <v>209</v>
      </c>
      <c r="B21" s="3">
        <f>(-DRE!C9)/BPA!C12</f>
        <v>27.339362377626355</v>
      </c>
      <c r="C21">
        <f>(-DRE!D9)/BPA!D12</f>
        <v>31.332045952397859</v>
      </c>
      <c r="D21">
        <f>(-DRE!E9)/BPA!E12</f>
        <v>48.50136930969019</v>
      </c>
      <c r="E21" s="3">
        <f>(-DRE!F9)/BPA!F12</f>
        <v>40.859852432364832</v>
      </c>
      <c r="F21">
        <f>(-DRE!G9)/BPA!G12</f>
        <v>46.338470222974877</v>
      </c>
      <c r="G21">
        <f>(-DRE!H9)/BPA!H12</f>
        <v>27.960129983752029</v>
      </c>
      <c r="H21" s="9"/>
    </row>
    <row r="22" spans="1:8" x14ac:dyDescent="0.25">
      <c r="A22" s="27" t="s">
        <v>208</v>
      </c>
      <c r="B22" s="61">
        <f>BPA!C12*365/(-DRE!C9)</f>
        <v>13.350713705697252</v>
      </c>
      <c r="C22" s="61">
        <f>BPA!D12*365/(-DRE!D9)</f>
        <v>11.649414805357335</v>
      </c>
      <c r="D22" s="61">
        <f>BPA!E12*365/(-DRE!E9)</f>
        <v>7.5255607252943246</v>
      </c>
      <c r="E22" s="61">
        <f>BPA!F12*365/(-DRE!F9)</f>
        <v>8.9329740141422</v>
      </c>
      <c r="F22" s="61">
        <f>BPA!G12*365/(-DRE!G9)</f>
        <v>7.8768245529829963</v>
      </c>
      <c r="G22" s="61">
        <f>BPA!H12*365/(-DRE!H9)</f>
        <v>13.054302687866826</v>
      </c>
      <c r="H22" s="9"/>
    </row>
    <row r="23" spans="1:8" x14ac:dyDescent="0.25">
      <c r="A23" s="27" t="s">
        <v>207</v>
      </c>
      <c r="B23" s="3">
        <f>BPA!C11/(DRE!C8/365)</f>
        <v>91.252011824280743</v>
      </c>
      <c r="C23" s="3">
        <f>BPA!D11/(DRE!D8/365)</f>
        <v>82.734297417751364</v>
      </c>
      <c r="D23" s="3">
        <f>BPA!E11/(DRE!E8/365)</f>
        <v>77.43196177180053</v>
      </c>
      <c r="E23" s="3">
        <f>BPA!F11/(DRE!F8/365)</f>
        <v>92.061576559619155</v>
      </c>
      <c r="F23" s="3">
        <f>BPA!G11/(DRE!G8/365)</f>
        <v>80.077320256320505</v>
      </c>
      <c r="G23" s="3">
        <f>BPA!H11/(DRE!H8/365)</f>
        <v>90.103443395722778</v>
      </c>
      <c r="H23" s="9"/>
    </row>
    <row r="24" spans="1:8" x14ac:dyDescent="0.25">
      <c r="A24" s="27" t="s">
        <v>206</v>
      </c>
      <c r="B24" s="3">
        <f>BPP!C10/(B27/365)</f>
        <v>184.03447687024257</v>
      </c>
      <c r="C24" s="3">
        <f>BPP!D10/(C27/365)</f>
        <v>272.31445755542774</v>
      </c>
      <c r="D24" s="3">
        <f>BPP!E10/(D27/365)</f>
        <v>243.18052798711409</v>
      </c>
      <c r="E24" s="3">
        <f>BPP!F10/(E27/365)</f>
        <v>214.72419134314273</v>
      </c>
      <c r="F24" s="3">
        <f>BPP!G10/(F27/365)</f>
        <v>211.50667633858436</v>
      </c>
      <c r="G24" s="3">
        <f>BPP!H10/(G27/365)</f>
        <v>257.87255752030688</v>
      </c>
      <c r="H24" s="9"/>
    </row>
    <row r="25" spans="1:8" x14ac:dyDescent="0.25">
      <c r="A25" s="27" t="s">
        <v>205</v>
      </c>
      <c r="B25" s="57">
        <f t="shared" ref="B25:G25" si="1">B22+B23-B24</f>
        <v>-79.431751340264583</v>
      </c>
      <c r="C25" s="57">
        <f t="shared" si="1"/>
        <v>-177.93074533231902</v>
      </c>
      <c r="D25" s="57">
        <f t="shared" si="1"/>
        <v>-158.22300549001923</v>
      </c>
      <c r="E25" s="57">
        <f t="shared" si="1"/>
        <v>-113.72964076938138</v>
      </c>
      <c r="F25" s="57">
        <f t="shared" si="1"/>
        <v>-123.55253152928086</v>
      </c>
      <c r="G25" s="57">
        <f t="shared" si="1"/>
        <v>-154.7148114367173</v>
      </c>
      <c r="H25" s="9"/>
    </row>
    <row r="26" spans="1:8" x14ac:dyDescent="0.25">
      <c r="A26" s="28"/>
      <c r="H26" s="9"/>
    </row>
    <row r="27" spans="1:8" x14ac:dyDescent="0.25">
      <c r="A27" s="27" t="s">
        <v>204</v>
      </c>
      <c r="B27" s="3">
        <f>(-DRE!C9)+(BPA!C12-BPA!D12)</f>
        <v>5797510</v>
      </c>
      <c r="C27" s="3">
        <f>(-DRE!D9)+(BPA!D12-BPA!E12)</f>
        <v>5794887</v>
      </c>
      <c r="D27" s="3">
        <f>(-DRE!E9)+(BPA!E12-BPA!F12)</f>
        <v>5983593</v>
      </c>
      <c r="E27" s="3">
        <f>(-DRE!F9)+(BPA!F12-BPA!G12)</f>
        <v>5883336</v>
      </c>
      <c r="F27" s="3">
        <f>(-DRE!G9)+(BPA!G12-BPA!H12)</f>
        <v>6444775</v>
      </c>
      <c r="G27" s="3">
        <f>(-DRE!H9)+(BPA!H12-BPA!I12)</f>
        <v>7646430</v>
      </c>
      <c r="H27" s="9"/>
    </row>
    <row r="28" spans="1:8" x14ac:dyDescent="0.25">
      <c r="H28" s="9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5"/>
  <sheetViews>
    <sheetView workbookViewId="0">
      <selection activeCell="E15" sqref="E15"/>
    </sheetView>
  </sheetViews>
  <sheetFormatPr defaultRowHeight="15" x14ac:dyDescent="0.25"/>
  <cols>
    <col min="1" max="1" width="47.5703125" customWidth="1"/>
    <col min="2" max="6" width="9.85546875" bestFit="1" customWidth="1"/>
  </cols>
  <sheetData>
    <row r="6" spans="1:7" ht="15.75" thickBot="1" x14ac:dyDescent="0.3"/>
    <row r="7" spans="1:7" ht="15.75" x14ac:dyDescent="0.25">
      <c r="A7" s="62" t="s">
        <v>224</v>
      </c>
      <c r="B7" s="5">
        <v>43466</v>
      </c>
      <c r="C7" s="5">
        <v>43101</v>
      </c>
      <c r="D7" s="5">
        <v>42736</v>
      </c>
      <c r="E7" s="5">
        <v>42370</v>
      </c>
      <c r="F7" s="5">
        <v>42005</v>
      </c>
      <c r="G7" s="66">
        <v>41640</v>
      </c>
    </row>
    <row r="8" spans="1:7" ht="15.75" thickBot="1" x14ac:dyDescent="0.3">
      <c r="A8" s="63"/>
      <c r="B8" s="5">
        <v>43738</v>
      </c>
      <c r="C8" s="5">
        <v>43373</v>
      </c>
      <c r="D8" s="5">
        <v>43008</v>
      </c>
      <c r="E8" s="5">
        <v>42643</v>
      </c>
      <c r="F8" s="5">
        <v>42277</v>
      </c>
      <c r="G8" s="67">
        <v>41912</v>
      </c>
    </row>
    <row r="9" spans="1:7" ht="15.75" thickBot="1" x14ac:dyDescent="0.3">
      <c r="A9" s="64" t="s">
        <v>225</v>
      </c>
      <c r="B9" s="68">
        <f>DRE!C18</f>
        <v>3264220</v>
      </c>
      <c r="C9" s="68">
        <f>DRE!D18</f>
        <v>1613149</v>
      </c>
      <c r="D9" s="68">
        <f>DRE!E18</f>
        <v>1204258</v>
      </c>
      <c r="E9" s="68">
        <f>DRE!F18</f>
        <v>836234</v>
      </c>
      <c r="F9" s="68">
        <f>DRE!G18</f>
        <v>2618238</v>
      </c>
      <c r="G9" s="68">
        <f>DRE!H18</f>
        <v>1730073</v>
      </c>
    </row>
    <row r="10" spans="1:7" ht="15.75" thickBot="1" x14ac:dyDescent="0.3">
      <c r="A10" s="65" t="s">
        <v>226</v>
      </c>
      <c r="B10">
        <f t="shared" ref="B10:G10" si="0">34%*B9</f>
        <v>1109834.8</v>
      </c>
      <c r="C10">
        <f t="shared" si="0"/>
        <v>548470.66</v>
      </c>
      <c r="D10">
        <f t="shared" si="0"/>
        <v>409447.72000000003</v>
      </c>
      <c r="E10">
        <f t="shared" si="0"/>
        <v>284319.56</v>
      </c>
      <c r="F10">
        <f t="shared" si="0"/>
        <v>890200.92</v>
      </c>
      <c r="G10">
        <f t="shared" si="0"/>
        <v>588224.82000000007</v>
      </c>
    </row>
    <row r="11" spans="1:7" ht="15.75" thickBot="1" x14ac:dyDescent="0.3">
      <c r="A11" s="64" t="s">
        <v>227</v>
      </c>
      <c r="B11" s="57">
        <f t="shared" ref="B11:G11" si="1">B9-B10</f>
        <v>2154385.2000000002</v>
      </c>
      <c r="C11" s="68">
        <f t="shared" si="1"/>
        <v>1064678.3399999999</v>
      </c>
      <c r="D11" s="57">
        <f t="shared" si="1"/>
        <v>794810.28</v>
      </c>
      <c r="E11" s="57">
        <f t="shared" si="1"/>
        <v>551914.43999999994</v>
      </c>
      <c r="F11" s="68">
        <f t="shared" si="1"/>
        <v>1728037.08</v>
      </c>
      <c r="G11" s="68">
        <f t="shared" si="1"/>
        <v>1141848.18</v>
      </c>
    </row>
    <row r="12" spans="1:7" ht="15.75" thickBot="1" x14ac:dyDescent="0.3">
      <c r="A12" s="65" t="s">
        <v>228</v>
      </c>
      <c r="B12" s="57">
        <f>DFC!C11</f>
        <v>4068700</v>
      </c>
      <c r="C12" s="3">
        <f>DFC!D11</f>
        <v>2936500</v>
      </c>
      <c r="D12" s="3">
        <f>DFC!E11</f>
        <v>2973950</v>
      </c>
      <c r="E12" s="3">
        <f>DFC!F11</f>
        <v>2805097</v>
      </c>
      <c r="F12" s="3">
        <f>DFC!G11</f>
        <v>2493127</v>
      </c>
      <c r="G12" s="3">
        <f>DFC!H11</f>
        <v>2250014</v>
      </c>
    </row>
    <row r="13" spans="1:7" ht="15.75" thickBot="1" x14ac:dyDescent="0.3">
      <c r="A13" s="65" t="s">
        <v>229</v>
      </c>
      <c r="B13" s="58">
        <f>'BG (2)'!B8-'BG (2)'!C8</f>
        <v>1481535</v>
      </c>
      <c r="C13" s="58">
        <f>'BG (2)'!C8-'BG (2)'!D8</f>
        <v>-247375</v>
      </c>
      <c r="D13" s="58">
        <f>'BG (2)'!D8-'BG (2)'!E8</f>
        <v>-354451</v>
      </c>
      <c r="E13" s="58">
        <f>'BG (2)'!E8-'BG (2)'!F8</f>
        <v>-136821</v>
      </c>
      <c r="F13" s="58">
        <f>'BG (2)'!F8-'BG (2)'!G8</f>
        <v>400030</v>
      </c>
      <c r="G13" s="58">
        <f>'BG (2)'!G8-'BG (2)'!H8</f>
        <v>-1900279</v>
      </c>
    </row>
    <row r="14" spans="1:7" ht="15.75" thickBot="1" x14ac:dyDescent="0.3">
      <c r="A14" s="65" t="s">
        <v>230</v>
      </c>
      <c r="B14">
        <f>-SUM(DFC!C39:C47)</f>
        <v>5764075</v>
      </c>
      <c r="C14">
        <f>-SUM(DFC!D39:D47)</f>
        <v>10491110</v>
      </c>
      <c r="D14">
        <f>-SUM(DFC!E39:E47)</f>
        <v>7860850</v>
      </c>
      <c r="E14">
        <f>-SUM(DFC!F39:F47)</f>
        <v>9536261</v>
      </c>
      <c r="F14">
        <f>-SUM(DFC!G39:G47)</f>
        <v>5362819</v>
      </c>
      <c r="G14">
        <f>-SUM(DFC!H39:H47)</f>
        <v>3668541</v>
      </c>
    </row>
    <row r="15" spans="1:7" ht="15.75" thickBot="1" x14ac:dyDescent="0.3">
      <c r="A15" s="64" t="s">
        <v>231</v>
      </c>
      <c r="B15" s="68">
        <f t="shared" ref="B15:G15" si="2">(B11+B12)-B13-B14</f>
        <v>-1022524.7999999998</v>
      </c>
      <c r="C15" s="57">
        <f t="shared" si="2"/>
        <v>-6242556.6600000001</v>
      </c>
      <c r="D15" s="68">
        <f t="shared" si="2"/>
        <v>-3737638.7199999997</v>
      </c>
      <c r="E15" s="57">
        <f t="shared" si="2"/>
        <v>-6042428.5600000005</v>
      </c>
      <c r="F15" s="68">
        <f t="shared" si="2"/>
        <v>-1541684.92</v>
      </c>
      <c r="G15" s="68">
        <f t="shared" si="2"/>
        <v>1623600.1799999997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35"/>
  <sheetViews>
    <sheetView tabSelected="1" topLeftCell="A23" workbookViewId="0">
      <selection activeCell="E25" sqref="E25"/>
    </sheetView>
  </sheetViews>
  <sheetFormatPr defaultRowHeight="15" x14ac:dyDescent="0.25"/>
  <cols>
    <col min="1" max="1" width="64.42578125" customWidth="1"/>
    <col min="2" max="7" width="10.140625" bestFit="1" customWidth="1"/>
  </cols>
  <sheetData>
    <row r="8" spans="1:7" ht="15.75" thickBot="1" x14ac:dyDescent="0.3">
      <c r="A8" s="69" t="s">
        <v>232</v>
      </c>
      <c r="B8" s="78" t="s">
        <v>158</v>
      </c>
      <c r="C8" s="18" t="s">
        <v>157</v>
      </c>
      <c r="D8" s="79" t="s">
        <v>156</v>
      </c>
      <c r="E8" s="79" t="s">
        <v>155</v>
      </c>
      <c r="F8" s="78" t="s">
        <v>154</v>
      </c>
      <c r="G8" s="78" t="s">
        <v>153</v>
      </c>
    </row>
    <row r="9" spans="1:7" ht="15.75" thickBot="1" x14ac:dyDescent="0.3">
      <c r="A9" s="70" t="s">
        <v>233</v>
      </c>
      <c r="B9" s="3">
        <f>DRE!C30</f>
        <v>2703815</v>
      </c>
      <c r="C9" s="3">
        <f>DRE!D30</f>
        <v>1912918</v>
      </c>
      <c r="D9" s="3">
        <f>DRE!E30</f>
        <v>630109</v>
      </c>
      <c r="E9" s="3">
        <f>DRE!F30</f>
        <v>386433</v>
      </c>
      <c r="F9" s="3">
        <f>DRE!G30</f>
        <v>1619743</v>
      </c>
      <c r="G9" s="3">
        <f>DRE!H30</f>
        <v>1086076</v>
      </c>
    </row>
    <row r="10" spans="1:7" ht="15.75" thickBot="1" x14ac:dyDescent="0.3">
      <c r="A10" s="70" t="s">
        <v>234</v>
      </c>
      <c r="B10" s="3">
        <f>BPP!C23</f>
        <v>21762658</v>
      </c>
      <c r="C10" s="3">
        <f>BPP!D23</f>
        <v>19794837</v>
      </c>
      <c r="D10" s="3">
        <f>BPP!E23</f>
        <v>18151184</v>
      </c>
      <c r="E10" s="3">
        <f>BPP!F23</f>
        <v>17187513</v>
      </c>
      <c r="F10" s="3">
        <f>BPP!G23</f>
        <v>16577322</v>
      </c>
      <c r="G10" s="3">
        <f>BPP!H23</f>
        <v>15322034</v>
      </c>
    </row>
    <row r="11" spans="1:7" ht="15.75" thickBot="1" x14ac:dyDescent="0.3">
      <c r="A11" s="71" t="s">
        <v>235</v>
      </c>
      <c r="B11" s="82">
        <f t="shared" ref="B11" si="0">B9/B10</f>
        <v>0.1242410279112046</v>
      </c>
      <c r="C11" s="82">
        <f t="shared" ref="C11" si="1">C9/C10</f>
        <v>9.6637219088997806E-2</v>
      </c>
      <c r="D11" s="82">
        <f t="shared" ref="D11" si="2">D9/D10</f>
        <v>3.4714484741050503E-2</v>
      </c>
      <c r="E11" s="82">
        <f t="shared" ref="E11" si="3">E9/E10</f>
        <v>2.2483357539860478E-2</v>
      </c>
      <c r="F11" s="82">
        <f t="shared" ref="F11" si="4">F9/F10</f>
        <v>9.770836326880783E-2</v>
      </c>
      <c r="G11" s="82">
        <f t="shared" ref="G11" si="5">G9/G10</f>
        <v>7.0883278290597707E-2</v>
      </c>
    </row>
    <row r="15" spans="1:7" ht="15.75" thickBot="1" x14ac:dyDescent="0.3">
      <c r="A15" s="72" t="s">
        <v>236</v>
      </c>
      <c r="B15" s="78" t="s">
        <v>158</v>
      </c>
      <c r="C15" s="18" t="s">
        <v>157</v>
      </c>
      <c r="D15" s="79" t="s">
        <v>156</v>
      </c>
      <c r="E15" s="79" t="s">
        <v>155</v>
      </c>
      <c r="F15" s="78" t="s">
        <v>154</v>
      </c>
      <c r="G15" s="78" t="s">
        <v>153</v>
      </c>
    </row>
    <row r="16" spans="1:7" ht="15.75" thickBot="1" x14ac:dyDescent="0.3">
      <c r="A16" s="70" t="s">
        <v>237</v>
      </c>
      <c r="B16" s="3">
        <f>FCF!B9</f>
        <v>3264220</v>
      </c>
      <c r="C16" s="3">
        <f>FCF!C9</f>
        <v>1613149</v>
      </c>
      <c r="D16" s="3">
        <f>FCF!D9</f>
        <v>1204258</v>
      </c>
      <c r="E16" s="3">
        <f>FCF!E9</f>
        <v>836234</v>
      </c>
      <c r="F16" s="3">
        <f>FCF!F9</f>
        <v>2618238</v>
      </c>
      <c r="G16" s="3">
        <f>FCF!G9</f>
        <v>1730073</v>
      </c>
    </row>
    <row r="17" spans="1:7" ht="15.75" thickBot="1" x14ac:dyDescent="0.3">
      <c r="A17" s="70" t="s">
        <v>238</v>
      </c>
      <c r="B17" s="3">
        <f>'BG (2)'!B10</f>
        <v>33103442</v>
      </c>
      <c r="C17" s="3">
        <f>'BG (2)'!C10</f>
        <v>25581238</v>
      </c>
      <c r="D17" s="3">
        <f>'BG (2)'!D10</f>
        <v>26727788</v>
      </c>
      <c r="E17" s="3">
        <f>'BG (2)'!E10</f>
        <v>28519350</v>
      </c>
      <c r="F17" s="3">
        <f>'BG (2)'!F10</f>
        <v>28715710</v>
      </c>
      <c r="G17" s="3">
        <f>'BG (2)'!G10</f>
        <v>24853409</v>
      </c>
    </row>
    <row r="18" spans="1:7" ht="15.75" thickBot="1" x14ac:dyDescent="0.3">
      <c r="A18" s="73" t="s">
        <v>239</v>
      </c>
      <c r="B18" s="82">
        <f>B16/B17</f>
        <v>9.8606664527513488E-2</v>
      </c>
      <c r="C18" s="82">
        <f t="shared" ref="C18:G18" si="6">C16/C17</f>
        <v>6.3059848784488073E-2</v>
      </c>
      <c r="D18" s="82">
        <f t="shared" si="6"/>
        <v>4.505640347042561E-2</v>
      </c>
      <c r="E18" s="82">
        <f t="shared" si="6"/>
        <v>2.9321636012040946E-2</v>
      </c>
      <c r="F18" s="82">
        <f t="shared" si="6"/>
        <v>9.1177895305392068E-2</v>
      </c>
      <c r="G18" s="82">
        <f t="shared" si="6"/>
        <v>6.9611094397553266E-2</v>
      </c>
    </row>
    <row r="22" spans="1:7" ht="15.75" thickBot="1" x14ac:dyDescent="0.3">
      <c r="A22" s="69" t="s">
        <v>240</v>
      </c>
      <c r="B22" s="78" t="s">
        <v>158</v>
      </c>
      <c r="C22" s="18" t="s">
        <v>157</v>
      </c>
      <c r="D22" s="79" t="s">
        <v>156</v>
      </c>
      <c r="E22" s="79" t="s">
        <v>155</v>
      </c>
      <c r="F22" s="78" t="s">
        <v>154</v>
      </c>
      <c r="G22" s="78" t="s">
        <v>153</v>
      </c>
    </row>
    <row r="23" spans="1:7" ht="15.75" thickBot="1" x14ac:dyDescent="0.3">
      <c r="A23" s="70" t="s">
        <v>241</v>
      </c>
      <c r="B23" s="82">
        <f>DRE!C18/DRE!C8</f>
        <v>0.25520400480664363</v>
      </c>
      <c r="C23" s="82">
        <f>DRE!D18/DRE!D8</f>
        <v>0.12880454314661433</v>
      </c>
      <c r="D23" s="82">
        <f>DRE!E18/DRE!E8</f>
        <v>0.10054648330939465</v>
      </c>
      <c r="E23" s="82">
        <f>DRE!F18/DRE!F8</f>
        <v>7.2252509575314733E-2</v>
      </c>
      <c r="F23" s="82">
        <f>DRE!G18/DRE!G8</f>
        <v>0.20097870341371751</v>
      </c>
      <c r="G23" s="82">
        <f>DRE!H18/DRE!H8</f>
        <v>0.12073319501475291</v>
      </c>
    </row>
    <row r="24" spans="1:7" ht="15.75" thickBot="1" x14ac:dyDescent="0.3">
      <c r="A24" s="74" t="s">
        <v>242</v>
      </c>
      <c r="B24" s="83">
        <f>DRE!C8/'BG (2)'!B10</f>
        <v>0.3863836878352408</v>
      </c>
      <c r="C24" s="83">
        <f>DRE!D8/'BG (2)'!C10</f>
        <v>0.48957783043963704</v>
      </c>
      <c r="D24" s="83">
        <f>DRE!E8/'BG (2)'!D10</f>
        <v>0.44811516014718467</v>
      </c>
      <c r="E24" s="83">
        <f>DRE!F8/'BG (2)'!E10</f>
        <v>0.40582169649729044</v>
      </c>
      <c r="F24" s="83">
        <f>DRE!G8/'BG (2)'!F10</f>
        <v>0.4536694373915881</v>
      </c>
      <c r="G24" s="83">
        <f>DRE!H8/'BG (2)'!G10</f>
        <v>0.57656963678503825</v>
      </c>
    </row>
    <row r="25" spans="1:7" ht="15.75" thickBot="1" x14ac:dyDescent="0.3">
      <c r="A25" s="73" t="s">
        <v>239</v>
      </c>
      <c r="B25" s="82">
        <f>B23*B24</f>
        <v>9.8606664527513488E-2</v>
      </c>
      <c r="C25" s="82">
        <f t="shared" ref="C25:G25" si="7">C23*C24</f>
        <v>6.305984878448806E-2</v>
      </c>
      <c r="D25" s="82">
        <f t="shared" si="7"/>
        <v>4.5056403470425617E-2</v>
      </c>
      <c r="E25" s="115">
        <f t="shared" si="7"/>
        <v>2.9321636012040946E-2</v>
      </c>
      <c r="F25" s="82">
        <f t="shared" si="7"/>
        <v>9.1177895305392068E-2</v>
      </c>
      <c r="G25" s="82">
        <f t="shared" si="7"/>
        <v>6.961109439755328E-2</v>
      </c>
    </row>
    <row r="29" spans="1:7" ht="15.75" thickBot="1" x14ac:dyDescent="0.3">
      <c r="A29" s="75" t="s">
        <v>243</v>
      </c>
      <c r="B29" s="78" t="s">
        <v>158</v>
      </c>
      <c r="C29" s="18" t="s">
        <v>157</v>
      </c>
      <c r="D29" s="79" t="s">
        <v>156</v>
      </c>
      <c r="E29" s="79" t="s">
        <v>155</v>
      </c>
      <c r="F29" s="78" t="s">
        <v>154</v>
      </c>
      <c r="G29" s="78" t="s">
        <v>153</v>
      </c>
    </row>
    <row r="30" spans="1:7" ht="15.75" thickBot="1" x14ac:dyDescent="0.3">
      <c r="A30" s="76" t="s">
        <v>239</v>
      </c>
      <c r="B30" s="84">
        <f>B25</f>
        <v>9.8606664527513488E-2</v>
      </c>
      <c r="C30" s="84">
        <f t="shared" ref="C30:G30" si="8">C25</f>
        <v>6.305984878448806E-2</v>
      </c>
      <c r="D30" s="84">
        <f t="shared" si="8"/>
        <v>4.5056403470425617E-2</v>
      </c>
      <c r="E30" s="117">
        <f t="shared" si="8"/>
        <v>2.9321636012040946E-2</v>
      </c>
      <c r="F30" s="84">
        <f t="shared" si="8"/>
        <v>9.1177895305392068E-2</v>
      </c>
      <c r="G30" s="84">
        <f t="shared" si="8"/>
        <v>6.961109439755328E-2</v>
      </c>
    </row>
    <row r="31" spans="1:7" ht="15.75" thickBot="1" x14ac:dyDescent="0.3">
      <c r="A31" s="70" t="s">
        <v>244</v>
      </c>
      <c r="B31" s="83">
        <f>DRE!C22/DRE!C18</f>
        <v>1.0787165080784995</v>
      </c>
      <c r="C31" s="83">
        <f>DRE!D22/DRE!D18</f>
        <v>0.70282410366308379</v>
      </c>
      <c r="D31" s="116">
        <f>DRE!E22/DRE!E18</f>
        <v>0.68561720162955109</v>
      </c>
      <c r="E31" s="116">
        <f>DRE!F22/DRE!F18</f>
        <v>0.62985240973220413</v>
      </c>
      <c r="F31" s="83">
        <f>DRE!G22/DRE!G18</f>
        <v>0.89576501448684187</v>
      </c>
      <c r="G31" s="83">
        <f>DRE!H22/DRE!H18</f>
        <v>0.89429521182054172</v>
      </c>
    </row>
    <row r="32" spans="1:7" ht="15.75" thickBot="1" x14ac:dyDescent="0.3">
      <c r="A32" s="77" t="s">
        <v>245</v>
      </c>
      <c r="B32" s="83">
        <f>'BG (2)'!B10/BPP!C23</f>
        <v>1.5211120810702443</v>
      </c>
      <c r="C32" s="83">
        <f>'BG (2)'!C10/BPP!D23</f>
        <v>1.2923186990627911</v>
      </c>
      <c r="D32" s="83">
        <f>'BG (2)'!D10/BPP!E23</f>
        <v>1.4725093415393729</v>
      </c>
      <c r="E32" s="83">
        <f>'BG (2)'!E10/BPP!F23</f>
        <v>1.659306381324628</v>
      </c>
      <c r="F32" s="83">
        <f>'BG (2)'!F10/BPP!G23</f>
        <v>1.7322285227975907</v>
      </c>
      <c r="G32" s="83">
        <f>'BG (2)'!G10/BPP!H23</f>
        <v>1.622069824411041</v>
      </c>
    </row>
    <row r="33" spans="1:7" ht="15.75" thickBot="1" x14ac:dyDescent="0.3">
      <c r="A33" s="73" t="s">
        <v>246</v>
      </c>
      <c r="B33" s="61">
        <f>B31*B32</f>
        <v>1.6408487124881135</v>
      </c>
      <c r="C33" s="61">
        <f t="shared" ref="C33:G33" si="9">C31*C32</f>
        <v>0.90827273131584862</v>
      </c>
      <c r="D33" s="61">
        <f t="shared" si="9"/>
        <v>1.0095777341195977</v>
      </c>
      <c r="E33" s="61">
        <f t="shared" si="9"/>
        <v>1.0451181227613406</v>
      </c>
      <c r="F33" s="61">
        <f t="shared" si="9"/>
        <v>1.5516697078183044</v>
      </c>
      <c r="G33" s="61">
        <f t="shared" si="9"/>
        <v>1.4506092772093808</v>
      </c>
    </row>
    <row r="34" spans="1:7" ht="15.75" thickBot="1" x14ac:dyDescent="0.3">
      <c r="A34" s="77" t="s">
        <v>247</v>
      </c>
      <c r="B34" s="83">
        <f>DRE!C26/DRE!C22</f>
        <v>0.76787446665424652</v>
      </c>
      <c r="C34" s="116">
        <f>DRE!D26/DRE!D22</f>
        <v>1.6872336296923511</v>
      </c>
      <c r="D34" s="83">
        <f>DRE!E26/DRE!E22</f>
        <v>0.76315795848169954</v>
      </c>
      <c r="E34" s="83">
        <f>DRE!F26/DRE!F22</f>
        <v>0.73368153649867862</v>
      </c>
      <c r="F34" s="83">
        <f>DRE!G26/DRE!G22</f>
        <v>0.69062595136027993</v>
      </c>
      <c r="G34" s="83">
        <f>DRE!H26/DRE!H22</f>
        <v>0.70196406919356047</v>
      </c>
    </row>
    <row r="35" spans="1:7" ht="15.75" thickBot="1" x14ac:dyDescent="0.3">
      <c r="A35" s="73" t="s">
        <v>248</v>
      </c>
      <c r="B35" s="82">
        <f>B25*B31*B32*B34</f>
        <v>0.1242410279112046</v>
      </c>
      <c r="C35" s="82">
        <f t="shared" ref="C35:G35" si="10">C25*C31*C32*C34</f>
        <v>9.6637219088997792E-2</v>
      </c>
      <c r="D35" s="82">
        <f t="shared" si="10"/>
        <v>3.4714484741050503E-2</v>
      </c>
      <c r="E35" s="115">
        <f t="shared" si="10"/>
        <v>2.2483357539860482E-2</v>
      </c>
      <c r="F35" s="82">
        <f t="shared" si="10"/>
        <v>9.770836326880783E-2</v>
      </c>
      <c r="G35" s="82">
        <f t="shared" si="10"/>
        <v>7.088327829059772E-2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opLeftCell="E1" workbookViewId="0">
      <selection activeCell="AF13" sqref="AF13"/>
    </sheetView>
  </sheetViews>
  <sheetFormatPr defaultRowHeight="15" x14ac:dyDescent="0.25"/>
  <cols>
    <col min="1" max="1" width="28.42578125" customWidth="1"/>
    <col min="2" max="2" width="11" customWidth="1"/>
    <col min="3" max="3" width="10.7109375" customWidth="1"/>
    <col min="4" max="4" width="10.28515625" customWidth="1"/>
    <col min="5" max="5" width="10.85546875" customWidth="1"/>
    <col min="6" max="9" width="10.28515625" customWidth="1"/>
    <col min="10" max="15" width="11.42578125" customWidth="1"/>
    <col min="16" max="40" width="10.28515625" customWidth="1"/>
    <col min="41" max="41" width="9.5703125" customWidth="1"/>
    <col min="42" max="43" width="13.5703125" customWidth="1"/>
  </cols>
  <sheetData>
    <row r="1" spans="1:40" ht="15.75" thickBot="1" x14ac:dyDescent="0.3">
      <c r="U1" s="107" t="s">
        <v>319</v>
      </c>
      <c r="V1" s="108"/>
      <c r="W1" s="108"/>
      <c r="X1" s="108"/>
      <c r="Y1" s="108"/>
      <c r="Z1" s="108"/>
      <c r="AA1" s="109"/>
    </row>
    <row r="2" spans="1:40" ht="15.75" thickBot="1" x14ac:dyDescent="0.3">
      <c r="T2" s="85"/>
      <c r="U2" s="88">
        <v>2019</v>
      </c>
      <c r="V2" s="86">
        <v>2018</v>
      </c>
      <c r="W2" s="86">
        <v>2017</v>
      </c>
      <c r="X2" s="86">
        <v>2016</v>
      </c>
      <c r="Y2" s="86">
        <v>2015</v>
      </c>
      <c r="Z2" s="86">
        <v>2014</v>
      </c>
      <c r="AA2" s="88" t="s">
        <v>312</v>
      </c>
    </row>
    <row r="3" spans="1:40" ht="15.75" thickBot="1" x14ac:dyDescent="0.3">
      <c r="T3" s="85"/>
      <c r="U3" s="89">
        <f>H8*U8*AH8</f>
        <v>3.8291012402350173E-2</v>
      </c>
      <c r="V3" s="89">
        <f t="shared" ref="V3:Z3" si="0">I8*V8*AI8</f>
        <v>2.6714110055148638E-2</v>
      </c>
      <c r="W3" s="89">
        <f t="shared" si="0"/>
        <v>9.0713602230466043E-3</v>
      </c>
      <c r="X3" s="89">
        <f t="shared" si="0"/>
        <v>5.580709688675415E-3</v>
      </c>
      <c r="Y3" s="89">
        <f t="shared" si="0"/>
        <v>2.3622694347251127E-2</v>
      </c>
      <c r="Z3" s="89">
        <f t="shared" si="0"/>
        <v>2.4161817678027157E-2</v>
      </c>
      <c r="AA3" s="90">
        <f>(U3-V3)/V3</f>
        <v>0.4333628304780569</v>
      </c>
    </row>
    <row r="5" spans="1:40" ht="15.75" thickBot="1" x14ac:dyDescent="0.3"/>
    <row r="6" spans="1:40" ht="15.75" thickBot="1" x14ac:dyDescent="0.3">
      <c r="H6" s="107" t="s">
        <v>311</v>
      </c>
      <c r="I6" s="108"/>
      <c r="J6" s="108"/>
      <c r="K6" s="108"/>
      <c r="L6" s="108"/>
      <c r="M6" s="108"/>
      <c r="N6" s="109"/>
      <c r="U6" s="107" t="s">
        <v>320</v>
      </c>
      <c r="V6" s="108"/>
      <c r="W6" s="108"/>
      <c r="X6" s="108"/>
      <c r="Y6" s="108"/>
      <c r="Z6" s="108"/>
      <c r="AA6" s="109"/>
      <c r="AH6" s="107" t="s">
        <v>321</v>
      </c>
      <c r="AI6" s="108"/>
      <c r="AJ6" s="108"/>
      <c r="AK6" s="108"/>
      <c r="AL6" s="108"/>
      <c r="AM6" s="108"/>
      <c r="AN6" s="109"/>
    </row>
    <row r="7" spans="1:40" ht="15.75" thickBot="1" x14ac:dyDescent="0.3">
      <c r="G7" s="85"/>
      <c r="H7" s="88">
        <v>2019</v>
      </c>
      <c r="I7" s="86">
        <v>2018</v>
      </c>
      <c r="J7" s="86">
        <v>2017</v>
      </c>
      <c r="K7" s="86">
        <v>2016</v>
      </c>
      <c r="L7" s="86">
        <v>2015</v>
      </c>
      <c r="M7" s="86">
        <v>2014</v>
      </c>
      <c r="N7" s="88" t="s">
        <v>312</v>
      </c>
      <c r="T7" s="85"/>
      <c r="U7" s="88">
        <v>2019</v>
      </c>
      <c r="V7" s="86">
        <v>2018</v>
      </c>
      <c r="W7" s="86">
        <v>2017</v>
      </c>
      <c r="X7" s="86">
        <v>2016</v>
      </c>
      <c r="Y7" s="86">
        <v>2015</v>
      </c>
      <c r="Z7" s="86">
        <v>2014</v>
      </c>
      <c r="AA7" s="88" t="s">
        <v>312</v>
      </c>
      <c r="AG7" s="85"/>
      <c r="AH7" s="88">
        <v>2019</v>
      </c>
      <c r="AI7" s="86">
        <v>2018</v>
      </c>
      <c r="AJ7" s="86">
        <v>2017</v>
      </c>
      <c r="AK7" s="86">
        <v>2016</v>
      </c>
      <c r="AL7" s="86">
        <v>2015</v>
      </c>
      <c r="AM7" s="86">
        <v>2014</v>
      </c>
      <c r="AN7" s="88" t="s">
        <v>312</v>
      </c>
    </row>
    <row r="8" spans="1:40" ht="15.75" thickBot="1" x14ac:dyDescent="0.3">
      <c r="G8" s="85"/>
      <c r="H8" s="89">
        <f>B13*J13</f>
        <v>9.8606664527513488E-2</v>
      </c>
      <c r="I8" s="89">
        <f t="shared" ref="I8:M8" si="1">C13*K13</f>
        <v>6.305984878448806E-2</v>
      </c>
      <c r="J8" s="89">
        <f t="shared" si="1"/>
        <v>4.5056403470425617E-2</v>
      </c>
      <c r="K8" s="89">
        <f t="shared" si="1"/>
        <v>2.9321636012040946E-2</v>
      </c>
      <c r="L8" s="89">
        <f t="shared" si="1"/>
        <v>9.1177895305392068E-2</v>
      </c>
      <c r="M8" s="89">
        <f t="shared" si="1"/>
        <v>6.961109439755328E-2</v>
      </c>
      <c r="N8" s="90">
        <f>(H8-I8)/I8</f>
        <v>0.56369966671676364</v>
      </c>
      <c r="T8" s="85"/>
      <c r="U8" s="92">
        <f>R13*AA13</f>
        <v>3.1255434786224807</v>
      </c>
      <c r="V8" s="92">
        <f t="shared" ref="V8:Z8" si="2">S13*AB13</f>
        <v>4.3837256039328132</v>
      </c>
      <c r="W8" s="92">
        <f t="shared" si="2"/>
        <v>5.7996951650350201</v>
      </c>
      <c r="X8" s="92">
        <f t="shared" si="2"/>
        <v>8.4652554052848838</v>
      </c>
      <c r="Y8" s="92">
        <f t="shared" si="2"/>
        <v>2.6516007262037871</v>
      </c>
      <c r="Z8" s="92">
        <f t="shared" si="2"/>
        <v>4.8967433946675767</v>
      </c>
      <c r="AA8" s="90">
        <f>(U8-V8)/V8</f>
        <v>-0.28701206211026703</v>
      </c>
      <c r="AG8" s="85"/>
      <c r="AH8" s="92">
        <f>AH10/AA19</f>
        <v>0.1242410279112046</v>
      </c>
      <c r="AI8" s="92">
        <f t="shared" ref="AI8:AM8" si="3">AI10/AB19</f>
        <v>9.6637219088997806E-2</v>
      </c>
      <c r="AJ8" s="92">
        <f t="shared" si="3"/>
        <v>3.4714484741050503E-2</v>
      </c>
      <c r="AK8" s="92">
        <f t="shared" si="3"/>
        <v>2.2483357539860478E-2</v>
      </c>
      <c r="AL8" s="92">
        <f t="shared" si="3"/>
        <v>9.770836326880783E-2</v>
      </c>
      <c r="AM8" s="92">
        <f t="shared" si="3"/>
        <v>7.0883278290597707E-2</v>
      </c>
      <c r="AN8" s="90">
        <f>(AH8-AI8)/AI8</f>
        <v>0.28564365864859104</v>
      </c>
    </row>
    <row r="9" spans="1:40" ht="15.75" thickBot="1" x14ac:dyDescent="0.3"/>
    <row r="10" spans="1:40" ht="15.75" thickBot="1" x14ac:dyDescent="0.3">
      <c r="AG10" s="98" t="s">
        <v>322</v>
      </c>
      <c r="AH10" s="93">
        <f>DRE!C30</f>
        <v>2703815</v>
      </c>
      <c r="AI10" s="93">
        <f>DRE!D30</f>
        <v>1912918</v>
      </c>
      <c r="AJ10" s="93">
        <f>DRE!E30</f>
        <v>630109</v>
      </c>
      <c r="AK10" s="93">
        <f>DRE!F30</f>
        <v>386433</v>
      </c>
      <c r="AL10" s="93">
        <f>DRE!G30</f>
        <v>1619743</v>
      </c>
      <c r="AM10" s="93">
        <f>DRE!H30</f>
        <v>1086076</v>
      </c>
      <c r="AN10" s="97">
        <f>(AH10-AI10)/AI10</f>
        <v>0.41345055041564771</v>
      </c>
    </row>
    <row r="11" spans="1:40" ht="15.75" thickBot="1" x14ac:dyDescent="0.3">
      <c r="B11" s="107" t="s">
        <v>313</v>
      </c>
      <c r="C11" s="108"/>
      <c r="D11" s="108"/>
      <c r="E11" s="108"/>
      <c r="F11" s="108"/>
      <c r="G11" s="108"/>
      <c r="H11" s="109"/>
      <c r="J11" s="107" t="s">
        <v>314</v>
      </c>
      <c r="K11" s="108"/>
      <c r="L11" s="108"/>
      <c r="M11" s="108"/>
      <c r="N11" s="108"/>
      <c r="O11" s="108"/>
      <c r="P11" s="109"/>
      <c r="R11" s="107" t="s">
        <v>323</v>
      </c>
      <c r="S11" s="108"/>
      <c r="T11" s="108"/>
      <c r="U11" s="108"/>
      <c r="V11" s="108"/>
      <c r="W11" s="108"/>
      <c r="X11" s="109"/>
      <c r="AA11" s="107" t="s">
        <v>324</v>
      </c>
      <c r="AB11" s="108"/>
      <c r="AC11" s="108"/>
      <c r="AD11" s="108"/>
      <c r="AE11" s="108"/>
      <c r="AF11" s="108"/>
      <c r="AG11" s="110"/>
    </row>
    <row r="12" spans="1:40" ht="15.75" thickBot="1" x14ac:dyDescent="0.3">
      <c r="A12" s="85"/>
      <c r="B12" s="88">
        <v>2019</v>
      </c>
      <c r="C12" s="86">
        <v>2018</v>
      </c>
      <c r="D12" s="86">
        <v>2017</v>
      </c>
      <c r="E12" s="86">
        <v>2016</v>
      </c>
      <c r="F12" s="86">
        <v>2015</v>
      </c>
      <c r="G12" s="86">
        <v>2014</v>
      </c>
      <c r="H12" s="88" t="s">
        <v>312</v>
      </c>
      <c r="I12" s="91"/>
      <c r="J12" s="88">
        <v>2019</v>
      </c>
      <c r="K12" s="86">
        <v>2018</v>
      </c>
      <c r="L12" s="86">
        <v>2017</v>
      </c>
      <c r="M12" s="86">
        <v>2016</v>
      </c>
      <c r="N12" s="86">
        <v>2015</v>
      </c>
      <c r="O12" s="86">
        <v>2014</v>
      </c>
      <c r="P12" s="88" t="s">
        <v>312</v>
      </c>
      <c r="Q12" s="91"/>
      <c r="R12" s="88">
        <v>2019</v>
      </c>
      <c r="S12" s="86">
        <v>2018</v>
      </c>
      <c r="T12" s="86">
        <v>2017</v>
      </c>
      <c r="U12" s="86">
        <v>2016</v>
      </c>
      <c r="V12" s="86">
        <v>2015</v>
      </c>
      <c r="W12" s="86">
        <v>2014</v>
      </c>
      <c r="X12" s="88" t="s">
        <v>312</v>
      </c>
      <c r="AA12" s="88">
        <v>2019</v>
      </c>
      <c r="AB12" s="86">
        <v>2018</v>
      </c>
      <c r="AC12" s="86">
        <v>2017</v>
      </c>
      <c r="AD12" s="86">
        <v>2016</v>
      </c>
      <c r="AE12" s="86">
        <v>2015</v>
      </c>
      <c r="AF12" s="86">
        <v>2014</v>
      </c>
      <c r="AG12" s="88" t="s">
        <v>312</v>
      </c>
    </row>
    <row r="13" spans="1:40" ht="15.75" thickBot="1" x14ac:dyDescent="0.3">
      <c r="A13" s="85"/>
      <c r="B13" s="89">
        <f>B17/B15</f>
        <v>0.25520400480664363</v>
      </c>
      <c r="C13" s="89">
        <f t="shared" ref="C13:G13" si="4">C17/C15</f>
        <v>0.12880454314661433</v>
      </c>
      <c r="D13" s="89">
        <f t="shared" si="4"/>
        <v>0.10054648330939465</v>
      </c>
      <c r="E13" s="89">
        <f t="shared" si="4"/>
        <v>7.2252509575314733E-2</v>
      </c>
      <c r="F13" s="89">
        <f t="shared" si="4"/>
        <v>0.20097870341371751</v>
      </c>
      <c r="G13" s="89">
        <f t="shared" si="4"/>
        <v>0.12073319501475291</v>
      </c>
      <c r="H13" s="90">
        <f>(B13-C13)/C13</f>
        <v>0.98132766571868979</v>
      </c>
      <c r="I13" s="91"/>
      <c r="J13" s="92">
        <f>B15/J19</f>
        <v>0.3863836878352408</v>
      </c>
      <c r="K13" s="92">
        <f t="shared" ref="K13:O13" si="5">C15/K19</f>
        <v>0.48957783043963704</v>
      </c>
      <c r="L13" s="92">
        <f t="shared" si="5"/>
        <v>0.44811516014718467</v>
      </c>
      <c r="M13" s="92">
        <f t="shared" si="5"/>
        <v>0.40582169649729044</v>
      </c>
      <c r="N13" s="92">
        <f t="shared" si="5"/>
        <v>0.4536694373915881</v>
      </c>
      <c r="O13" s="92">
        <f t="shared" si="5"/>
        <v>0.57656963678503825</v>
      </c>
      <c r="P13" s="90">
        <f>(J13-K13)/K13</f>
        <v>-0.21078189449822252</v>
      </c>
      <c r="Q13" s="91"/>
      <c r="R13" s="99">
        <f>J19/R25</f>
        <v>0.46880585697707855</v>
      </c>
      <c r="S13" s="99">
        <f t="shared" ref="S13:W13" si="6">K19/S25</f>
        <v>0.35724479945243365</v>
      </c>
      <c r="T13" s="99">
        <f t="shared" si="6"/>
        <v>0.38478643046397104</v>
      </c>
      <c r="U13" s="99">
        <f t="shared" si="6"/>
        <v>0.41186496199787598</v>
      </c>
      <c r="V13" s="99">
        <f t="shared" si="6"/>
        <v>0.41879634009488087</v>
      </c>
      <c r="W13" s="99">
        <f t="shared" si="6"/>
        <v>0.55291115625005904</v>
      </c>
      <c r="X13" s="90"/>
      <c r="Y13" s="100"/>
      <c r="Z13" s="85"/>
      <c r="AA13" s="92">
        <f>AA19/B17</f>
        <v>6.6670316338972251</v>
      </c>
      <c r="AB13" s="92">
        <f t="shared" ref="AB13:AF13" si="7">AB19/C17</f>
        <v>12.270929095824378</v>
      </c>
      <c r="AC13" s="92">
        <f t="shared" si="7"/>
        <v>15.072504396898339</v>
      </c>
      <c r="AD13" s="92">
        <f t="shared" si="7"/>
        <v>20.55347307093469</v>
      </c>
      <c r="AE13" s="92">
        <f t="shared" si="7"/>
        <v>6.3314801786545001</v>
      </c>
      <c r="AF13" s="92">
        <f t="shared" si="7"/>
        <v>8.8562933471593404</v>
      </c>
      <c r="AG13" s="90">
        <f>(AA13-AB13)/AB13</f>
        <v>-0.45668077927645101</v>
      </c>
    </row>
    <row r="14" spans="1:40" ht="15.75" thickBot="1" x14ac:dyDescent="0.3"/>
    <row r="15" spans="1:40" ht="15.75" thickBot="1" x14ac:dyDescent="0.3">
      <c r="A15" s="86" t="s">
        <v>308</v>
      </c>
      <c r="B15" s="93">
        <f>DRE!C8</f>
        <v>12790630</v>
      </c>
      <c r="C15" s="93">
        <f>DRE!D8</f>
        <v>12524007</v>
      </c>
      <c r="D15" s="93">
        <f>DRE!E8</f>
        <v>11977127</v>
      </c>
      <c r="E15" s="93">
        <f>DRE!F8</f>
        <v>11573771</v>
      </c>
      <c r="F15" s="93">
        <f>DRE!G8</f>
        <v>13027440</v>
      </c>
      <c r="G15" s="93">
        <f>DRE!H8</f>
        <v>14329721</v>
      </c>
      <c r="H15" s="94">
        <f>(B15-C15)/C15</f>
        <v>2.1288953287873443E-2</v>
      </c>
    </row>
    <row r="16" spans="1:40" ht="15.75" thickBot="1" x14ac:dyDescent="0.3">
      <c r="A16" s="86" t="s">
        <v>309</v>
      </c>
      <c r="B16" s="93">
        <f>DRE!C9-DRE!C11</f>
        <v>-2012660</v>
      </c>
      <c r="C16" s="93">
        <f>DRE!D9-DRE!D11</f>
        <v>-560368</v>
      </c>
      <c r="D16" s="93">
        <f>DRE!E9-DRE!E11</f>
        <v>-1234615</v>
      </c>
      <c r="E16" s="93">
        <f>DRE!F9-DRE!F11</f>
        <v>-1024707</v>
      </c>
      <c r="F16" s="93">
        <f>DRE!G9-DRE!G11</f>
        <v>-2724974</v>
      </c>
      <c r="G16" s="93">
        <f>DRE!H9-DRE!H11</f>
        <v>-2165146</v>
      </c>
      <c r="H16" s="94">
        <f>(B16-C16)/C16</f>
        <v>2.5916754704051623</v>
      </c>
    </row>
    <row r="17" spans="1:33" ht="15.75" thickBot="1" x14ac:dyDescent="0.3">
      <c r="A17" s="86" t="s">
        <v>310</v>
      </c>
      <c r="B17" s="93">
        <f>DRE!C18</f>
        <v>3264220</v>
      </c>
      <c r="C17" s="93">
        <f>DRE!D18</f>
        <v>1613149</v>
      </c>
      <c r="D17" s="93">
        <f>DRE!E18</f>
        <v>1204258</v>
      </c>
      <c r="E17" s="93">
        <f>DRE!F18</f>
        <v>836234</v>
      </c>
      <c r="F17" s="93">
        <f>DRE!G18</f>
        <v>2618238</v>
      </c>
      <c r="G17" s="93">
        <f>DRE!H18</f>
        <v>1730073</v>
      </c>
      <c r="H17" s="94">
        <f>(B17-C17)/C17</f>
        <v>1.023508057842146</v>
      </c>
    </row>
    <row r="18" spans="1:33" ht="15.75" thickBot="1" x14ac:dyDescent="0.3">
      <c r="A18" s="87"/>
    </row>
    <row r="19" spans="1:33" ht="15.75" thickBot="1" x14ac:dyDescent="0.3">
      <c r="B19" s="3"/>
      <c r="C19" s="3"/>
      <c r="D19" s="3"/>
      <c r="E19" s="3"/>
      <c r="F19" s="3"/>
      <c r="G19" s="3"/>
      <c r="H19" s="103" t="s">
        <v>315</v>
      </c>
      <c r="I19" s="103"/>
      <c r="J19" s="95">
        <f>'BG (2)'!B10</f>
        <v>33103442</v>
      </c>
      <c r="K19" s="95">
        <f>'BG (2)'!C10</f>
        <v>25581238</v>
      </c>
      <c r="L19" s="95">
        <f>'BG (2)'!D10</f>
        <v>26727788</v>
      </c>
      <c r="M19" s="95">
        <f>'BG (2)'!E10</f>
        <v>28519350</v>
      </c>
      <c r="N19" s="95">
        <f>'BG (2)'!F10</f>
        <v>28715710</v>
      </c>
      <c r="O19" s="95">
        <f>'BG (2)'!G10</f>
        <v>24853409</v>
      </c>
      <c r="P19" s="96">
        <f>(J19-K19)/K19</f>
        <v>0.29405160141194103</v>
      </c>
      <c r="Z19" s="101" t="s">
        <v>325</v>
      </c>
      <c r="AA19" s="93">
        <f>'BG (2)'!B15</f>
        <v>21762658</v>
      </c>
      <c r="AB19" s="93">
        <f>'BG (2)'!C15</f>
        <v>19794837</v>
      </c>
      <c r="AC19" s="93">
        <f>'BG (2)'!D15</f>
        <v>18151184</v>
      </c>
      <c r="AD19" s="93">
        <f>'BG (2)'!E15</f>
        <v>17187513</v>
      </c>
      <c r="AE19" s="93">
        <f>'BG (2)'!F15</f>
        <v>16577322</v>
      </c>
      <c r="AF19" s="93">
        <f>'BG (2)'!G15</f>
        <v>15322034</v>
      </c>
      <c r="AG19" s="97">
        <f>(AA19-AB19)/AB19</f>
        <v>9.941082111461691E-2</v>
      </c>
    </row>
    <row r="20" spans="1:33" ht="15.75" thickBot="1" x14ac:dyDescent="0.3">
      <c r="D20" s="81"/>
      <c r="E20" s="81"/>
      <c r="H20" s="104" t="s">
        <v>316</v>
      </c>
      <c r="I20" s="104"/>
      <c r="J20" s="93">
        <f>'BG (2)'!B7</f>
        <v>1657754</v>
      </c>
      <c r="K20" s="93">
        <f>'BG (2)'!C7</f>
        <v>1860371</v>
      </c>
      <c r="L20" s="93">
        <f>'BG (2)'!D7</f>
        <v>3726332</v>
      </c>
      <c r="M20" s="93">
        <f>'BG (2)'!E7</f>
        <v>5608139</v>
      </c>
      <c r="N20" s="93">
        <f>'BG (2)'!F7</f>
        <v>6699817</v>
      </c>
      <c r="O20" s="93">
        <f>'BG (2)'!G7</f>
        <v>5232992</v>
      </c>
      <c r="P20" s="97">
        <f>(J20-K20)/K20</f>
        <v>-0.10891214709324108</v>
      </c>
    </row>
    <row r="21" spans="1:33" ht="15.75" thickBot="1" x14ac:dyDescent="0.3">
      <c r="D21" s="81"/>
      <c r="E21" s="81"/>
      <c r="H21" s="105" t="s">
        <v>317</v>
      </c>
      <c r="I21" s="105"/>
      <c r="J21" s="93">
        <f>'BG (2)'!B8</f>
        <v>-757361</v>
      </c>
      <c r="K21" s="93">
        <f>'BG (2)'!C8</f>
        <v>-2238896</v>
      </c>
      <c r="L21" s="93">
        <f>'BG (2)'!D8</f>
        <v>-1991521</v>
      </c>
      <c r="M21" s="93">
        <f>'BG (2)'!E8</f>
        <v>-1637070</v>
      </c>
      <c r="N21" s="93">
        <f>'BG (2)'!F8</f>
        <v>-1500249</v>
      </c>
      <c r="O21" s="93">
        <f>'BG (2)'!G8</f>
        <v>-1900279</v>
      </c>
      <c r="P21" s="97">
        <f>(J21-K21)/K21</f>
        <v>-0.66172568980426072</v>
      </c>
    </row>
    <row r="22" spans="1:33" ht="15.75" thickBot="1" x14ac:dyDescent="0.3">
      <c r="H22" s="106" t="s">
        <v>318</v>
      </c>
      <c r="I22" s="106"/>
      <c r="J22" s="93">
        <f>'BG (2)'!B9</f>
        <v>32203049</v>
      </c>
      <c r="K22" s="93">
        <f>'BG (2)'!C9</f>
        <v>25959763</v>
      </c>
      <c r="L22" s="93">
        <f>'BG (2)'!D9</f>
        <v>24992977</v>
      </c>
      <c r="M22" s="93">
        <f>'BG (2)'!E9</f>
        <v>24548281</v>
      </c>
      <c r="N22" s="93">
        <f>'BG (2)'!F9</f>
        <v>23516142</v>
      </c>
      <c r="O22" s="93">
        <f>'BG (2)'!G9</f>
        <v>21520696</v>
      </c>
      <c r="P22" s="97">
        <f>(J22-K22)/K22</f>
        <v>0.24049857465956065</v>
      </c>
    </row>
    <row r="24" spans="1:33" ht="15.75" thickBot="1" x14ac:dyDescent="0.3"/>
    <row r="25" spans="1:33" ht="15.75" thickBot="1" x14ac:dyDescent="0.3">
      <c r="A25" s="87"/>
      <c r="Q25" s="102" t="s">
        <v>326</v>
      </c>
      <c r="R25" s="95">
        <f>[1]BG!B15</f>
        <v>70612262</v>
      </c>
      <c r="S25" s="95">
        <f>[1]BG!C15</f>
        <v>71607027</v>
      </c>
      <c r="T25" s="95">
        <f>[1]BG!D15</f>
        <v>69461358</v>
      </c>
      <c r="U25" s="95">
        <f>[1]BG!E15</f>
        <v>69244419</v>
      </c>
      <c r="V25" s="95">
        <f>[1]BG!F15</f>
        <v>68567242</v>
      </c>
      <c r="W25" s="95">
        <f>[1]BG!G15</f>
        <v>44950095</v>
      </c>
      <c r="X25" s="96">
        <f>(R25-S25)/S25</f>
        <v>-1.3892002526511819E-2</v>
      </c>
      <c r="Y25" s="100"/>
    </row>
    <row r="27" spans="1:33" x14ac:dyDescent="0.25">
      <c r="A27" s="87"/>
    </row>
  </sheetData>
  <mergeCells count="12">
    <mergeCell ref="AH6:AN6"/>
    <mergeCell ref="B11:H11"/>
    <mergeCell ref="J11:P11"/>
    <mergeCell ref="R11:X11"/>
    <mergeCell ref="AA11:AG11"/>
    <mergeCell ref="H19:I19"/>
    <mergeCell ref="H20:I20"/>
    <mergeCell ref="H21:I21"/>
    <mergeCell ref="H22:I22"/>
    <mergeCell ref="U1:AA1"/>
    <mergeCell ref="H6:N6"/>
    <mergeCell ref="U6:AA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BPA</vt:lpstr>
      <vt:lpstr>BPP</vt:lpstr>
      <vt:lpstr>DRE</vt:lpstr>
      <vt:lpstr>DFC</vt:lpstr>
      <vt:lpstr>BG (2)</vt:lpstr>
      <vt:lpstr>Liquidez (2)</vt:lpstr>
      <vt:lpstr>FCF</vt:lpstr>
      <vt:lpstr>Rentabilidade</vt:lpstr>
      <vt:lpstr>DETERMINANTES DO ROE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2020-07-02T15:19:39Z</dcterms:modified>
</cp:coreProperties>
</file>