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8"/>
  </bookViews>
  <sheets>
    <sheet name="BPA" sheetId="2" r:id="rId1"/>
    <sheet name="BPP" sheetId="3" r:id="rId2"/>
    <sheet name="DRE" sheetId="4" r:id="rId3"/>
    <sheet name="DFC" sheetId="10" r:id="rId4"/>
    <sheet name="BG" sheetId="6" r:id="rId5"/>
    <sheet name="Liquidez" sheetId="7" r:id="rId6"/>
    <sheet name="FCF" sheetId="9" r:id="rId7"/>
    <sheet name="Rentabilidade" sheetId="11" r:id="rId8"/>
    <sheet name="Determinantes do ROE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2" l="1"/>
  <c r="V3" i="12"/>
  <c r="W3" i="12"/>
  <c r="X3" i="12"/>
  <c r="Y3" i="12"/>
  <c r="Z3" i="12"/>
  <c r="U3" i="12"/>
  <c r="AA8" i="12"/>
  <c r="V8" i="12"/>
  <c r="W8" i="12"/>
  <c r="X8" i="12"/>
  <c r="Y8" i="12"/>
  <c r="Z8" i="12"/>
  <c r="U8" i="12"/>
  <c r="S13" i="12"/>
  <c r="T13" i="12"/>
  <c r="U13" i="12"/>
  <c r="V13" i="12"/>
  <c r="W13" i="12"/>
  <c r="R13" i="12"/>
  <c r="AN8" i="12"/>
  <c r="AI8" i="12"/>
  <c r="AJ8" i="12"/>
  <c r="AK8" i="12"/>
  <c r="AL8" i="12"/>
  <c r="AM8" i="12"/>
  <c r="AH8" i="12"/>
  <c r="AN10" i="12"/>
  <c r="AI10" i="12"/>
  <c r="AJ10" i="12"/>
  <c r="AK10" i="12"/>
  <c r="AL10" i="12"/>
  <c r="AM10" i="12"/>
  <c r="AH10" i="12"/>
  <c r="AG13" i="12"/>
  <c r="AB13" i="12"/>
  <c r="AC13" i="12"/>
  <c r="AD13" i="12"/>
  <c r="AE13" i="12"/>
  <c r="AF13" i="12"/>
  <c r="AA13" i="12"/>
  <c r="N8" i="12"/>
  <c r="I8" i="12"/>
  <c r="J8" i="12"/>
  <c r="K8" i="12"/>
  <c r="L8" i="12"/>
  <c r="M8" i="12"/>
  <c r="H8" i="12"/>
  <c r="H13" i="12"/>
  <c r="C13" i="12"/>
  <c r="D13" i="12"/>
  <c r="E13" i="12"/>
  <c r="F13" i="12"/>
  <c r="G13" i="12"/>
  <c r="B13" i="12"/>
  <c r="P13" i="12"/>
  <c r="K13" i="12"/>
  <c r="L13" i="12"/>
  <c r="M13" i="12"/>
  <c r="N13" i="12"/>
  <c r="O13" i="12"/>
  <c r="J13" i="12"/>
  <c r="AG19" i="12"/>
  <c r="AB19" i="12"/>
  <c r="AC19" i="12"/>
  <c r="AD19" i="12"/>
  <c r="AE19" i="12"/>
  <c r="AF19" i="12"/>
  <c r="AA19" i="12"/>
  <c r="X25" i="12"/>
  <c r="S25" i="12"/>
  <c r="T25" i="12"/>
  <c r="U25" i="12"/>
  <c r="V25" i="12"/>
  <c r="W25" i="12"/>
  <c r="R25" i="12"/>
  <c r="P22" i="12"/>
  <c r="P21" i="12"/>
  <c r="P20" i="12"/>
  <c r="P19" i="12"/>
  <c r="H17" i="12"/>
  <c r="H16" i="12"/>
  <c r="H15" i="12"/>
  <c r="K22" i="12"/>
  <c r="L22" i="12"/>
  <c r="M22" i="12"/>
  <c r="N22" i="12"/>
  <c r="O22" i="12"/>
  <c r="J22" i="12"/>
  <c r="K21" i="12"/>
  <c r="L21" i="12"/>
  <c r="M21" i="12"/>
  <c r="N21" i="12"/>
  <c r="O21" i="12"/>
  <c r="J21" i="12"/>
  <c r="K20" i="12"/>
  <c r="L20" i="12"/>
  <c r="M20" i="12"/>
  <c r="N20" i="12"/>
  <c r="O20" i="12"/>
  <c r="K19" i="12"/>
  <c r="L19" i="12"/>
  <c r="M19" i="12"/>
  <c r="N19" i="12"/>
  <c r="O19" i="12"/>
  <c r="J20" i="12"/>
  <c r="J19" i="12"/>
  <c r="C17" i="12"/>
  <c r="D17" i="12"/>
  <c r="E17" i="12"/>
  <c r="F17" i="12"/>
  <c r="G17" i="12"/>
  <c r="B17" i="12"/>
  <c r="C16" i="12"/>
  <c r="D16" i="12"/>
  <c r="E16" i="12"/>
  <c r="F16" i="12"/>
  <c r="G16" i="12"/>
  <c r="B16" i="12"/>
  <c r="C15" i="12"/>
  <c r="D15" i="12"/>
  <c r="E15" i="12"/>
  <c r="F15" i="12"/>
  <c r="G15" i="12"/>
  <c r="B15" i="12"/>
  <c r="B31" i="11"/>
  <c r="B32" i="11"/>
  <c r="B33" i="11"/>
  <c r="B34" i="11"/>
  <c r="B35" i="11"/>
  <c r="C35" i="11" l="1"/>
  <c r="D35" i="11"/>
  <c r="E35" i="11"/>
  <c r="F35" i="11"/>
  <c r="G35" i="11"/>
  <c r="C33" i="11"/>
  <c r="D33" i="11"/>
  <c r="E33" i="11"/>
  <c r="F33" i="11"/>
  <c r="G33" i="11"/>
  <c r="C34" i="11"/>
  <c r="D34" i="11"/>
  <c r="E34" i="11"/>
  <c r="F34" i="11"/>
  <c r="G34" i="11"/>
  <c r="C32" i="11"/>
  <c r="D32" i="11"/>
  <c r="E32" i="11"/>
  <c r="F32" i="11"/>
  <c r="G32" i="11"/>
  <c r="C31" i="11"/>
  <c r="D31" i="11"/>
  <c r="E31" i="11"/>
  <c r="F31" i="11"/>
  <c r="G31" i="11"/>
  <c r="C25" i="11"/>
  <c r="D25" i="11"/>
  <c r="E25" i="11"/>
  <c r="F25" i="11"/>
  <c r="G25" i="11"/>
  <c r="B25" i="11"/>
  <c r="C24" i="11"/>
  <c r="D24" i="11"/>
  <c r="E24" i="11"/>
  <c r="F24" i="11"/>
  <c r="G24" i="11"/>
  <c r="B24" i="11"/>
  <c r="C23" i="11"/>
  <c r="D23" i="11"/>
  <c r="E23" i="11"/>
  <c r="F23" i="11"/>
  <c r="G23" i="11"/>
  <c r="B23" i="11"/>
  <c r="C18" i="11" l="1"/>
  <c r="D18" i="11"/>
  <c r="E18" i="11"/>
  <c r="F18" i="11"/>
  <c r="G18" i="11"/>
  <c r="B18" i="11"/>
  <c r="C17" i="11"/>
  <c r="D17" i="11"/>
  <c r="E17" i="11"/>
  <c r="F17" i="11"/>
  <c r="G17" i="11"/>
  <c r="C16" i="11"/>
  <c r="D16" i="11"/>
  <c r="E16" i="11"/>
  <c r="F16" i="11"/>
  <c r="G16" i="11"/>
  <c r="B17" i="11"/>
  <c r="B16" i="11"/>
  <c r="C11" i="11"/>
  <c r="D11" i="11"/>
  <c r="E11" i="11"/>
  <c r="F11" i="11"/>
  <c r="G11" i="11"/>
  <c r="B11" i="11"/>
  <c r="C10" i="11"/>
  <c r="D10" i="11"/>
  <c r="E10" i="11"/>
  <c r="F10" i="11"/>
  <c r="G10" i="11"/>
  <c r="B10" i="11"/>
  <c r="C9" i="11"/>
  <c r="D9" i="11"/>
  <c r="E9" i="11"/>
  <c r="F9" i="11"/>
  <c r="G9" i="11"/>
  <c r="B9" i="11"/>
  <c r="C9" i="9" l="1"/>
  <c r="D9" i="9"/>
  <c r="E9" i="9"/>
  <c r="F9" i="9"/>
  <c r="G9" i="9"/>
  <c r="G10" i="9" s="1"/>
  <c r="C10" i="9"/>
  <c r="C11" i="9" s="1"/>
  <c r="C15" i="9" s="1"/>
  <c r="D10" i="9"/>
  <c r="D11" i="9" s="1"/>
  <c r="D15" i="9" s="1"/>
  <c r="E10" i="9"/>
  <c r="E11" i="9" s="1"/>
  <c r="E15" i="9" s="1"/>
  <c r="F10" i="9"/>
  <c r="F11" i="9"/>
  <c r="F15" i="9" s="1"/>
  <c r="C12" i="9"/>
  <c r="D12" i="9"/>
  <c r="E12" i="9"/>
  <c r="F12" i="9"/>
  <c r="G12" i="9"/>
  <c r="C13" i="9"/>
  <c r="D13" i="9"/>
  <c r="E13" i="9"/>
  <c r="F13" i="9"/>
  <c r="G13" i="9"/>
  <c r="C14" i="9"/>
  <c r="D14" i="9"/>
  <c r="E14" i="9"/>
  <c r="F14" i="9"/>
  <c r="G14" i="9"/>
  <c r="B15" i="9"/>
  <c r="B13" i="9"/>
  <c r="B14" i="9"/>
  <c r="B12" i="9"/>
  <c r="H34" i="10"/>
  <c r="H29" i="10"/>
  <c r="G34" i="10"/>
  <c r="G29" i="10"/>
  <c r="F34" i="10"/>
  <c r="B11" i="9"/>
  <c r="B10" i="9"/>
  <c r="B9" i="9"/>
  <c r="G11" i="9" l="1"/>
  <c r="G15" i="9" s="1"/>
  <c r="C8" i="7"/>
  <c r="D8" i="7"/>
  <c r="E8" i="7"/>
  <c r="F8" i="7"/>
  <c r="G8" i="7"/>
  <c r="B8" i="7"/>
  <c r="C7" i="7"/>
  <c r="D7" i="7"/>
  <c r="E7" i="7"/>
  <c r="F7" i="7"/>
  <c r="G7" i="7"/>
  <c r="B7" i="7"/>
  <c r="C21" i="7"/>
  <c r="D21" i="7"/>
  <c r="E21" i="7"/>
  <c r="F21" i="7"/>
  <c r="G21" i="7"/>
  <c r="B21" i="7"/>
  <c r="C25" i="7"/>
  <c r="D25" i="7"/>
  <c r="E25" i="7"/>
  <c r="F25" i="7"/>
  <c r="G25" i="7"/>
  <c r="B25" i="7"/>
  <c r="C24" i="7"/>
  <c r="D24" i="7"/>
  <c r="E24" i="7"/>
  <c r="F24" i="7"/>
  <c r="G24" i="7"/>
  <c r="B24" i="7"/>
  <c r="C27" i="7"/>
  <c r="D27" i="7"/>
  <c r="E27" i="7"/>
  <c r="F27" i="7"/>
  <c r="G27" i="7"/>
  <c r="B27" i="7"/>
  <c r="C23" i="7"/>
  <c r="D23" i="7"/>
  <c r="E23" i="7"/>
  <c r="F23" i="7"/>
  <c r="G23" i="7"/>
  <c r="B23" i="7"/>
  <c r="C22" i="7"/>
  <c r="D22" i="7"/>
  <c r="E22" i="7"/>
  <c r="F22" i="7"/>
  <c r="G22" i="7"/>
  <c r="B22" i="7"/>
  <c r="C20" i="7"/>
  <c r="D20" i="7"/>
  <c r="E20" i="7"/>
  <c r="F20" i="7"/>
  <c r="G20" i="7"/>
  <c r="B20" i="7"/>
  <c r="C17" i="7"/>
  <c r="D17" i="7"/>
  <c r="E17" i="7"/>
  <c r="F17" i="7"/>
  <c r="G17" i="7"/>
  <c r="B17" i="7"/>
  <c r="C16" i="7"/>
  <c r="D16" i="7"/>
  <c r="E16" i="7"/>
  <c r="F16" i="7"/>
  <c r="G16" i="7"/>
  <c r="B16" i="7"/>
  <c r="C14" i="7"/>
  <c r="D14" i="7"/>
  <c r="E14" i="7"/>
  <c r="F14" i="7"/>
  <c r="G14" i="7"/>
  <c r="B14" i="7"/>
  <c r="C16" i="6"/>
  <c r="D16" i="6"/>
  <c r="E16" i="6"/>
  <c r="F16" i="6"/>
  <c r="G16" i="6"/>
  <c r="B16" i="6"/>
  <c r="C13" i="6"/>
  <c r="D13" i="6"/>
  <c r="E13" i="6"/>
  <c r="F13" i="6"/>
  <c r="G13" i="6"/>
  <c r="C15" i="6"/>
  <c r="D15" i="6"/>
  <c r="E15" i="6"/>
  <c r="F15" i="6"/>
  <c r="G15" i="6"/>
  <c r="B15" i="6"/>
  <c r="G14" i="6"/>
  <c r="F14" i="6"/>
  <c r="E14" i="6"/>
  <c r="D14" i="6"/>
  <c r="C14" i="6"/>
  <c r="B14" i="6"/>
  <c r="B13" i="6" s="1"/>
  <c r="G12" i="6"/>
  <c r="F12" i="6"/>
  <c r="E12" i="6"/>
  <c r="D12" i="6"/>
  <c r="C12" i="6"/>
  <c r="B12" i="6"/>
  <c r="G21" i="6"/>
  <c r="F21" i="6"/>
  <c r="E21" i="6"/>
  <c r="D21" i="6"/>
  <c r="C21" i="6"/>
  <c r="B21" i="6"/>
  <c r="G20" i="6"/>
  <c r="G8" i="6" s="1"/>
  <c r="G10" i="6" s="1"/>
  <c r="F20" i="6"/>
  <c r="F8" i="6" s="1"/>
  <c r="F10" i="6" s="1"/>
  <c r="E20" i="6"/>
  <c r="D20" i="6"/>
  <c r="C20" i="6"/>
  <c r="B20" i="6"/>
  <c r="B8" i="6" s="1"/>
  <c r="G7" i="6"/>
  <c r="F7" i="6"/>
  <c r="E7" i="6"/>
  <c r="D7" i="6"/>
  <c r="C7" i="6"/>
  <c r="B7" i="6"/>
  <c r="G9" i="6"/>
  <c r="F9" i="6"/>
  <c r="E9" i="6"/>
  <c r="D9" i="6"/>
  <c r="C9" i="6"/>
  <c r="B9" i="6"/>
  <c r="G11" i="7"/>
  <c r="F11" i="7"/>
  <c r="E11" i="7"/>
  <c r="D11" i="7"/>
  <c r="C11" i="7"/>
  <c r="B11" i="7"/>
  <c r="B10" i="7"/>
  <c r="G10" i="7"/>
  <c r="F10" i="7"/>
  <c r="E10" i="7"/>
  <c r="D10" i="7"/>
  <c r="C10" i="7"/>
  <c r="B10" i="6" l="1"/>
  <c r="C8" i="6"/>
  <c r="C10" i="6" s="1"/>
  <c r="D8" i="6"/>
  <c r="D10" i="6" s="1"/>
  <c r="E8" i="6"/>
  <c r="E10" i="6" s="1"/>
</calcChain>
</file>

<file path=xl/sharedStrings.xml><?xml version="1.0" encoding="utf-8"?>
<sst xmlns="http://schemas.openxmlformats.org/spreadsheetml/2006/main" count="454" uniqueCount="340">
  <si>
    <t>Intangível</t>
  </si>
  <si>
    <t>1.02.04</t>
  </si>
  <si>
    <t>Imobilizado</t>
  </si>
  <si>
    <t>1.02.03</t>
  </si>
  <si>
    <t>Investimentos</t>
  </si>
  <si>
    <t>1.02.02</t>
  </si>
  <si>
    <t>Ativo Realizável a Longo Prazo</t>
  </si>
  <si>
    <t>1.02.01</t>
  </si>
  <si>
    <t>Ativo Não Circulante</t>
  </si>
  <si>
    <t>1.02</t>
  </si>
  <si>
    <t>Outros Ativos Circulantes</t>
  </si>
  <si>
    <t>1.01.08</t>
  </si>
  <si>
    <t>Despesas Antecipadas</t>
  </si>
  <si>
    <t>1.01.07</t>
  </si>
  <si>
    <t>Tributos a Recuperar</t>
  </si>
  <si>
    <t>1.01.06</t>
  </si>
  <si>
    <t>Ativos Biológicos</t>
  </si>
  <si>
    <t>1.01.05</t>
  </si>
  <si>
    <t>Estoques</t>
  </si>
  <si>
    <t>1.01.04</t>
  </si>
  <si>
    <t>Contas a Receber</t>
  </si>
  <si>
    <t>1.01.03</t>
  </si>
  <si>
    <t>Aplicações Financeiras</t>
  </si>
  <si>
    <t>1.01.02</t>
  </si>
  <si>
    <t>Caixa e Equivalentes de Caixa</t>
  </si>
  <si>
    <t>1.01.01</t>
  </si>
  <si>
    <t>Ativo Circulante</t>
  </si>
  <si>
    <t>1.01</t>
  </si>
  <si>
    <t>Ativo Total</t>
  </si>
  <si>
    <t>31/12/2014</t>
  </si>
  <si>
    <t>31/12/2015</t>
  </si>
  <si>
    <t>31/12/2016</t>
  </si>
  <si>
    <t>31/12/2017</t>
  </si>
  <si>
    <t>31/12/2018</t>
  </si>
  <si>
    <t>30/09/2019</t>
  </si>
  <si>
    <t>Descrição</t>
  </si>
  <si>
    <t>Conta</t>
  </si>
  <si>
    <t>Participação dos Acionistas Não Controladores</t>
  </si>
  <si>
    <t>2.03.09</t>
  </si>
  <si>
    <t>Outros Resultados Abrangentes</t>
  </si>
  <si>
    <t>2.03.08</t>
  </si>
  <si>
    <t>Ajustes Acumulados de Conversão</t>
  </si>
  <si>
    <t>2.03.07</t>
  </si>
  <si>
    <t>Ajustes de Avaliação Patrimonial</t>
  </si>
  <si>
    <t>2.03.06</t>
  </si>
  <si>
    <t>Lucros/Prejuízos Acumulados</t>
  </si>
  <si>
    <t>2.03.05</t>
  </si>
  <si>
    <t>Reservas de Lucros</t>
  </si>
  <si>
    <t>2.03.04</t>
  </si>
  <si>
    <t>Reservas de Reavaliação</t>
  </si>
  <si>
    <t>2.03.03</t>
  </si>
  <si>
    <t>Reservas de Capital</t>
  </si>
  <si>
    <t>2.03.02</t>
  </si>
  <si>
    <t>Capital Social Realizado</t>
  </si>
  <si>
    <t>2.03.01</t>
  </si>
  <si>
    <t>Patrimônio Líquido Consolidado</t>
  </si>
  <si>
    <t>2.03</t>
  </si>
  <si>
    <t>Lucros e Receitas a Apropriar</t>
  </si>
  <si>
    <t>2.02.06</t>
  </si>
  <si>
    <t>Passivos sobre Ativos Não-Correntes a Venda e Descontinuados</t>
  </si>
  <si>
    <t>2.02.05</t>
  </si>
  <si>
    <t>Provisões</t>
  </si>
  <si>
    <t>2.02.04</t>
  </si>
  <si>
    <t>Tributos Diferidos</t>
  </si>
  <si>
    <t>2.02.03</t>
  </si>
  <si>
    <t>Outras Obrigações</t>
  </si>
  <si>
    <t>2.02.02</t>
  </si>
  <si>
    <t>Empréstimos e Financiamentos</t>
  </si>
  <si>
    <t>2.02.01</t>
  </si>
  <si>
    <t>Passivo Não Circulante</t>
  </si>
  <si>
    <t>2.02</t>
  </si>
  <si>
    <t>2.01.07</t>
  </si>
  <si>
    <t>2.01.06</t>
  </si>
  <si>
    <t>2.01.05</t>
  </si>
  <si>
    <t>2.01.04</t>
  </si>
  <si>
    <t>Obrigações Fiscais</t>
  </si>
  <si>
    <t>2.01.03</t>
  </si>
  <si>
    <t>Fornecedores</t>
  </si>
  <si>
    <t>2.01.02</t>
  </si>
  <si>
    <t>Obrigações Sociais e Trabalhistas</t>
  </si>
  <si>
    <t>2.01.01</t>
  </si>
  <si>
    <t>Passivo Circulante</t>
  </si>
  <si>
    <t>2.01</t>
  </si>
  <si>
    <t>Passivo Total</t>
  </si>
  <si>
    <t>Lucro Diluído por Ação</t>
  </si>
  <si>
    <t>3.99.02</t>
  </si>
  <si>
    <t>Lucro Básico por Ação</t>
  </si>
  <si>
    <t>3.99.01</t>
  </si>
  <si>
    <t>Lucro por Ação - (Reais / Ação)</t>
  </si>
  <si>
    <t>3.99</t>
  </si>
  <si>
    <t>Atribuído a Sócios Não Controladores</t>
  </si>
  <si>
    <t>3.11.02</t>
  </si>
  <si>
    <t>Atribuído a Sócios da Empresa Controladora</t>
  </si>
  <si>
    <t>3.11.01</t>
  </si>
  <si>
    <t>Lucro/Prejuízo Consolidado do Período</t>
  </si>
  <si>
    <t>3.11</t>
  </si>
  <si>
    <t>Ganhos/Perdas Líquidas sobre Ativos de Operações Descontinuadas</t>
  </si>
  <si>
    <t>3.10.02</t>
  </si>
  <si>
    <t>Lucro/Prejuízo Líquido das Operações Descontinuadas</t>
  </si>
  <si>
    <t>3.10.01</t>
  </si>
  <si>
    <t>Resultado Líquido de Operações Descontinuadas</t>
  </si>
  <si>
    <t>3.10</t>
  </si>
  <si>
    <t>Resultado Líquido das Operações Continuadas</t>
  </si>
  <si>
    <t>3.09</t>
  </si>
  <si>
    <t>Diferido</t>
  </si>
  <si>
    <t>3.08.02</t>
  </si>
  <si>
    <t>Corrente</t>
  </si>
  <si>
    <t>3.08.01</t>
  </si>
  <si>
    <t>Imposto de Renda e Contribuição Social sobre o Lucro</t>
  </si>
  <si>
    <t>3.08</t>
  </si>
  <si>
    <t>Resultado Antes dos Tributos sobre o Lucro</t>
  </si>
  <si>
    <t>3.07</t>
  </si>
  <si>
    <t>Despesas Financeiras</t>
  </si>
  <si>
    <t>3.06.02</t>
  </si>
  <si>
    <t>Receitas Financeiras</t>
  </si>
  <si>
    <t>3.06.01</t>
  </si>
  <si>
    <t>Resultado Financeiro</t>
  </si>
  <si>
    <t>3.06</t>
  </si>
  <si>
    <t>Resultado Antes do Resultado Financeiro e dos Tributos</t>
  </si>
  <si>
    <t>3.05</t>
  </si>
  <si>
    <t>Resultado de Equivalência Patrimonial</t>
  </si>
  <si>
    <t>3.04.06</t>
  </si>
  <si>
    <t>Outras Despesas Operacionais</t>
  </si>
  <si>
    <t>3.04.05</t>
  </si>
  <si>
    <t>Outras Receitas Operacionais</t>
  </si>
  <si>
    <t>3.04.04</t>
  </si>
  <si>
    <t>Perdas pela Não Recuperabilidade de Ativos</t>
  </si>
  <si>
    <t>3.04.03</t>
  </si>
  <si>
    <t>Despesas Gerais e Administrativas</t>
  </si>
  <si>
    <t>3.04.02</t>
  </si>
  <si>
    <t>Despesas com Vendas</t>
  </si>
  <si>
    <t>3.04.01</t>
  </si>
  <si>
    <t>Despesas/Receitas Operacionais</t>
  </si>
  <si>
    <t>3.04</t>
  </si>
  <si>
    <t>Resultado Bruto</t>
  </si>
  <si>
    <t>3.03</t>
  </si>
  <si>
    <t>Custo dos Bens e/ou Serviços Vendidos</t>
  </si>
  <si>
    <t>3.02</t>
  </si>
  <si>
    <t>Receita de Venda de Bens e/ou Serviços</t>
  </si>
  <si>
    <t>3.01</t>
  </si>
  <si>
    <t>Saldo Final de Caixa e Equivalentes</t>
  </si>
  <si>
    <t>6.05.02</t>
  </si>
  <si>
    <t>Saldo Inicial de Caixa e Equivalentes</t>
  </si>
  <si>
    <t>6.05.01</t>
  </si>
  <si>
    <t>Aumento (Redução) de Caixa e Equivalentes</t>
  </si>
  <si>
    <t>6.05</t>
  </si>
  <si>
    <t>Variação Cambial s/ Caixa e Equivalentes</t>
  </si>
  <si>
    <t>6.04</t>
  </si>
  <si>
    <t>Exercício do Direito de Recesso de Acionistas</t>
  </si>
  <si>
    <t>6.03.09</t>
  </si>
  <si>
    <t>Custos Diretos em Aumentos de Capital</t>
  </si>
  <si>
    <t>6.03.08</t>
  </si>
  <si>
    <t>Pagamentos de Grupamento de Ações</t>
  </si>
  <si>
    <t>6.03.07</t>
  </si>
  <si>
    <t>Ações em Tesouraria</t>
  </si>
  <si>
    <t>6.03.06</t>
  </si>
  <si>
    <t>Captações de Empréstimos, Financiamentos, Debêntures e Arrendamentos</t>
  </si>
  <si>
    <t>6.03.05</t>
  </si>
  <si>
    <t>Pagamentos de Dividendos e Juros Sobre o Capital Próprio</t>
  </si>
  <si>
    <t>6.03.04</t>
  </si>
  <si>
    <t>Pagamento dos Instrumentos Financeiros Derivativos</t>
  </si>
  <si>
    <t>6.03.03</t>
  </si>
  <si>
    <t>Recebimento dos Instrumentos Financeiros Derivativos</t>
  </si>
  <si>
    <t>6.03.02</t>
  </si>
  <si>
    <t>Pagamentos de Empréstimos, Financiamentos, Debêntures e Arrendamentos</t>
  </si>
  <si>
    <t>6.03.01</t>
  </si>
  <si>
    <t>Caixa Líquido Atividades de Financiamento</t>
  </si>
  <si>
    <t>6.03</t>
  </si>
  <si>
    <t>Outros</t>
  </si>
  <si>
    <t>6.02.10</t>
  </si>
  <si>
    <t>Aumento de Capital em Controlada</t>
  </si>
  <si>
    <t>6.02.09</t>
  </si>
  <si>
    <t>Caixa e Equivalentes de Caixa por Incorporação</t>
  </si>
  <si>
    <t>6.02.08</t>
  </si>
  <si>
    <t>Caixa Recebido na Venda de Investimentos</t>
  </si>
  <si>
    <t>6.02.07</t>
  </si>
  <si>
    <t>Aquisição de Sociedade</t>
  </si>
  <si>
    <t>6.02.06</t>
  </si>
  <si>
    <t>Caixa e Equivalentes de Caixa por Aquisição de Sociedade</t>
  </si>
  <si>
    <t>6.02.05</t>
  </si>
  <si>
    <t>Dividendos e Juros Sobre o Capital Próprio Recebidos</t>
  </si>
  <si>
    <t>6.02.04</t>
  </si>
  <si>
    <t>Resgate de Depósitos Judiciais</t>
  </si>
  <si>
    <t>6.02.03</t>
  </si>
  <si>
    <t>Caixa Recebido na Venda de Ativo Imobilizado</t>
  </si>
  <si>
    <t>6.02.02</t>
  </si>
  <si>
    <t>Aquisições de Imobilizado e Intangível</t>
  </si>
  <si>
    <t>6.02.01</t>
  </si>
  <si>
    <t>Caixa Líquido Atividades de Investimento</t>
  </si>
  <si>
    <t>6.02</t>
  </si>
  <si>
    <t>6.01.03</t>
  </si>
  <si>
    <t>Variações nos Ativos e Passivos</t>
  </si>
  <si>
    <t>6.01.02</t>
  </si>
  <si>
    <t>Caixa Gerado nas Operações</t>
  </si>
  <si>
    <t>6.01.01</t>
  </si>
  <si>
    <t>Caixa Líquido Atividades Operacionais</t>
  </si>
  <si>
    <t>6.01</t>
  </si>
  <si>
    <t>Demonstrativo: Balanço Gerencial</t>
  </si>
  <si>
    <t>EMPRESA: VIVT3 - TELEFÔNICA BRASIL S.A</t>
  </si>
  <si>
    <t>Capital Investido ou Ativos Líquidos</t>
  </si>
  <si>
    <t>Capital Investido total ou Ativos Líquidos Totais</t>
  </si>
  <si>
    <t>Capital Aplicado ou Fontes de recursos</t>
  </si>
  <si>
    <t xml:space="preserve">                   Dívidas de Longo Prazo</t>
  </si>
  <si>
    <t xml:space="preserve">                   Patrimônio dos Acionistas</t>
  </si>
  <si>
    <t>Capital Aplicado Total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</si>
  <si>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Ativos Fixos Líquidos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</si>
  <si>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Necessidades de capital de Giro (NCG)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</si>
  <si>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Caixa e equivalentes de caixa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</si>
  <si>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Dívidas de curto prazo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</si>
  <si>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Financiamento de Longo Prazo</t>
    </r>
  </si>
  <si>
    <t>Medidas de Liquidez Tradicionais</t>
  </si>
  <si>
    <t>Capital de Giro Líquido = Financiamentos de Longo Prazo - Ativos Fixos Líquidos=</t>
  </si>
  <si>
    <t>Capital de Giro Líquido = Ativo Circulante - Passivo Circulante=</t>
  </si>
  <si>
    <t>Investimento Líquido no ciclo operacional ou em necessidades de capital de giro (NCG)</t>
  </si>
  <si>
    <t xml:space="preserve">NCG= </t>
  </si>
  <si>
    <t>Financiamento do Ciclo Operacional</t>
  </si>
  <si>
    <t>FLLP = Dívidas de Longo Prazo + Patrimônio dos acionistas - Ativos Fixos Líquidos</t>
  </si>
  <si>
    <t>Liquidez = FLLP/NCG</t>
  </si>
  <si>
    <t>Gestão do Ciclo Operacional</t>
  </si>
  <si>
    <t>NCG/Receita Líquida Operacional=</t>
  </si>
  <si>
    <t>Giro de estoques = CPV/Estoques</t>
  </si>
  <si>
    <t>Prazo médio de estoques= 365/Giro = Estoques*365/CPV</t>
  </si>
  <si>
    <t>Ciclo de caixa= Prazo médio estoques + PM de recebimento-PM de pagamento</t>
  </si>
  <si>
    <t>Demonstrativo: Análise de Liquidez</t>
  </si>
  <si>
    <t>Demonstrativo: Balanço Patrimonial Ativo</t>
  </si>
  <si>
    <t>Período: 2014 - 2019</t>
  </si>
  <si>
    <t>Demonstrativo: Balanço Patrimonial Passivo</t>
  </si>
  <si>
    <t>Demonstrativo: Demonstração de Resultado</t>
  </si>
  <si>
    <t>Ativo Circulante Operacional</t>
  </si>
  <si>
    <t>Passivo Circulante Operacional</t>
  </si>
  <si>
    <t>6.03.10</t>
  </si>
  <si>
    <t>Aumento de Capital</t>
  </si>
  <si>
    <t>30/09/2014"</t>
  </si>
  <si>
    <t>30/09/2015"</t>
  </si>
  <si>
    <t>30/09/2016"</t>
  </si>
  <si>
    <t>30/09/2017"</t>
  </si>
  <si>
    <t>30/09/2018"</t>
  </si>
  <si>
    <t>30/09/2019"</t>
  </si>
  <si>
    <t>Fluxos de Caixa Livre da Empresa</t>
  </si>
  <si>
    <t xml:space="preserve">         (-) Gastos líquidos de capital (CAPEX)</t>
  </si>
  <si>
    <t xml:space="preserve">         (-) Variação das Necessidades de Capital de Giro</t>
  </si>
  <si>
    <t xml:space="preserve">         (+) Despesas de depreciação</t>
  </si>
  <si>
    <t>Lucro Antes de Juros e Depois dos Impostos (NOPAT)</t>
  </si>
  <si>
    <t xml:space="preserve">         (-) Despesas com Imposto sobre LAJI    (Tc = 34%)</t>
  </si>
  <si>
    <t>Lucro Antes de Juros e Impostos (LAJI) ou (EBIT)</t>
  </si>
  <si>
    <t>Fluxo de Caixa Livre</t>
  </si>
  <si>
    <t>6.01.01.01</t>
  </si>
  <si>
    <t>Lucro Antes dos Tributos</t>
  </si>
  <si>
    <t>6.01.01.02</t>
  </si>
  <si>
    <t>Depreciações e Amortizações</t>
  </si>
  <si>
    <t>6.01.01.03</t>
  </si>
  <si>
    <t>Variações Cambiais de Empréstimos e Instrumentos Financeiros Derivativos</t>
  </si>
  <si>
    <t>6.01.01.04</t>
  </si>
  <si>
    <t>Variações Monetárias de Ativos e Passivos</t>
  </si>
  <si>
    <t>6.01.01.05</t>
  </si>
  <si>
    <t>6.01.01.06</t>
  </si>
  <si>
    <t>Perdas (Ganhos) na Baixa / Alienação de Ativos</t>
  </si>
  <si>
    <t>6.01.01.07</t>
  </si>
  <si>
    <t>Perdas Estimadas para a Redução ao Valor Recuperável das Contas a Receber</t>
  </si>
  <si>
    <t>6.01.01.08</t>
  </si>
  <si>
    <t>Mudanças em Provisões Passivas</t>
  </si>
  <si>
    <t>6.01.01.09</t>
  </si>
  <si>
    <t>Baixas e Reversões de Perdas Estimadas para a Redução ao Valor Realizável dos Estoques</t>
  </si>
  <si>
    <t>6.01.01.10</t>
  </si>
  <si>
    <t>Planos de Previdência e Outros Benefícios Pós-Emprego</t>
  </si>
  <si>
    <t>6.01.01.11</t>
  </si>
  <si>
    <t>Provisões para Demandas Tributárias, Trabalhistas, Cíveis e Regulatórias</t>
  </si>
  <si>
    <t>6.01.01.12</t>
  </si>
  <si>
    <t>Despesas de Juros</t>
  </si>
  <si>
    <t>6.01.01.13</t>
  </si>
  <si>
    <t>6.01.02.01</t>
  </si>
  <si>
    <t>6.01.02.02</t>
  </si>
  <si>
    <t>6.01.02.03</t>
  </si>
  <si>
    <t>6.01.02.04</t>
  </si>
  <si>
    <t>6.01.02.05</t>
  </si>
  <si>
    <t>Outros Ativos</t>
  </si>
  <si>
    <t>6.01.02.06</t>
  </si>
  <si>
    <t>Pessoal, Encargos e Benefícios Sociais</t>
  </si>
  <si>
    <t>6.01.02.07</t>
  </si>
  <si>
    <t>6.01.02.08</t>
  </si>
  <si>
    <t>Impostos, Taxas e Contribuições</t>
  </si>
  <si>
    <t>6.01.02.09</t>
  </si>
  <si>
    <t>6.01.02.10</t>
  </si>
  <si>
    <t>Outros Passivos</t>
  </si>
  <si>
    <t>6.01.02.11</t>
  </si>
  <si>
    <t>Juros Pagos</t>
  </si>
  <si>
    <t>6.01.02.12</t>
  </si>
  <si>
    <t>Imposto de Renda e Contribuição Social Pagos</t>
  </si>
  <si>
    <t>Demonstrativo: Fluxo de Caixa Livre</t>
  </si>
  <si>
    <t>Demonstrativo: Demonstração de Fluxo de Caixa</t>
  </si>
  <si>
    <t>Retorno sobre o Capital Próprio</t>
  </si>
  <si>
    <t>Demonstrativo: Análise de Rentabilidade</t>
  </si>
  <si>
    <t>ROE = LDI/PA</t>
  </si>
  <si>
    <t>Retorno sobre o Capital Próprio (ROE)</t>
  </si>
  <si>
    <t>ROICbt = LAJI/Capital Investido</t>
  </si>
  <si>
    <t xml:space="preserve">         Lucro Antes dos Juros e do Imposto (LAJI ou EBIT)</t>
  </si>
  <si>
    <t xml:space="preserve">         Capital Investido</t>
  </si>
  <si>
    <r>
      <t>Fatores Determinantes de Rentabilidade Operacional (outra forma de calcular o ROICb</t>
    </r>
    <r>
      <rPr>
        <b/>
        <sz val="8"/>
        <color theme="0"/>
        <rFont val="Calibri"/>
        <family val="2"/>
        <scheme val="minor"/>
      </rPr>
      <t>t</t>
    </r>
    <r>
      <rPr>
        <b/>
        <sz val="11"/>
        <color theme="0"/>
        <rFont val="Calibri"/>
        <family val="2"/>
        <scheme val="minor"/>
      </rPr>
      <t>)</t>
    </r>
  </si>
  <si>
    <r>
      <t>Retorno sobre o Capital Investido antes do Imposto (ROICb</t>
    </r>
    <r>
      <rPr>
        <b/>
        <sz val="8"/>
        <color theme="0"/>
        <rFont val="Calibri"/>
        <family val="2"/>
        <scheme val="minor"/>
      </rPr>
      <t>t</t>
    </r>
    <r>
      <rPr>
        <b/>
        <sz val="11"/>
        <color theme="0"/>
        <rFont val="Calibri"/>
        <family val="2"/>
        <scheme val="minor"/>
      </rPr>
      <t>)</t>
    </r>
  </si>
  <si>
    <r>
      <t>Retorno sobre o Capital Investido (ROICb</t>
    </r>
    <r>
      <rPr>
        <b/>
        <sz val="8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</si>
  <si>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ROICb</t>
    </r>
    <r>
      <rPr>
        <b/>
        <sz val="8"/>
        <color theme="0"/>
        <rFont val="Calibri"/>
        <family val="2"/>
        <scheme val="minor"/>
      </rPr>
      <t xml:space="preserve">t </t>
    </r>
    <r>
      <rPr>
        <b/>
        <sz val="11"/>
        <color theme="0"/>
        <rFont val="Calibri"/>
        <family val="2"/>
        <scheme val="minor"/>
      </rPr>
      <t>= Margem de Lucro Operacional x Giro do Capital</t>
    </r>
  </si>
  <si>
    <t xml:space="preserve">         Margem de Lucro Operacional = EBIT/Receita Operacional Líquida</t>
  </si>
  <si>
    <t xml:space="preserve">         Giro de Capital = Receita Operacional Líquida / Capital Investido</t>
  </si>
  <si>
    <t>Fatores Determinantes da Rentabilidade do Capital Próprio</t>
  </si>
  <si>
    <t>Efeitos das Decisões de Financiamento</t>
  </si>
  <si>
    <t>Multiplicador Financeiro = Ind. Custo Financ. X Ind. Estrutura Fin.</t>
  </si>
  <si>
    <t xml:space="preserve">         Indice de Efeito Fiscal = EAT/EBT = 1 - aliquota efetiva de imposto</t>
  </si>
  <si>
    <t xml:space="preserve">         Indice da Estrutura Financeira = Capital Investido / PL</t>
  </si>
  <si>
    <t xml:space="preserve">         Indice de Custo Financeiro = EBT / EBIT</t>
  </si>
  <si>
    <t>ROE = ROICbt X Multiplicador Financeiro x (1 - aliquota efet. imposto)</t>
  </si>
  <si>
    <t>Outras medidas populares</t>
  </si>
  <si>
    <t xml:space="preserve">         Indice de Cobertura de Juros = EBIT / Despesas Financeiras</t>
  </si>
  <si>
    <t xml:space="preserve">         Quociente de Capital de Terceiros e Capital Próprio</t>
  </si>
  <si>
    <t xml:space="preserve">         Quociente de Capital de Terceiros e Capital Investido</t>
  </si>
  <si>
    <t xml:space="preserve">         Lucro Depois do Imposto (LDI) ou Lucro Líquido</t>
  </si>
  <si>
    <t xml:space="preserve">         Patrimônio Líquido dos Acionistas ou PL</t>
  </si>
  <si>
    <t>Índice de Liquidez Corrente = Ativos Circulantes/Passivos Circulantes</t>
  </si>
  <si>
    <t>Índice de Liquidez Seca (Acid Test) = (Ativos Circulantes - Estoques)/Passivos Circulantes</t>
  </si>
  <si>
    <t>Prazo médio de recebimento = contas a receber de clientes/vendas diárias médias</t>
  </si>
  <si>
    <t>Prazo médio de pagamento = contas a pagar a fornecedores/compras diárias médias</t>
  </si>
  <si>
    <t xml:space="preserve">Compras = CPV+ (Estoques finais-estoques iniciais) </t>
  </si>
  <si>
    <t>ROE - Retorno sobre capital próprio</t>
  </si>
  <si>
    <t>%</t>
  </si>
  <si>
    <t>ROICbt</t>
  </si>
  <si>
    <t>Multiplicador alavancagem Fin</t>
  </si>
  <si>
    <t>Efeito Fiscal</t>
  </si>
  <si>
    <t>EAT</t>
  </si>
  <si>
    <t>Margem de lucro operacional</t>
  </si>
  <si>
    <t>Giro do Capital</t>
  </si>
  <si>
    <t>Índice de Estrutura Financeira</t>
  </si>
  <si>
    <t>Índice de Custo Financeiro</t>
  </si>
  <si>
    <t>Vendas</t>
  </si>
  <si>
    <t>Custo e Despesas operacionais</t>
  </si>
  <si>
    <t>EBIT</t>
  </si>
  <si>
    <t>Capital investido</t>
  </si>
  <si>
    <t>EBT</t>
  </si>
  <si>
    <t>Caixa</t>
  </si>
  <si>
    <t>NCG</t>
  </si>
  <si>
    <t>Ativos fixos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</si>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</sst>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1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1" fillId="5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3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14" fontId="1" fillId="5" borderId="1" xfId="0" applyNumberFormat="1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0" fillId="0" borderId="0" xfId="0" applyFont="1"/>
    <xf numFmtId="0" fontId="5" fillId="8" borderId="2" xfId="0" applyFont="1" applyFill="1" applyBorder="1"/>
    <xf numFmtId="0" fontId="0" fillId="0" borderId="2" xfId="0" applyBorder="1"/>
    <xf numFmtId="14" fontId="1" fillId="5" borderId="3" xfId="0" applyNumberFormat="1" applyFont="1" applyFill="1" applyBorder="1" applyAlignment="1">
      <alignment horizontal="center" vertical="center"/>
    </xf>
    <xf numFmtId="0" fontId="0" fillId="5" borderId="0" xfId="0" applyFill="1"/>
    <xf numFmtId="14" fontId="1" fillId="5" borderId="4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0" borderId="5" xfId="0" applyBorder="1"/>
    <xf numFmtId="43" fontId="0" fillId="0" borderId="2" xfId="1" applyNumberFormat="1" applyFont="1" applyBorder="1"/>
    <xf numFmtId="43" fontId="5" fillId="8" borderId="2" xfId="1" applyNumberFormat="1" applyFont="1" applyFill="1" applyBorder="1"/>
    <xf numFmtId="0" fontId="4" fillId="5" borderId="0" xfId="0" applyFont="1" applyFill="1" applyBorder="1" applyAlignment="1">
      <alignment horizontal="left" vertical="center"/>
    </xf>
    <xf numFmtId="0" fontId="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5" fillId="0" borderId="12" xfId="0" applyFont="1" applyBorder="1"/>
    <xf numFmtId="0" fontId="0" fillId="0" borderId="14" xfId="0" applyBorder="1"/>
    <xf numFmtId="0" fontId="1" fillId="5" borderId="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5" fillId="0" borderId="11" xfId="0" applyFont="1" applyBorder="1"/>
    <xf numFmtId="3" fontId="0" fillId="0" borderId="8" xfId="0" applyNumberFormat="1" applyBorder="1"/>
    <xf numFmtId="10" fontId="0" fillId="0" borderId="8" xfId="2" applyNumberFormat="1" applyFont="1" applyBorder="1"/>
    <xf numFmtId="0" fontId="5" fillId="0" borderId="9" xfId="0" applyFont="1" applyBorder="1"/>
    <xf numFmtId="3" fontId="9" fillId="7" borderId="8" xfId="0" applyNumberFormat="1" applyFont="1" applyFill="1" applyBorder="1"/>
    <xf numFmtId="10" fontId="0" fillId="7" borderId="8" xfId="2" applyNumberFormat="1" applyFont="1" applyFill="1" applyBorder="1"/>
    <xf numFmtId="165" fontId="0" fillId="0" borderId="8" xfId="0" applyNumberFormat="1" applyBorder="1"/>
    <xf numFmtId="0" fontId="4" fillId="5" borderId="8" xfId="0" applyFont="1" applyFill="1" applyBorder="1"/>
    <xf numFmtId="0" fontId="1" fillId="5" borderId="8" xfId="0" applyFont="1" applyFill="1" applyBorder="1" applyAlignment="1">
      <alignment horizontal="center" vertical="center"/>
    </xf>
    <xf numFmtId="2" fontId="0" fillId="0" borderId="8" xfId="0" applyNumberFormat="1" applyBorder="1"/>
    <xf numFmtId="0" fontId="2" fillId="0" borderId="8" xfId="0" applyFont="1" applyBorder="1"/>
    <xf numFmtId="3" fontId="0" fillId="7" borderId="8" xfId="0" applyNumberFormat="1" applyFill="1" applyBorder="1"/>
    <xf numFmtId="10" fontId="0" fillId="7" borderId="8" xfId="0" applyNumberFormat="1" applyFill="1" applyBorder="1"/>
    <xf numFmtId="10" fontId="0" fillId="0" borderId="8" xfId="0" applyNumberFormat="1" applyBorder="1"/>
    <xf numFmtId="164" fontId="0" fillId="0" borderId="8" xfId="0" applyNumberFormat="1" applyBorder="1"/>
    <xf numFmtId="0" fontId="0" fillId="0" borderId="15" xfId="0" applyBorder="1"/>
    <xf numFmtId="2" fontId="0" fillId="0" borderId="16" xfId="0" applyNumberFormat="1" applyBorder="1"/>
    <xf numFmtId="0" fontId="0" fillId="0" borderId="16" xfId="0" applyNumberFormat="1" applyBorder="1"/>
    <xf numFmtId="0" fontId="5" fillId="6" borderId="8" xfId="0" applyFont="1" applyFill="1" applyBorder="1"/>
    <xf numFmtId="46" fontId="0" fillId="0" borderId="17" xfId="0" applyNumberFormat="1" applyBorder="1"/>
    <xf numFmtId="0" fontId="0" fillId="0" borderId="9" xfId="0" applyNumberFormat="1" applyBorder="1"/>
    <xf numFmtId="165" fontId="0" fillId="0" borderId="1" xfId="1" applyNumberFormat="1" applyFont="1" applyBorder="1"/>
    <xf numFmtId="2" fontId="0" fillId="0" borderId="14" xfId="0" applyNumberFormat="1" applyBorder="1"/>
    <xf numFmtId="166" fontId="0" fillId="0" borderId="8" xfId="0" applyNumberFormat="1" applyBorder="1"/>
    <xf numFmtId="10" fontId="5" fillId="0" borderId="8" xfId="2" applyNumberFormat="1" applyFont="1" applyBorder="1"/>
    <xf numFmtId="2" fontId="5" fillId="0" borderId="8" xfId="0" applyNumberFormat="1" applyFont="1" applyBorder="1"/>
    <xf numFmtId="3" fontId="5" fillId="6" borderId="8" xfId="0" applyNumberFormat="1" applyFont="1" applyFill="1" applyBorder="1"/>
    <xf numFmtId="10" fontId="5" fillId="0" borderId="13" xfId="2" applyNumberFormat="1" applyFont="1" applyBorder="1"/>
    <xf numFmtId="10" fontId="5" fillId="7" borderId="8" xfId="2" applyNumberFormat="1" applyFont="1" applyFill="1" applyBorder="1"/>
    <xf numFmtId="3" fontId="5" fillId="7" borderId="8" xfId="0" applyNumberFormat="1" applyFont="1" applyFill="1" applyBorder="1"/>
    <xf numFmtId="43" fontId="5" fillId="7" borderId="2" xfId="1" applyNumberFormat="1" applyFont="1" applyFill="1" applyBorder="1"/>
    <xf numFmtId="43" fontId="0" fillId="7" borderId="2" xfId="1" applyNumberFormat="1" applyFont="1" applyFill="1" applyBorder="1"/>
    <xf numFmtId="165" fontId="0" fillId="7" borderId="8" xfId="0" applyNumberFormat="1" applyFill="1" applyBorder="1"/>
    <xf numFmtId="166" fontId="0" fillId="7" borderId="8" xfId="0" applyNumberFormat="1" applyFill="1" applyBorder="1"/>
    <xf numFmtId="2" fontId="5" fillId="7" borderId="8" xfId="0" applyNumberFormat="1" applyFont="1" applyFill="1" applyBorder="1"/>
    <xf numFmtId="0" fontId="4" fillId="9" borderId="0" xfId="0" applyFont="1" applyFill="1" applyBorder="1" applyAlignment="1">
      <alignment horizontal="center" vertical="center"/>
    </xf>
    <xf numFmtId="9" fontId="6" fillId="0" borderId="0" xfId="2" applyFont="1" applyBorder="1"/>
    <xf numFmtId="0" fontId="5" fillId="0" borderId="0" xfId="0" applyFont="1"/>
    <xf numFmtId="9" fontId="0" fillId="0" borderId="0" xfId="2" applyFont="1"/>
    <xf numFmtId="0" fontId="5" fillId="5" borderId="1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0" fillId="0" borderId="3" xfId="0" applyBorder="1"/>
    <xf numFmtId="0" fontId="0" fillId="0" borderId="21" xfId="0" applyBorder="1"/>
    <xf numFmtId="0" fontId="5" fillId="5" borderId="22" xfId="0" applyFont="1" applyFill="1" applyBorder="1" applyAlignment="1">
      <alignment horizontal="center"/>
    </xf>
    <xf numFmtId="3" fontId="0" fillId="10" borderId="2" xfId="0" applyNumberFormat="1" applyFill="1" applyBorder="1"/>
    <xf numFmtId="9" fontId="0" fillId="10" borderId="2" xfId="2" applyFont="1" applyFill="1" applyBorder="1"/>
    <xf numFmtId="3" fontId="5" fillId="10" borderId="2" xfId="0" applyNumberFormat="1" applyFont="1" applyFill="1" applyBorder="1" applyAlignment="1">
      <alignment wrapText="1"/>
    </xf>
    <xf numFmtId="9" fontId="5" fillId="10" borderId="2" xfId="2" applyFont="1" applyFill="1" applyBorder="1"/>
    <xf numFmtId="9" fontId="6" fillId="10" borderId="2" xfId="2" applyFont="1" applyFill="1" applyBorder="1"/>
    <xf numFmtId="0" fontId="5" fillId="5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10" fontId="5" fillId="0" borderId="14" xfId="0" applyNumberFormat="1" applyFont="1" applyBorder="1"/>
    <xf numFmtId="167" fontId="9" fillId="10" borderId="20" xfId="2" applyNumberFormat="1" applyFont="1" applyFill="1" applyBorder="1"/>
    <xf numFmtId="9" fontId="9" fillId="10" borderId="20" xfId="2" applyFont="1" applyFill="1" applyBorder="1"/>
    <xf numFmtId="43" fontId="9" fillId="10" borderId="20" xfId="1" applyFont="1" applyFill="1" applyBorder="1"/>
    <xf numFmtId="9" fontId="9" fillId="10" borderId="2" xfId="2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9797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9</xdr:row>
      <xdr:rowOff>0</xdr:rowOff>
    </xdr:from>
    <xdr:to>
      <xdr:col>2</xdr:col>
      <xdr:colOff>295275</xdr:colOff>
      <xdr:row>10</xdr:row>
      <xdr:rowOff>0</xdr:rowOff>
    </xdr:to>
    <xdr:cxnSp macro="">
      <xdr:nvCxnSpPr>
        <xdr:cNvPr id="2" name="Conector de seta reta 1"/>
        <xdr:cNvCxnSpPr/>
      </xdr:nvCxnSpPr>
      <xdr:spPr>
        <a:xfrm flipV="1">
          <a:off x="2870835" y="1645920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8</xdr:row>
      <xdr:rowOff>180975</xdr:rowOff>
    </xdr:from>
    <xdr:to>
      <xdr:col>13</xdr:col>
      <xdr:colOff>257175</xdr:colOff>
      <xdr:row>10</xdr:row>
      <xdr:rowOff>0</xdr:rowOff>
    </xdr:to>
    <xdr:cxnSp macro="">
      <xdr:nvCxnSpPr>
        <xdr:cNvPr id="3" name="Conector de seta reta 2"/>
        <xdr:cNvCxnSpPr/>
      </xdr:nvCxnSpPr>
      <xdr:spPr>
        <a:xfrm flipV="1">
          <a:off x="10993755" y="1644015"/>
          <a:ext cx="0" cy="18478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9</xdr:row>
      <xdr:rowOff>0</xdr:rowOff>
    </xdr:from>
    <xdr:to>
      <xdr:col>19</xdr:col>
      <xdr:colOff>304800</xdr:colOff>
      <xdr:row>10</xdr:row>
      <xdr:rowOff>0</xdr:rowOff>
    </xdr:to>
    <xdr:cxnSp macro="">
      <xdr:nvCxnSpPr>
        <xdr:cNvPr id="4" name="Conector de seta reta 3"/>
        <xdr:cNvCxnSpPr/>
      </xdr:nvCxnSpPr>
      <xdr:spPr>
        <a:xfrm flipV="1">
          <a:off x="15445740" y="1645920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352425</xdr:colOff>
      <xdr:row>9</xdr:row>
      <xdr:rowOff>0</xdr:rowOff>
    </xdr:from>
    <xdr:to>
      <xdr:col>27</xdr:col>
      <xdr:colOff>352425</xdr:colOff>
      <xdr:row>10</xdr:row>
      <xdr:rowOff>0</xdr:rowOff>
    </xdr:to>
    <xdr:cxnSp macro="">
      <xdr:nvCxnSpPr>
        <xdr:cNvPr id="5" name="Conector de seta reta 4"/>
        <xdr:cNvCxnSpPr/>
      </xdr:nvCxnSpPr>
      <xdr:spPr>
        <a:xfrm flipV="1">
          <a:off x="21162645" y="1645920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4</xdr:row>
      <xdr:rowOff>9525</xdr:rowOff>
    </xdr:from>
    <xdr:to>
      <xdr:col>8</xdr:col>
      <xdr:colOff>323850</xdr:colOff>
      <xdr:row>5</xdr:row>
      <xdr:rowOff>9525</xdr:rowOff>
    </xdr:to>
    <xdr:cxnSp macro="">
      <xdr:nvCxnSpPr>
        <xdr:cNvPr id="6" name="Conector de seta reta 5"/>
        <xdr:cNvCxnSpPr/>
      </xdr:nvCxnSpPr>
      <xdr:spPr>
        <a:xfrm flipV="1">
          <a:off x="7212330" y="741045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419100</xdr:colOff>
      <xdr:row>4</xdr:row>
      <xdr:rowOff>9525</xdr:rowOff>
    </xdr:from>
    <xdr:to>
      <xdr:col>25</xdr:col>
      <xdr:colOff>419100</xdr:colOff>
      <xdr:row>5</xdr:row>
      <xdr:rowOff>9525</xdr:rowOff>
    </xdr:to>
    <xdr:cxnSp macro="">
      <xdr:nvCxnSpPr>
        <xdr:cNvPr id="7" name="Conector de seta reta 6"/>
        <xdr:cNvCxnSpPr/>
      </xdr:nvCxnSpPr>
      <xdr:spPr>
        <a:xfrm flipV="1">
          <a:off x="19812000" y="741045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342900</xdr:colOff>
      <xdr:row>4</xdr:row>
      <xdr:rowOff>19050</xdr:rowOff>
    </xdr:from>
    <xdr:to>
      <xdr:col>34</xdr:col>
      <xdr:colOff>342900</xdr:colOff>
      <xdr:row>5</xdr:row>
      <xdr:rowOff>19050</xdr:rowOff>
    </xdr:to>
    <xdr:cxnSp macro="">
      <xdr:nvCxnSpPr>
        <xdr:cNvPr id="8" name="Conector de seta reta 7"/>
        <xdr:cNvCxnSpPr/>
      </xdr:nvCxnSpPr>
      <xdr:spPr>
        <a:xfrm flipV="1">
          <a:off x="26113740" y="750570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13</xdr:row>
      <xdr:rowOff>0</xdr:rowOff>
    </xdr:from>
    <xdr:to>
      <xdr:col>2</xdr:col>
      <xdr:colOff>285750</xdr:colOff>
      <xdr:row>14</xdr:row>
      <xdr:rowOff>0</xdr:rowOff>
    </xdr:to>
    <xdr:cxnSp macro="">
      <xdr:nvCxnSpPr>
        <xdr:cNvPr id="9" name="Conector de seta reta 8"/>
        <xdr:cNvCxnSpPr/>
      </xdr:nvCxnSpPr>
      <xdr:spPr>
        <a:xfrm flipV="1">
          <a:off x="2861310" y="2377440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13</xdr:row>
      <xdr:rowOff>9525</xdr:rowOff>
    </xdr:from>
    <xdr:to>
      <xdr:col>13</xdr:col>
      <xdr:colOff>171450</xdr:colOff>
      <xdr:row>14</xdr:row>
      <xdr:rowOff>114300</xdr:rowOff>
    </xdr:to>
    <xdr:cxnSp macro="">
      <xdr:nvCxnSpPr>
        <xdr:cNvPr id="10" name="Conector de seta reta 9"/>
        <xdr:cNvCxnSpPr/>
      </xdr:nvCxnSpPr>
      <xdr:spPr>
        <a:xfrm flipV="1">
          <a:off x="10908030" y="2386965"/>
          <a:ext cx="0" cy="28765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8</xdr:row>
      <xdr:rowOff>180975</xdr:rowOff>
    </xdr:from>
    <xdr:to>
      <xdr:col>13</xdr:col>
      <xdr:colOff>247650</xdr:colOff>
      <xdr:row>8</xdr:row>
      <xdr:rowOff>180975</xdr:rowOff>
    </xdr:to>
    <xdr:cxnSp macro="">
      <xdr:nvCxnSpPr>
        <xdr:cNvPr id="11" name="Conector reto 10"/>
        <xdr:cNvCxnSpPr/>
      </xdr:nvCxnSpPr>
      <xdr:spPr>
        <a:xfrm>
          <a:off x="2861310" y="1644015"/>
          <a:ext cx="812292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9</xdr:row>
      <xdr:rowOff>0</xdr:rowOff>
    </xdr:from>
    <xdr:to>
      <xdr:col>27</xdr:col>
      <xdr:colOff>381000</xdr:colOff>
      <xdr:row>9</xdr:row>
      <xdr:rowOff>0</xdr:rowOff>
    </xdr:to>
    <xdr:cxnSp macro="">
      <xdr:nvCxnSpPr>
        <xdr:cNvPr id="12" name="Conector reto 11"/>
        <xdr:cNvCxnSpPr/>
      </xdr:nvCxnSpPr>
      <xdr:spPr>
        <a:xfrm>
          <a:off x="15455265" y="1645920"/>
          <a:ext cx="573595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4</xdr:row>
      <xdr:rowOff>19050</xdr:rowOff>
    </xdr:from>
    <xdr:to>
      <xdr:col>34</xdr:col>
      <xdr:colOff>342900</xdr:colOff>
      <xdr:row>4</xdr:row>
      <xdr:rowOff>19050</xdr:rowOff>
    </xdr:to>
    <xdr:cxnSp macro="">
      <xdr:nvCxnSpPr>
        <xdr:cNvPr id="13" name="Conector reto 12"/>
        <xdr:cNvCxnSpPr/>
      </xdr:nvCxnSpPr>
      <xdr:spPr>
        <a:xfrm>
          <a:off x="7231380" y="750570"/>
          <a:ext cx="1888236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3</xdr:row>
      <xdr:rowOff>9525</xdr:rowOff>
    </xdr:from>
    <xdr:to>
      <xdr:col>25</xdr:col>
      <xdr:colOff>409575</xdr:colOff>
      <xdr:row>4</xdr:row>
      <xdr:rowOff>9525</xdr:rowOff>
    </xdr:to>
    <xdr:cxnSp macro="">
      <xdr:nvCxnSpPr>
        <xdr:cNvPr id="14" name="Conector de seta reta 13"/>
        <xdr:cNvCxnSpPr/>
      </xdr:nvCxnSpPr>
      <xdr:spPr>
        <a:xfrm flipV="1">
          <a:off x="19802475" y="558165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8</xdr:row>
      <xdr:rowOff>9525</xdr:rowOff>
    </xdr:from>
    <xdr:to>
      <xdr:col>8</xdr:col>
      <xdr:colOff>285750</xdr:colOff>
      <xdr:row>9</xdr:row>
      <xdr:rowOff>9525</xdr:rowOff>
    </xdr:to>
    <xdr:cxnSp macro="">
      <xdr:nvCxnSpPr>
        <xdr:cNvPr id="15" name="Conector de seta reta 14"/>
        <xdr:cNvCxnSpPr/>
      </xdr:nvCxnSpPr>
      <xdr:spPr>
        <a:xfrm flipV="1">
          <a:off x="7174230" y="1472565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647700</xdr:colOff>
      <xdr:row>7</xdr:row>
      <xdr:rowOff>171450</xdr:rowOff>
    </xdr:from>
    <xdr:to>
      <xdr:col>25</xdr:col>
      <xdr:colOff>647700</xdr:colOff>
      <xdr:row>8</xdr:row>
      <xdr:rowOff>171450</xdr:rowOff>
    </xdr:to>
    <xdr:cxnSp macro="">
      <xdr:nvCxnSpPr>
        <xdr:cNvPr id="16" name="Conector de seta reta 15"/>
        <xdr:cNvCxnSpPr/>
      </xdr:nvCxnSpPr>
      <xdr:spPr>
        <a:xfrm flipV="1">
          <a:off x="20040600" y="1451610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14</xdr:row>
      <xdr:rowOff>114300</xdr:rowOff>
    </xdr:from>
    <xdr:to>
      <xdr:col>13</xdr:col>
      <xdr:colOff>200025</xdr:colOff>
      <xdr:row>14</xdr:row>
      <xdr:rowOff>133350</xdr:rowOff>
    </xdr:to>
    <xdr:cxnSp macro="">
      <xdr:nvCxnSpPr>
        <xdr:cNvPr id="17" name="Conector de seta reta 16"/>
        <xdr:cNvCxnSpPr/>
      </xdr:nvCxnSpPr>
      <xdr:spPr>
        <a:xfrm flipV="1">
          <a:off x="6898005" y="2674620"/>
          <a:ext cx="4038600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12</xdr:row>
      <xdr:rowOff>180975</xdr:rowOff>
    </xdr:from>
    <xdr:to>
      <xdr:col>13</xdr:col>
      <xdr:colOff>342900</xdr:colOff>
      <xdr:row>18</xdr:row>
      <xdr:rowOff>9525</xdr:rowOff>
    </xdr:to>
    <xdr:cxnSp macro="">
      <xdr:nvCxnSpPr>
        <xdr:cNvPr id="18" name="Conector de seta reta 17"/>
        <xdr:cNvCxnSpPr/>
      </xdr:nvCxnSpPr>
      <xdr:spPr>
        <a:xfrm flipH="1" flipV="1">
          <a:off x="11069955" y="2375535"/>
          <a:ext cx="9525" cy="92583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200025</xdr:colOff>
      <xdr:row>13</xdr:row>
      <xdr:rowOff>19050</xdr:rowOff>
    </xdr:from>
    <xdr:to>
      <xdr:col>19</xdr:col>
      <xdr:colOff>209550</xdr:colOff>
      <xdr:row>18</xdr:row>
      <xdr:rowOff>209551</xdr:rowOff>
    </xdr:to>
    <xdr:cxnSp macro="">
      <xdr:nvCxnSpPr>
        <xdr:cNvPr id="19" name="Conector de seta reta 18"/>
        <xdr:cNvCxnSpPr/>
      </xdr:nvCxnSpPr>
      <xdr:spPr>
        <a:xfrm flipH="1" flipV="1">
          <a:off x="15340965" y="2396490"/>
          <a:ext cx="9525" cy="110490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18</xdr:row>
      <xdr:rowOff>209550</xdr:rowOff>
    </xdr:from>
    <xdr:to>
      <xdr:col>19</xdr:col>
      <xdr:colOff>238125</xdr:colOff>
      <xdr:row>18</xdr:row>
      <xdr:rowOff>209550</xdr:rowOff>
    </xdr:to>
    <xdr:cxnSp macro="">
      <xdr:nvCxnSpPr>
        <xdr:cNvPr id="20" name="Conector de seta reta 19"/>
        <xdr:cNvCxnSpPr/>
      </xdr:nvCxnSpPr>
      <xdr:spPr>
        <a:xfrm>
          <a:off x="13062585" y="3501390"/>
          <a:ext cx="2316480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13</xdr:row>
      <xdr:rowOff>47626</xdr:rowOff>
    </xdr:from>
    <xdr:to>
      <xdr:col>19</xdr:col>
      <xdr:colOff>409575</xdr:colOff>
      <xdr:row>24</xdr:row>
      <xdr:rowOff>19050</xdr:rowOff>
    </xdr:to>
    <xdr:cxnSp macro="">
      <xdr:nvCxnSpPr>
        <xdr:cNvPr id="21" name="Conector de seta reta 20"/>
        <xdr:cNvCxnSpPr/>
      </xdr:nvCxnSpPr>
      <xdr:spPr>
        <a:xfrm flipV="1">
          <a:off x="15540990" y="2425066"/>
          <a:ext cx="9525" cy="2318384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304800</xdr:colOff>
      <xdr:row>8</xdr:row>
      <xdr:rowOff>9525</xdr:rowOff>
    </xdr:from>
    <xdr:to>
      <xdr:col>38</xdr:col>
      <xdr:colOff>304800</xdr:colOff>
      <xdr:row>9</xdr:row>
      <xdr:rowOff>9525</xdr:rowOff>
    </xdr:to>
    <xdr:cxnSp macro="">
      <xdr:nvCxnSpPr>
        <xdr:cNvPr id="22" name="Conector de seta reta 21"/>
        <xdr:cNvCxnSpPr/>
      </xdr:nvCxnSpPr>
      <xdr:spPr>
        <a:xfrm flipV="1">
          <a:off x="28910280" y="1472565"/>
          <a:ext cx="0" cy="18288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714375</xdr:colOff>
      <xdr:row>9</xdr:row>
      <xdr:rowOff>209550</xdr:rowOff>
    </xdr:from>
    <xdr:to>
      <xdr:col>0</xdr:col>
      <xdr:colOff>1466850</xdr:colOff>
      <xdr:row>10</xdr:row>
      <xdr:rowOff>133350</xdr:rowOff>
    </xdr:to>
    <xdr:sp macro="" textlink="">
      <xdr:nvSpPr>
        <xdr:cNvPr id="23" name="Texto explicativo retangular com cantos arredondados 22"/>
        <xdr:cNvSpPr/>
      </xdr:nvSpPr>
      <xdr:spPr>
        <a:xfrm>
          <a:off x="714375" y="1824990"/>
          <a:ext cx="752475" cy="137160"/>
        </a:xfrm>
        <a:prstGeom prst="wedgeRoundRectCallout">
          <a:avLst>
            <a:gd name="adj1" fmla="val 85496"/>
            <a:gd name="adj2" fmla="val 32292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EBIT/Vendas</a:t>
          </a:r>
        </a:p>
      </xdr:txBody>
    </xdr:sp>
    <xdr:clientData/>
  </xdr:twoCellAnchor>
  <xdr:twoCellAnchor>
    <xdr:from>
      <xdr:col>13</xdr:col>
      <xdr:colOff>533400</xdr:colOff>
      <xdr:row>14</xdr:row>
      <xdr:rowOff>9525</xdr:rowOff>
    </xdr:from>
    <xdr:to>
      <xdr:col>15</xdr:col>
      <xdr:colOff>0</xdr:colOff>
      <xdr:row>16</xdr:row>
      <xdr:rowOff>9525</xdr:rowOff>
    </xdr:to>
    <xdr:sp macro="" textlink="">
      <xdr:nvSpPr>
        <xdr:cNvPr id="24" name="Texto explicativo retangular com cantos arredondados 23"/>
        <xdr:cNvSpPr/>
      </xdr:nvSpPr>
      <xdr:spPr>
        <a:xfrm>
          <a:off x="11269980" y="2569845"/>
          <a:ext cx="1036320" cy="365760"/>
        </a:xfrm>
        <a:prstGeom prst="wedgeRoundRectCallout">
          <a:avLst>
            <a:gd name="adj1" fmla="val -43618"/>
            <a:gd name="adj2" fmla="val -970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Vendas/ Cap Investido</a:t>
          </a:r>
        </a:p>
      </xdr:txBody>
    </xdr:sp>
    <xdr:clientData/>
  </xdr:twoCellAnchor>
  <xdr:twoCellAnchor>
    <xdr:from>
      <xdr:col>16</xdr:col>
      <xdr:colOff>381000</xdr:colOff>
      <xdr:row>14</xdr:row>
      <xdr:rowOff>28574</xdr:rowOff>
    </xdr:from>
    <xdr:to>
      <xdr:col>19</xdr:col>
      <xdr:colOff>47625</xdr:colOff>
      <xdr:row>16</xdr:row>
      <xdr:rowOff>110835</xdr:rowOff>
    </xdr:to>
    <xdr:sp macro="" textlink="">
      <xdr:nvSpPr>
        <xdr:cNvPr id="25" name="Texto explicativo retangular com cantos arredondados 24"/>
        <xdr:cNvSpPr/>
      </xdr:nvSpPr>
      <xdr:spPr>
        <a:xfrm>
          <a:off x="13395960" y="2588894"/>
          <a:ext cx="1792605" cy="448021"/>
        </a:xfrm>
        <a:prstGeom prst="wedgeRoundRectCallout">
          <a:avLst>
            <a:gd name="adj1" fmla="val 60179"/>
            <a:gd name="adj2" fmla="val -9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Cap </a:t>
          </a:r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Investido/Patrim acionistas</a:t>
          </a:r>
        </a:p>
      </xdr:txBody>
    </xdr:sp>
    <xdr:clientData/>
  </xdr:twoCellAnchor>
  <xdr:twoCellAnchor>
    <xdr:from>
      <xdr:col>25</xdr:col>
      <xdr:colOff>200025</xdr:colOff>
      <xdr:row>11</xdr:row>
      <xdr:rowOff>142875</xdr:rowOff>
    </xdr:from>
    <xdr:to>
      <xdr:col>25</xdr:col>
      <xdr:colOff>952500</xdr:colOff>
      <xdr:row>13</xdr:row>
      <xdr:rowOff>142875</xdr:rowOff>
    </xdr:to>
    <xdr:sp macro="" textlink="">
      <xdr:nvSpPr>
        <xdr:cNvPr id="26" name="Texto explicativo retangular com cantos arredondados 25"/>
        <xdr:cNvSpPr/>
      </xdr:nvSpPr>
      <xdr:spPr>
        <a:xfrm>
          <a:off x="19592925" y="2154555"/>
          <a:ext cx="508635" cy="365760"/>
        </a:xfrm>
        <a:prstGeom prst="wedgeRoundRectCallout">
          <a:avLst>
            <a:gd name="adj1" fmla="val 58914"/>
            <a:gd name="adj2" fmla="val -920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EBT/ EBIT</a:t>
          </a:r>
        </a:p>
      </xdr:txBody>
    </xdr:sp>
    <xdr:clientData/>
  </xdr:twoCellAnchor>
  <xdr:twoCellAnchor>
    <xdr:from>
      <xdr:col>31</xdr:col>
      <xdr:colOff>390525</xdr:colOff>
      <xdr:row>6</xdr:row>
      <xdr:rowOff>85725</xdr:rowOff>
    </xdr:from>
    <xdr:to>
      <xdr:col>32</xdr:col>
      <xdr:colOff>533400</xdr:colOff>
      <xdr:row>8</xdr:row>
      <xdr:rowOff>85725</xdr:rowOff>
    </xdr:to>
    <xdr:sp macro="" textlink="">
      <xdr:nvSpPr>
        <xdr:cNvPr id="27" name="Texto explicativo retangular com cantos arredondados 26"/>
        <xdr:cNvSpPr/>
      </xdr:nvSpPr>
      <xdr:spPr>
        <a:xfrm>
          <a:off x="24035385" y="1183005"/>
          <a:ext cx="851535" cy="365760"/>
        </a:xfrm>
        <a:prstGeom prst="wedgeRoundRectCallout">
          <a:avLst>
            <a:gd name="adj1" fmla="val 58914"/>
            <a:gd name="adj2" fmla="val -920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EAT/ EBT</a:t>
          </a:r>
        </a:p>
      </xdr:txBody>
    </xdr:sp>
    <xdr:clientData/>
  </xdr:twoCellAnchor>
  <xdr:twoCellAnchor>
    <xdr:from>
      <xdr:col>27</xdr:col>
      <xdr:colOff>323850</xdr:colOff>
      <xdr:row>12</xdr:row>
      <xdr:rowOff>180976</xdr:rowOff>
    </xdr:from>
    <xdr:to>
      <xdr:col>27</xdr:col>
      <xdr:colOff>323850</xdr:colOff>
      <xdr:row>18</xdr:row>
      <xdr:rowOff>9525</xdr:rowOff>
    </xdr:to>
    <xdr:cxnSp macro="">
      <xdr:nvCxnSpPr>
        <xdr:cNvPr id="28" name="Conector de seta reta 27"/>
        <xdr:cNvCxnSpPr/>
      </xdr:nvCxnSpPr>
      <xdr:spPr>
        <a:xfrm flipV="1">
          <a:off x="21134070" y="2375536"/>
          <a:ext cx="0" cy="92582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6</xdr:row>
      <xdr:rowOff>104775</xdr:rowOff>
    </xdr:from>
    <xdr:to>
      <xdr:col>19</xdr:col>
      <xdr:colOff>371474</xdr:colOff>
      <xdr:row>8</xdr:row>
      <xdr:rowOff>104775</xdr:rowOff>
    </xdr:to>
    <xdr:sp macro="" textlink="">
      <xdr:nvSpPr>
        <xdr:cNvPr id="29" name="Texto explicativo retangular com cantos arredondados 28"/>
        <xdr:cNvSpPr/>
      </xdr:nvSpPr>
      <xdr:spPr>
        <a:xfrm>
          <a:off x="14660880" y="1202055"/>
          <a:ext cx="851534" cy="365760"/>
        </a:xfrm>
        <a:prstGeom prst="wedgeRoundRectCallout">
          <a:avLst>
            <a:gd name="adj1" fmla="val 70435"/>
            <a:gd name="adj2" fmla="val -8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Ind Estrut financ x Índ Custo Financ</a:t>
          </a:r>
        </a:p>
      </xdr:txBody>
    </xdr:sp>
    <xdr:clientData/>
  </xdr:twoCellAnchor>
  <xdr:twoCellAnchor>
    <xdr:from>
      <xdr:col>4</xdr:col>
      <xdr:colOff>609600</xdr:colOff>
      <xdr:row>6</xdr:row>
      <xdr:rowOff>19050</xdr:rowOff>
    </xdr:from>
    <xdr:to>
      <xdr:col>6</xdr:col>
      <xdr:colOff>371474</xdr:colOff>
      <xdr:row>8</xdr:row>
      <xdr:rowOff>19050</xdr:rowOff>
    </xdr:to>
    <xdr:sp macro="" textlink="">
      <xdr:nvSpPr>
        <xdr:cNvPr id="30" name="Texto explicativo retangular com cantos arredondados 29"/>
        <xdr:cNvSpPr/>
      </xdr:nvSpPr>
      <xdr:spPr>
        <a:xfrm>
          <a:off x="4625340" y="1116330"/>
          <a:ext cx="1217294" cy="365760"/>
        </a:xfrm>
        <a:prstGeom prst="wedgeRoundRectCallout">
          <a:avLst>
            <a:gd name="adj1" fmla="val 72999"/>
            <a:gd name="adj2" fmla="val -8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Margem lucro operac x Giro de capital</a:t>
          </a:r>
        </a:p>
      </xdr:txBody>
    </xdr:sp>
    <xdr:clientData/>
  </xdr:twoCellAnchor>
  <xdr:twoCellAnchor>
    <xdr:from>
      <xdr:col>14</xdr:col>
      <xdr:colOff>228600</xdr:colOff>
      <xdr:row>1</xdr:row>
      <xdr:rowOff>19050</xdr:rowOff>
    </xdr:from>
    <xdr:to>
      <xdr:col>19</xdr:col>
      <xdr:colOff>361949</xdr:colOff>
      <xdr:row>3</xdr:row>
      <xdr:rowOff>19050</xdr:rowOff>
    </xdr:to>
    <xdr:sp macro="" textlink="">
      <xdr:nvSpPr>
        <xdr:cNvPr id="31" name="Texto explicativo retangular com cantos arredondados 30"/>
        <xdr:cNvSpPr/>
      </xdr:nvSpPr>
      <xdr:spPr>
        <a:xfrm>
          <a:off x="11750040" y="201930"/>
          <a:ext cx="3752849" cy="365760"/>
        </a:xfrm>
        <a:prstGeom prst="wedgeRoundRectCallout">
          <a:avLst>
            <a:gd name="adj1" fmla="val 63140"/>
            <a:gd name="adj2" fmla="val -7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ROICbt x Multiplicador alavancagem Financ x efeito fiscal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B28" sqref="B28"/>
    </sheetView>
  </sheetViews>
  <sheetFormatPr defaultRowHeight="14.4" x14ac:dyDescent="0.3"/>
  <cols>
    <col min="1" max="1" width="17.5546875" customWidth="1"/>
    <col min="2" max="2" width="62.109375" customWidth="1"/>
    <col min="3" max="3" width="15.77734375" customWidth="1"/>
    <col min="4" max="4" width="14.77734375" customWidth="1"/>
    <col min="5" max="5" width="14.6640625" customWidth="1"/>
    <col min="6" max="6" width="14.21875" customWidth="1"/>
    <col min="7" max="7" width="13.6640625" customWidth="1"/>
    <col min="8" max="8" width="14.21875" customWidth="1"/>
  </cols>
  <sheetData>
    <row r="1" spans="1:8" ht="18" x14ac:dyDescent="0.35">
      <c r="A1" s="3" t="s">
        <v>198</v>
      </c>
    </row>
    <row r="2" spans="1:8" ht="15.6" x14ac:dyDescent="0.3">
      <c r="A2" s="2" t="s">
        <v>224</v>
      </c>
    </row>
    <row r="3" spans="1:8" ht="15.6" x14ac:dyDescent="0.3">
      <c r="A3" s="2" t="s">
        <v>225</v>
      </c>
    </row>
    <row r="6" spans="1:8" x14ac:dyDescent="0.3">
      <c r="A6" s="7" t="s">
        <v>36</v>
      </c>
      <c r="B6" s="7" t="s">
        <v>35</v>
      </c>
      <c r="C6" s="7" t="s">
        <v>34</v>
      </c>
      <c r="D6" s="7" t="s">
        <v>33</v>
      </c>
      <c r="E6" s="7" t="s">
        <v>32</v>
      </c>
      <c r="F6" s="7" t="s">
        <v>31</v>
      </c>
      <c r="G6" s="7" t="s">
        <v>30</v>
      </c>
      <c r="H6" s="7" t="s">
        <v>29</v>
      </c>
    </row>
    <row r="7" spans="1:8" x14ac:dyDescent="0.3">
      <c r="A7" s="8">
        <v>1</v>
      </c>
      <c r="B7" s="5" t="s">
        <v>28</v>
      </c>
      <c r="C7" s="9">
        <v>110683780</v>
      </c>
      <c r="D7" s="9">
        <v>102561318</v>
      </c>
      <c r="E7" s="9">
        <v>101382835</v>
      </c>
      <c r="F7" s="9">
        <v>102066259</v>
      </c>
      <c r="G7" s="9">
        <v>101685064</v>
      </c>
      <c r="H7" s="9">
        <v>73065288</v>
      </c>
    </row>
    <row r="8" spans="1:8" x14ac:dyDescent="0.3">
      <c r="A8" s="10" t="s">
        <v>27</v>
      </c>
      <c r="B8" s="5" t="s">
        <v>26</v>
      </c>
      <c r="C8" s="9">
        <v>20720846</v>
      </c>
      <c r="D8" s="9">
        <v>18362992</v>
      </c>
      <c r="E8" s="9">
        <v>16731666</v>
      </c>
      <c r="F8" s="9">
        <v>18398995</v>
      </c>
      <c r="G8" s="9">
        <v>17909303</v>
      </c>
      <c r="H8" s="9">
        <v>15517368</v>
      </c>
    </row>
    <row r="9" spans="1:8" x14ac:dyDescent="0.3">
      <c r="A9" s="11" t="s">
        <v>25</v>
      </c>
      <c r="B9" s="5" t="s">
        <v>24</v>
      </c>
      <c r="C9" s="9">
        <v>4548256</v>
      </c>
      <c r="D9" s="9">
        <v>3381328</v>
      </c>
      <c r="E9" s="9">
        <v>4050338</v>
      </c>
      <c r="F9" s="9">
        <v>5105110</v>
      </c>
      <c r="G9" s="9">
        <v>5336845</v>
      </c>
      <c r="H9" s="9">
        <v>4692689</v>
      </c>
    </row>
    <row r="10" spans="1:8" x14ac:dyDescent="0.3">
      <c r="A10" s="11" t="s">
        <v>23</v>
      </c>
      <c r="B10" s="5" t="s">
        <v>22</v>
      </c>
      <c r="C10" s="5"/>
      <c r="D10" s="5"/>
      <c r="E10" s="5"/>
      <c r="F10" s="5"/>
      <c r="G10" s="5"/>
      <c r="H10" s="5"/>
    </row>
    <row r="11" spans="1:8" x14ac:dyDescent="0.3">
      <c r="A11" s="11" t="s">
        <v>21</v>
      </c>
      <c r="B11" s="5" t="s">
        <v>20</v>
      </c>
      <c r="C11" s="9">
        <v>8930780</v>
      </c>
      <c r="D11" s="9">
        <v>8304382</v>
      </c>
      <c r="E11" s="9">
        <v>8588466</v>
      </c>
      <c r="F11" s="9">
        <v>8701688</v>
      </c>
      <c r="G11" s="9">
        <v>8285319</v>
      </c>
      <c r="H11" s="9">
        <v>6724061</v>
      </c>
    </row>
    <row r="12" spans="1:8" x14ac:dyDescent="0.3">
      <c r="A12" s="11" t="s">
        <v>19</v>
      </c>
      <c r="B12" s="5" t="s">
        <v>18</v>
      </c>
      <c r="C12" s="9">
        <v>670079</v>
      </c>
      <c r="D12" s="9">
        <v>462053</v>
      </c>
      <c r="E12" s="9">
        <v>348755</v>
      </c>
      <c r="F12" s="9">
        <v>410413</v>
      </c>
      <c r="G12" s="9">
        <v>603631</v>
      </c>
      <c r="H12" s="9">
        <v>479801</v>
      </c>
    </row>
    <row r="13" spans="1:8" x14ac:dyDescent="0.3">
      <c r="A13" s="11" t="s">
        <v>17</v>
      </c>
      <c r="B13" s="5" t="s">
        <v>16</v>
      </c>
      <c r="C13" s="5"/>
      <c r="D13" s="5"/>
      <c r="E13" s="5"/>
      <c r="F13" s="5"/>
      <c r="G13" s="5"/>
      <c r="H13" s="5"/>
    </row>
    <row r="14" spans="1:8" x14ac:dyDescent="0.3">
      <c r="A14" s="11" t="s">
        <v>15</v>
      </c>
      <c r="B14" s="5" t="s">
        <v>14</v>
      </c>
      <c r="C14" s="9">
        <v>5221201</v>
      </c>
      <c r="D14" s="9">
        <v>4948807</v>
      </c>
      <c r="E14" s="9">
        <v>2563990</v>
      </c>
      <c r="F14" s="9">
        <v>3027230</v>
      </c>
      <c r="G14" s="9">
        <v>2521292</v>
      </c>
      <c r="H14" s="9">
        <v>2202662</v>
      </c>
    </row>
    <row r="15" spans="1:8" x14ac:dyDescent="0.3">
      <c r="A15" s="11" t="s">
        <v>13</v>
      </c>
      <c r="B15" s="5" t="s">
        <v>12</v>
      </c>
      <c r="C15" s="9">
        <v>769267</v>
      </c>
      <c r="D15" s="9">
        <v>581743</v>
      </c>
      <c r="E15" s="9">
        <v>446439</v>
      </c>
      <c r="F15" s="9">
        <v>343092</v>
      </c>
      <c r="G15" s="9">
        <v>356446</v>
      </c>
      <c r="H15" s="9">
        <v>303551</v>
      </c>
    </row>
    <row r="16" spans="1:8" x14ac:dyDescent="0.3">
      <c r="A16" s="11" t="s">
        <v>11</v>
      </c>
      <c r="B16" s="5" t="s">
        <v>10</v>
      </c>
      <c r="C16" s="9">
        <v>581263</v>
      </c>
      <c r="D16" s="9">
        <v>684679</v>
      </c>
      <c r="E16" s="9">
        <v>733678</v>
      </c>
      <c r="F16" s="9">
        <v>811462</v>
      </c>
      <c r="G16" s="9">
        <v>805770</v>
      </c>
      <c r="H16" s="9">
        <v>1114604</v>
      </c>
    </row>
    <row r="17" spans="1:8" x14ac:dyDescent="0.3">
      <c r="A17" s="10" t="s">
        <v>9</v>
      </c>
      <c r="B17" s="5" t="s">
        <v>8</v>
      </c>
      <c r="C17" s="9">
        <v>89962934</v>
      </c>
      <c r="D17" s="9">
        <v>84198326</v>
      </c>
      <c r="E17" s="9">
        <v>84651169</v>
      </c>
      <c r="F17" s="9">
        <v>83667264</v>
      </c>
      <c r="G17" s="9">
        <v>83775761</v>
      </c>
      <c r="H17" s="9">
        <v>57547920</v>
      </c>
    </row>
    <row r="18" spans="1:8" x14ac:dyDescent="0.3">
      <c r="A18" s="11" t="s">
        <v>7</v>
      </c>
      <c r="B18" s="5" t="s">
        <v>6</v>
      </c>
      <c r="C18" s="9">
        <v>5258432</v>
      </c>
      <c r="D18" s="9">
        <v>7760357</v>
      </c>
      <c r="E18" s="9">
        <v>7998047</v>
      </c>
      <c r="F18" s="9">
        <v>7173105</v>
      </c>
      <c r="G18" s="9">
        <v>7590644</v>
      </c>
      <c r="H18" s="9">
        <v>5726827</v>
      </c>
    </row>
    <row r="19" spans="1:8" x14ac:dyDescent="0.3">
      <c r="A19" s="11" t="s">
        <v>5</v>
      </c>
      <c r="B19" s="5" t="s">
        <v>4</v>
      </c>
      <c r="C19" s="9">
        <v>103184</v>
      </c>
      <c r="D19" s="9">
        <v>101657</v>
      </c>
      <c r="E19" s="9">
        <v>98902</v>
      </c>
      <c r="F19" s="9">
        <v>85745</v>
      </c>
      <c r="G19" s="9">
        <v>101161</v>
      </c>
      <c r="H19" s="9">
        <v>79805</v>
      </c>
    </row>
    <row r="20" spans="1:8" x14ac:dyDescent="0.3">
      <c r="A20" s="11" t="s">
        <v>3</v>
      </c>
      <c r="B20" s="5" t="s">
        <v>2</v>
      </c>
      <c r="C20" s="9">
        <v>43058998</v>
      </c>
      <c r="D20" s="9">
        <v>34115327</v>
      </c>
      <c r="E20" s="9">
        <v>33222316</v>
      </c>
      <c r="F20" s="9">
        <v>31924918</v>
      </c>
      <c r="G20" s="9">
        <v>30476765</v>
      </c>
      <c r="H20" s="9">
        <v>20453864</v>
      </c>
    </row>
    <row r="21" spans="1:8" x14ac:dyDescent="0.3">
      <c r="A21" s="11" t="s">
        <v>1</v>
      </c>
      <c r="B21" s="5" t="s">
        <v>0</v>
      </c>
      <c r="C21" s="9">
        <v>41542320</v>
      </c>
      <c r="D21" s="9">
        <v>42220985</v>
      </c>
      <c r="E21" s="9">
        <v>43331904</v>
      </c>
      <c r="F21" s="9">
        <v>44483496</v>
      </c>
      <c r="G21" s="9">
        <v>45607191</v>
      </c>
      <c r="H21" s="9">
        <v>31287424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workbookViewId="0">
      <selection activeCell="L18" sqref="L18"/>
    </sheetView>
  </sheetViews>
  <sheetFormatPr defaultRowHeight="14.4" x14ac:dyDescent="0.3"/>
  <cols>
    <col min="1" max="1" width="17.5546875" customWidth="1"/>
    <col min="2" max="2" width="62.109375" customWidth="1"/>
    <col min="3" max="3" width="15.77734375" customWidth="1"/>
    <col min="4" max="4" width="14.77734375" customWidth="1"/>
    <col min="5" max="5" width="14.6640625" customWidth="1"/>
    <col min="6" max="6" width="14.21875" customWidth="1"/>
    <col min="7" max="7" width="13.6640625" customWidth="1"/>
    <col min="8" max="8" width="14.21875" customWidth="1"/>
  </cols>
  <sheetData>
    <row r="1" spans="1:8" ht="18" x14ac:dyDescent="0.35">
      <c r="A1" s="3" t="s">
        <v>198</v>
      </c>
    </row>
    <row r="2" spans="1:8" ht="15.6" x14ac:dyDescent="0.3">
      <c r="A2" s="2" t="s">
        <v>226</v>
      </c>
    </row>
    <row r="3" spans="1:8" ht="15.6" x14ac:dyDescent="0.3">
      <c r="A3" s="2" t="s">
        <v>225</v>
      </c>
    </row>
    <row r="6" spans="1:8" x14ac:dyDescent="0.3">
      <c r="A6" s="7" t="s">
        <v>36</v>
      </c>
      <c r="B6" s="7" t="s">
        <v>35</v>
      </c>
      <c r="C6" s="7" t="s">
        <v>34</v>
      </c>
      <c r="D6" s="7" t="s">
        <v>33</v>
      </c>
      <c r="E6" s="7" t="s">
        <v>32</v>
      </c>
      <c r="F6" s="7" t="s">
        <v>31</v>
      </c>
      <c r="G6" s="7" t="s">
        <v>30</v>
      </c>
      <c r="H6" s="7" t="s">
        <v>29</v>
      </c>
    </row>
    <row r="7" spans="1:8" x14ac:dyDescent="0.3">
      <c r="A7" s="8">
        <v>2</v>
      </c>
      <c r="B7" s="5" t="s">
        <v>83</v>
      </c>
      <c r="C7" s="9">
        <v>110683780</v>
      </c>
      <c r="D7" s="9">
        <v>102561318</v>
      </c>
      <c r="E7" s="9">
        <v>101382835</v>
      </c>
      <c r="F7" s="9">
        <v>102066259</v>
      </c>
      <c r="G7" s="9">
        <v>101685064</v>
      </c>
      <c r="H7" s="9">
        <v>73065288</v>
      </c>
    </row>
    <row r="8" spans="1:8" x14ac:dyDescent="0.3">
      <c r="A8" s="10" t="s">
        <v>82</v>
      </c>
      <c r="B8" s="5" t="s">
        <v>81</v>
      </c>
      <c r="C8" s="9">
        <v>19016360</v>
      </c>
      <c r="D8" s="9">
        <v>17160820</v>
      </c>
      <c r="E8" s="9">
        <v>17862531</v>
      </c>
      <c r="F8" s="9">
        <v>20438575</v>
      </c>
      <c r="G8" s="9">
        <v>17981713</v>
      </c>
      <c r="H8" s="9">
        <v>16011006</v>
      </c>
    </row>
    <row r="9" spans="1:8" x14ac:dyDescent="0.3">
      <c r="A9" s="11" t="s">
        <v>80</v>
      </c>
      <c r="B9" s="5" t="s">
        <v>79</v>
      </c>
      <c r="C9" s="9">
        <v>766093</v>
      </c>
      <c r="D9" s="9">
        <v>782630</v>
      </c>
      <c r="E9" s="9">
        <v>723380</v>
      </c>
      <c r="F9" s="9">
        <v>760643</v>
      </c>
      <c r="G9" s="9">
        <v>698846</v>
      </c>
      <c r="H9" s="9">
        <v>591381</v>
      </c>
    </row>
    <row r="10" spans="1:8" x14ac:dyDescent="0.3">
      <c r="A10" s="11" t="s">
        <v>78</v>
      </c>
      <c r="B10" s="5" t="s">
        <v>77</v>
      </c>
      <c r="C10" s="9">
        <v>7091752</v>
      </c>
      <c r="D10" s="9">
        <v>7642782</v>
      </c>
      <c r="E10" s="9">
        <v>7447100</v>
      </c>
      <c r="F10" s="9">
        <v>7611246</v>
      </c>
      <c r="G10" s="9">
        <v>8373235</v>
      </c>
      <c r="H10" s="9">
        <v>7641191</v>
      </c>
    </row>
    <row r="11" spans="1:8" x14ac:dyDescent="0.3">
      <c r="A11" s="11" t="s">
        <v>76</v>
      </c>
      <c r="B11" s="5" t="s">
        <v>75</v>
      </c>
      <c r="C11" s="9">
        <v>1301130</v>
      </c>
      <c r="D11" s="9">
        <v>1809974</v>
      </c>
      <c r="E11" s="9">
        <v>1731315</v>
      </c>
      <c r="F11" s="9">
        <v>1770731</v>
      </c>
      <c r="G11" s="9">
        <v>1716002</v>
      </c>
      <c r="H11" s="9">
        <v>1281673</v>
      </c>
    </row>
    <row r="12" spans="1:8" x14ac:dyDescent="0.3">
      <c r="A12" s="11" t="s">
        <v>74</v>
      </c>
      <c r="B12" s="5" t="s">
        <v>67</v>
      </c>
      <c r="C12" s="9">
        <v>2683605</v>
      </c>
      <c r="D12" s="9">
        <v>1464166</v>
      </c>
      <c r="E12" s="9">
        <v>3033441</v>
      </c>
      <c r="F12" s="9">
        <v>4663479</v>
      </c>
      <c r="G12" s="9">
        <v>2342991</v>
      </c>
      <c r="H12" s="9">
        <v>2264518</v>
      </c>
    </row>
    <row r="13" spans="1:8" x14ac:dyDescent="0.3">
      <c r="A13" s="11" t="s">
        <v>73</v>
      </c>
      <c r="B13" s="5" t="s">
        <v>65</v>
      </c>
      <c r="C13" s="9">
        <v>6747316</v>
      </c>
      <c r="D13" s="9">
        <v>5083339</v>
      </c>
      <c r="E13" s="9">
        <v>3492384</v>
      </c>
      <c r="F13" s="9">
        <v>4448853</v>
      </c>
      <c r="G13" s="9">
        <v>3936262</v>
      </c>
      <c r="H13" s="9">
        <v>3557967</v>
      </c>
    </row>
    <row r="14" spans="1:8" x14ac:dyDescent="0.3">
      <c r="A14" s="11" t="s">
        <v>72</v>
      </c>
      <c r="B14" s="5" t="s">
        <v>61</v>
      </c>
      <c r="C14" s="9">
        <v>426464</v>
      </c>
      <c r="D14" s="9">
        <v>377929</v>
      </c>
      <c r="E14" s="9">
        <v>1434911</v>
      </c>
      <c r="F14" s="9">
        <v>1183623</v>
      </c>
      <c r="G14" s="9">
        <v>914377</v>
      </c>
      <c r="H14" s="9">
        <v>674276</v>
      </c>
    </row>
    <row r="15" spans="1:8" x14ac:dyDescent="0.3">
      <c r="A15" s="11" t="s">
        <v>71</v>
      </c>
      <c r="B15" s="5" t="s">
        <v>59</v>
      </c>
      <c r="C15" s="5"/>
      <c r="D15" s="5"/>
      <c r="E15" s="5"/>
      <c r="F15" s="5"/>
      <c r="G15" s="5"/>
      <c r="H15" s="5"/>
    </row>
    <row r="16" spans="1:8" x14ac:dyDescent="0.3">
      <c r="A16" s="10" t="s">
        <v>70</v>
      </c>
      <c r="B16" s="5" t="s">
        <v>69</v>
      </c>
      <c r="C16" s="9">
        <v>21055158</v>
      </c>
      <c r="D16" s="9">
        <v>13793471</v>
      </c>
      <c r="E16" s="9">
        <v>14058946</v>
      </c>
      <c r="F16" s="9">
        <v>12383265</v>
      </c>
      <c r="G16" s="9">
        <v>15136109</v>
      </c>
      <c r="H16" s="9">
        <v>12104187</v>
      </c>
    </row>
    <row r="17" spans="1:8" x14ac:dyDescent="0.3">
      <c r="A17" s="11" t="s">
        <v>68</v>
      </c>
      <c r="B17" s="5" t="s">
        <v>67</v>
      </c>
      <c r="C17" s="9">
        <v>11026819</v>
      </c>
      <c r="D17" s="9">
        <v>4675271</v>
      </c>
      <c r="E17" s="9">
        <v>5428400</v>
      </c>
      <c r="F17" s="9">
        <v>4560595</v>
      </c>
      <c r="G17" s="9">
        <v>7878299</v>
      </c>
      <c r="H17" s="9">
        <v>5534742</v>
      </c>
    </row>
    <row r="18" spans="1:8" x14ac:dyDescent="0.3">
      <c r="A18" s="11" t="s">
        <v>66</v>
      </c>
      <c r="B18" s="5" t="s">
        <v>65</v>
      </c>
      <c r="C18" s="9">
        <v>1355610</v>
      </c>
      <c r="D18" s="9">
        <v>1003326</v>
      </c>
      <c r="E18" s="9">
        <v>860745</v>
      </c>
      <c r="F18" s="9">
        <v>685246</v>
      </c>
      <c r="G18" s="9">
        <v>922911</v>
      </c>
      <c r="H18" s="9">
        <v>1168880</v>
      </c>
    </row>
    <row r="19" spans="1:8" x14ac:dyDescent="0.3">
      <c r="A19" s="11" t="s">
        <v>64</v>
      </c>
      <c r="B19" s="5" t="s">
        <v>63</v>
      </c>
      <c r="C19" s="9">
        <v>2726442</v>
      </c>
      <c r="D19" s="9">
        <v>1982952</v>
      </c>
      <c r="E19" s="9">
        <v>709325</v>
      </c>
      <c r="F19" s="5">
        <v>0</v>
      </c>
      <c r="G19" s="5"/>
      <c r="H19" s="5"/>
    </row>
    <row r="20" spans="1:8" x14ac:dyDescent="0.3">
      <c r="A20" s="11" t="s">
        <v>62</v>
      </c>
      <c r="B20" s="5" t="s">
        <v>61</v>
      </c>
      <c r="C20" s="9">
        <v>5739312</v>
      </c>
      <c r="D20" s="9">
        <v>5881396</v>
      </c>
      <c r="E20" s="9">
        <v>6709839</v>
      </c>
      <c r="F20" s="9">
        <v>6625638</v>
      </c>
      <c r="G20" s="9">
        <v>5975662</v>
      </c>
      <c r="H20" s="9">
        <v>4917783</v>
      </c>
    </row>
    <row r="21" spans="1:8" x14ac:dyDescent="0.3">
      <c r="A21" s="11" t="s">
        <v>60</v>
      </c>
      <c r="B21" s="5" t="s">
        <v>59</v>
      </c>
      <c r="C21" s="5"/>
      <c r="D21" s="5"/>
      <c r="E21" s="5"/>
      <c r="F21" s="5"/>
      <c r="G21" s="5"/>
      <c r="H21" s="5"/>
    </row>
    <row r="22" spans="1:8" x14ac:dyDescent="0.3">
      <c r="A22" s="11" t="s">
        <v>58</v>
      </c>
      <c r="B22" s="5" t="s">
        <v>57</v>
      </c>
      <c r="C22" s="9">
        <v>206975</v>
      </c>
      <c r="D22" s="9">
        <v>250526</v>
      </c>
      <c r="E22" s="9">
        <v>350637</v>
      </c>
      <c r="F22" s="9">
        <v>511786</v>
      </c>
      <c r="G22" s="9">
        <v>359237</v>
      </c>
      <c r="H22" s="9">
        <v>482782</v>
      </c>
    </row>
    <row r="23" spans="1:8" x14ac:dyDescent="0.3">
      <c r="A23" s="10" t="s">
        <v>56</v>
      </c>
      <c r="B23" s="5" t="s">
        <v>55</v>
      </c>
      <c r="C23" s="9">
        <v>70612262</v>
      </c>
      <c r="D23" s="9">
        <v>71607027</v>
      </c>
      <c r="E23" s="9">
        <v>69461358</v>
      </c>
      <c r="F23" s="9">
        <v>69244419</v>
      </c>
      <c r="G23" s="9">
        <v>68567242</v>
      </c>
      <c r="H23" s="9">
        <v>44950095</v>
      </c>
    </row>
    <row r="24" spans="1:8" x14ac:dyDescent="0.3">
      <c r="A24" s="11" t="s">
        <v>54</v>
      </c>
      <c r="B24" s="5" t="s">
        <v>53</v>
      </c>
      <c r="C24" s="9">
        <v>63571416</v>
      </c>
      <c r="D24" s="9">
        <v>63571416</v>
      </c>
      <c r="E24" s="9">
        <v>63571416</v>
      </c>
      <c r="F24" s="9">
        <v>63571416</v>
      </c>
      <c r="G24" s="9">
        <v>63571416</v>
      </c>
      <c r="H24" s="9">
        <v>37798110</v>
      </c>
    </row>
    <row r="25" spans="1:8" x14ac:dyDescent="0.3">
      <c r="A25" s="11" t="s">
        <v>52</v>
      </c>
      <c r="B25" s="5" t="s">
        <v>51</v>
      </c>
      <c r="C25" s="9">
        <v>1165463</v>
      </c>
      <c r="D25" s="9">
        <v>1213532</v>
      </c>
      <c r="E25" s="9">
        <v>1213522</v>
      </c>
      <c r="F25" s="9">
        <v>1272581</v>
      </c>
      <c r="G25" s="9">
        <v>1272564</v>
      </c>
      <c r="H25" s="9">
        <v>2616449</v>
      </c>
    </row>
    <row r="26" spans="1:8" x14ac:dyDescent="0.3">
      <c r="A26" s="11" t="s">
        <v>50</v>
      </c>
      <c r="B26" s="5" t="s">
        <v>49</v>
      </c>
      <c r="C26" s="5"/>
      <c r="D26" s="5"/>
      <c r="E26" s="5"/>
      <c r="F26" s="5"/>
      <c r="G26" s="5"/>
      <c r="H26" s="5"/>
    </row>
    <row r="27" spans="1:8" x14ac:dyDescent="0.3">
      <c r="A27" s="11" t="s">
        <v>48</v>
      </c>
      <c r="B27" s="5" t="s">
        <v>47</v>
      </c>
      <c r="C27" s="9">
        <v>4337652</v>
      </c>
      <c r="D27" s="9">
        <v>6792854</v>
      </c>
      <c r="E27" s="9">
        <v>4655092</v>
      </c>
      <c r="F27" s="9">
        <v>4388961</v>
      </c>
      <c r="G27" s="9">
        <v>3697794</v>
      </c>
      <c r="H27" s="9">
        <v>4303071</v>
      </c>
    </row>
    <row r="28" spans="1:8" x14ac:dyDescent="0.3">
      <c r="A28" s="11" t="s">
        <v>46</v>
      </c>
      <c r="B28" s="5" t="s">
        <v>45</v>
      </c>
      <c r="C28" s="9">
        <v>1506613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 x14ac:dyDescent="0.3">
      <c r="A29" s="11" t="s">
        <v>44</v>
      </c>
      <c r="B29" s="5" t="s">
        <v>43</v>
      </c>
      <c r="C29" s="5"/>
      <c r="D29" s="5"/>
      <c r="E29" s="5"/>
      <c r="F29" s="5"/>
      <c r="G29" s="5"/>
      <c r="H29" s="5"/>
    </row>
    <row r="30" spans="1:8" x14ac:dyDescent="0.3">
      <c r="A30" s="11" t="s">
        <v>42</v>
      </c>
      <c r="B30" s="5" t="s">
        <v>41</v>
      </c>
      <c r="C30" s="5"/>
      <c r="D30" s="5"/>
      <c r="E30" s="5"/>
      <c r="F30" s="5"/>
      <c r="G30" s="5"/>
      <c r="H30" s="5"/>
    </row>
    <row r="31" spans="1:8" x14ac:dyDescent="0.3">
      <c r="A31" s="11" t="s">
        <v>40</v>
      </c>
      <c r="B31" s="5" t="s">
        <v>39</v>
      </c>
      <c r="C31" s="9">
        <v>31118</v>
      </c>
      <c r="D31" s="9">
        <v>29225</v>
      </c>
      <c r="E31" s="9">
        <v>21328</v>
      </c>
      <c r="F31" s="9">
        <v>11461</v>
      </c>
      <c r="G31" s="9">
        <v>25468</v>
      </c>
      <c r="H31" s="9">
        <v>232465</v>
      </c>
    </row>
    <row r="32" spans="1:8" x14ac:dyDescent="0.3">
      <c r="A32" s="11" t="s">
        <v>38</v>
      </c>
      <c r="B32" s="5" t="s">
        <v>37</v>
      </c>
      <c r="C32" s="5"/>
      <c r="D32" s="5"/>
      <c r="E32" s="5"/>
      <c r="F32" s="5"/>
      <c r="G32" s="5"/>
      <c r="H3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topLeftCell="A7" workbookViewId="0">
      <selection activeCell="C26" sqref="C26"/>
    </sheetView>
  </sheetViews>
  <sheetFormatPr defaultRowHeight="14.4" x14ac:dyDescent="0.3"/>
  <cols>
    <col min="1" max="1" width="17.77734375" customWidth="1"/>
    <col min="2" max="2" width="62" customWidth="1"/>
    <col min="3" max="3" width="14.6640625" customWidth="1"/>
    <col min="4" max="4" width="14" customWidth="1"/>
    <col min="5" max="5" width="14.33203125" customWidth="1"/>
    <col min="6" max="6" width="14" customWidth="1"/>
    <col min="7" max="7" width="13.88671875" customWidth="1"/>
    <col min="8" max="8" width="14.33203125" customWidth="1"/>
  </cols>
  <sheetData>
    <row r="1" spans="1:8" ht="18" x14ac:dyDescent="0.35">
      <c r="A1" s="3" t="s">
        <v>198</v>
      </c>
    </row>
    <row r="2" spans="1:8" ht="15.6" x14ac:dyDescent="0.3">
      <c r="A2" s="2" t="s">
        <v>227</v>
      </c>
    </row>
    <row r="3" spans="1:8" ht="15.6" x14ac:dyDescent="0.3">
      <c r="A3" s="2" t="s">
        <v>225</v>
      </c>
    </row>
    <row r="6" spans="1:8" x14ac:dyDescent="0.3">
      <c r="A6" s="7" t="s">
        <v>36</v>
      </c>
      <c r="B6" s="7" t="s">
        <v>35</v>
      </c>
      <c r="C6" s="12">
        <v>43466</v>
      </c>
      <c r="D6" s="12">
        <v>43101</v>
      </c>
      <c r="E6" s="12">
        <v>42736</v>
      </c>
      <c r="F6" s="12">
        <v>42370</v>
      </c>
      <c r="G6" s="12">
        <v>42005</v>
      </c>
      <c r="H6" s="12">
        <v>41640</v>
      </c>
    </row>
    <row r="7" spans="1:8" x14ac:dyDescent="0.3">
      <c r="A7" s="7"/>
      <c r="B7" s="7"/>
      <c r="C7" s="12">
        <v>43738</v>
      </c>
      <c r="D7" s="12">
        <v>43373</v>
      </c>
      <c r="E7" s="12">
        <v>43008</v>
      </c>
      <c r="F7" s="12">
        <v>42643</v>
      </c>
      <c r="G7" s="12">
        <v>42277</v>
      </c>
      <c r="H7" s="12">
        <v>41912</v>
      </c>
    </row>
    <row r="8" spans="1:8" x14ac:dyDescent="0.3">
      <c r="A8" s="10" t="s">
        <v>139</v>
      </c>
      <c r="B8" s="5" t="s">
        <v>138</v>
      </c>
      <c r="C8" s="9">
        <v>32891316</v>
      </c>
      <c r="D8" s="9">
        <v>32377261</v>
      </c>
      <c r="E8" s="9">
        <v>32173292</v>
      </c>
      <c r="F8" s="9">
        <v>31634810</v>
      </c>
      <c r="G8" s="9">
        <v>29525983</v>
      </c>
      <c r="H8" s="9">
        <v>25952439</v>
      </c>
    </row>
    <row r="9" spans="1:8" x14ac:dyDescent="0.3">
      <c r="A9" s="10" t="s">
        <v>137</v>
      </c>
      <c r="B9" s="5" t="s">
        <v>136</v>
      </c>
      <c r="C9" s="9">
        <v>-16351888</v>
      </c>
      <c r="D9" s="9">
        <v>-15426953</v>
      </c>
      <c r="E9" s="9">
        <v>-15172547</v>
      </c>
      <c r="F9" s="9">
        <v>-15929873</v>
      </c>
      <c r="G9" s="9">
        <v>-14987070</v>
      </c>
      <c r="H9" s="9">
        <v>-12806037</v>
      </c>
    </row>
    <row r="10" spans="1:8" x14ac:dyDescent="0.3">
      <c r="A10" s="10" t="s">
        <v>135</v>
      </c>
      <c r="B10" s="5" t="s">
        <v>134</v>
      </c>
      <c r="C10" s="9">
        <v>16539428</v>
      </c>
      <c r="D10" s="9">
        <v>16950308</v>
      </c>
      <c r="E10" s="9">
        <v>17000745</v>
      </c>
      <c r="F10" s="9">
        <v>15704937</v>
      </c>
      <c r="G10" s="9">
        <v>14538913</v>
      </c>
      <c r="H10" s="9">
        <v>13146402</v>
      </c>
    </row>
    <row r="11" spans="1:8" x14ac:dyDescent="0.3">
      <c r="A11" s="10" t="s">
        <v>133</v>
      </c>
      <c r="B11" s="5" t="s">
        <v>132</v>
      </c>
      <c r="C11" s="9">
        <v>-11304070</v>
      </c>
      <c r="D11" s="9">
        <v>-9222580</v>
      </c>
      <c r="E11" s="9">
        <v>-12142959</v>
      </c>
      <c r="F11" s="9">
        <v>-11143969</v>
      </c>
      <c r="G11" s="9">
        <v>-10785131</v>
      </c>
      <c r="H11" s="9">
        <v>-9426997</v>
      </c>
    </row>
    <row r="12" spans="1:8" x14ac:dyDescent="0.3">
      <c r="A12" s="11" t="s">
        <v>131</v>
      </c>
      <c r="B12" s="5" t="s">
        <v>130</v>
      </c>
      <c r="C12" s="9">
        <v>-9597927</v>
      </c>
      <c r="D12" s="9">
        <v>-9653228</v>
      </c>
      <c r="E12" s="9">
        <v>-9812347</v>
      </c>
      <c r="F12" s="9">
        <v>-9247283</v>
      </c>
      <c r="G12" s="9">
        <v>-8875775</v>
      </c>
      <c r="H12" s="9">
        <v>-7685284</v>
      </c>
    </row>
    <row r="13" spans="1:8" x14ac:dyDescent="0.3">
      <c r="A13" s="11" t="s">
        <v>129</v>
      </c>
      <c r="B13" s="5" t="s">
        <v>128</v>
      </c>
      <c r="C13" s="9">
        <v>-1803194</v>
      </c>
      <c r="D13" s="9">
        <v>-1896390</v>
      </c>
      <c r="E13" s="9">
        <v>-1834996</v>
      </c>
      <c r="F13" s="9">
        <v>-1991193</v>
      </c>
      <c r="G13" s="9">
        <v>-1449255</v>
      </c>
      <c r="H13" s="9">
        <v>-1414337</v>
      </c>
    </row>
    <row r="14" spans="1:8" x14ac:dyDescent="0.3">
      <c r="A14" s="11" t="s">
        <v>127</v>
      </c>
      <c r="B14" s="5" t="s">
        <v>126</v>
      </c>
      <c r="C14" s="5"/>
      <c r="D14" s="5"/>
      <c r="E14" s="5"/>
      <c r="F14" s="5"/>
      <c r="G14" s="5"/>
      <c r="H14" s="5"/>
    </row>
    <row r="15" spans="1:8" x14ac:dyDescent="0.3">
      <c r="A15" s="11" t="s">
        <v>125</v>
      </c>
      <c r="B15" s="5" t="s">
        <v>124</v>
      </c>
      <c r="C15" s="9">
        <v>619592</v>
      </c>
      <c r="D15" s="9">
        <v>3780383</v>
      </c>
      <c r="E15" s="9">
        <v>270572</v>
      </c>
      <c r="F15" s="9">
        <v>837999</v>
      </c>
      <c r="G15" s="9">
        <v>439224</v>
      </c>
      <c r="H15" s="9">
        <v>375279</v>
      </c>
    </row>
    <row r="16" spans="1:8" x14ac:dyDescent="0.3">
      <c r="A16" s="11" t="s">
        <v>123</v>
      </c>
      <c r="B16" s="5" t="s">
        <v>122</v>
      </c>
      <c r="C16" s="9">
        <v>-521827</v>
      </c>
      <c r="D16" s="9">
        <v>-1448431</v>
      </c>
      <c r="E16" s="9">
        <v>-767550</v>
      </c>
      <c r="F16" s="9">
        <v>-744489</v>
      </c>
      <c r="G16" s="9">
        <v>-900794</v>
      </c>
      <c r="H16" s="9">
        <v>-709157</v>
      </c>
    </row>
    <row r="17" spans="1:8" x14ac:dyDescent="0.3">
      <c r="A17" s="11" t="s">
        <v>121</v>
      </c>
      <c r="B17" s="5" t="s">
        <v>120</v>
      </c>
      <c r="C17" s="5">
        <v>-714</v>
      </c>
      <c r="D17" s="9">
        <v>-4914</v>
      </c>
      <c r="E17" s="9">
        <v>1362</v>
      </c>
      <c r="F17" s="5">
        <v>997</v>
      </c>
      <c r="G17" s="9">
        <v>1469</v>
      </c>
      <c r="H17" s="9">
        <v>6502</v>
      </c>
    </row>
    <row r="18" spans="1:8" x14ac:dyDescent="0.3">
      <c r="A18" s="10" t="s">
        <v>119</v>
      </c>
      <c r="B18" s="5" t="s">
        <v>118</v>
      </c>
      <c r="C18" s="9">
        <v>5235358</v>
      </c>
      <c r="D18" s="9">
        <v>7727728</v>
      </c>
      <c r="E18" s="9">
        <v>4857786</v>
      </c>
      <c r="F18" s="9">
        <v>4560968</v>
      </c>
      <c r="G18" s="9">
        <v>3753782</v>
      </c>
      <c r="H18" s="9">
        <v>3719405</v>
      </c>
    </row>
    <row r="19" spans="1:8" x14ac:dyDescent="0.3">
      <c r="A19" s="10" t="s">
        <v>117</v>
      </c>
      <c r="B19" s="5" t="s">
        <v>116</v>
      </c>
      <c r="C19" s="9">
        <v>-636465</v>
      </c>
      <c r="D19" s="9">
        <v>1952091</v>
      </c>
      <c r="E19" s="9">
        <v>-725170</v>
      </c>
      <c r="F19" s="9">
        <v>-919190</v>
      </c>
      <c r="G19" s="9">
        <v>-647919</v>
      </c>
      <c r="H19" s="9">
        <v>-276770</v>
      </c>
    </row>
    <row r="20" spans="1:8" x14ac:dyDescent="0.3">
      <c r="A20" s="11" t="s">
        <v>115</v>
      </c>
      <c r="B20" s="5" t="s">
        <v>114</v>
      </c>
      <c r="C20" s="9">
        <v>918398</v>
      </c>
      <c r="D20" s="9">
        <v>3699511</v>
      </c>
      <c r="E20" s="9">
        <v>1513353</v>
      </c>
      <c r="F20" s="9">
        <v>2100151</v>
      </c>
      <c r="G20" s="9">
        <v>3661735</v>
      </c>
      <c r="H20" s="9">
        <v>563527</v>
      </c>
    </row>
    <row r="21" spans="1:8" x14ac:dyDescent="0.3">
      <c r="A21" s="11" t="s">
        <v>113</v>
      </c>
      <c r="B21" s="5" t="s">
        <v>112</v>
      </c>
      <c r="C21" s="9">
        <v>-1554863</v>
      </c>
      <c r="D21" s="9">
        <v>-1747420</v>
      </c>
      <c r="E21" s="9">
        <v>-2238523</v>
      </c>
      <c r="F21" s="9">
        <v>-3019341</v>
      </c>
      <c r="G21" s="9">
        <v>-4309654</v>
      </c>
      <c r="H21" s="9">
        <v>-840297</v>
      </c>
    </row>
    <row r="22" spans="1:8" x14ac:dyDescent="0.3">
      <c r="A22" s="10" t="s">
        <v>111</v>
      </c>
      <c r="B22" s="5" t="s">
        <v>110</v>
      </c>
      <c r="C22" s="9">
        <v>4598893</v>
      </c>
      <c r="D22" s="9">
        <v>9679819</v>
      </c>
      <c r="E22" s="9">
        <v>4132616</v>
      </c>
      <c r="F22" s="9">
        <v>3641778</v>
      </c>
      <c r="G22" s="9">
        <v>3105863</v>
      </c>
      <c r="H22" s="9">
        <v>3442635</v>
      </c>
    </row>
    <row r="23" spans="1:8" x14ac:dyDescent="0.3">
      <c r="A23" s="10" t="s">
        <v>109</v>
      </c>
      <c r="B23" s="5" t="s">
        <v>108</v>
      </c>
      <c r="C23" s="9">
        <v>-872133</v>
      </c>
      <c r="D23" s="9">
        <v>-2238239</v>
      </c>
      <c r="E23" s="9">
        <v>-1040781</v>
      </c>
      <c r="F23" s="9">
        <v>-771362</v>
      </c>
      <c r="G23" s="9">
        <v>-770163</v>
      </c>
      <c r="H23" s="9">
        <v>233113</v>
      </c>
    </row>
    <row r="24" spans="1:8" x14ac:dyDescent="0.3">
      <c r="A24" s="11" t="s">
        <v>107</v>
      </c>
      <c r="B24" s="5" t="s">
        <v>106</v>
      </c>
      <c r="C24" s="9">
        <v>-85100</v>
      </c>
      <c r="D24" s="9">
        <v>-743589</v>
      </c>
      <c r="E24" s="9">
        <v>-440085</v>
      </c>
      <c r="F24" s="9">
        <v>-475273</v>
      </c>
      <c r="G24" s="9">
        <v>-706457</v>
      </c>
      <c r="H24" s="9">
        <v>-730322</v>
      </c>
    </row>
    <row r="25" spans="1:8" x14ac:dyDescent="0.3">
      <c r="A25" s="11" t="s">
        <v>105</v>
      </c>
      <c r="B25" s="5" t="s">
        <v>104</v>
      </c>
      <c r="C25" s="9">
        <v>-787033</v>
      </c>
      <c r="D25" s="9">
        <v>-1494650</v>
      </c>
      <c r="E25" s="9">
        <v>-600696</v>
      </c>
      <c r="F25" s="9">
        <v>-296089</v>
      </c>
      <c r="G25" s="9">
        <v>-63706</v>
      </c>
      <c r="H25" s="9">
        <v>963435</v>
      </c>
    </row>
    <row r="26" spans="1:8" x14ac:dyDescent="0.3">
      <c r="A26" s="10" t="s">
        <v>103</v>
      </c>
      <c r="B26" s="5" t="s">
        <v>102</v>
      </c>
      <c r="C26" s="9">
        <v>3726760</v>
      </c>
      <c r="D26" s="9">
        <v>7441580</v>
      </c>
      <c r="E26" s="9">
        <v>3091835</v>
      </c>
      <c r="F26" s="9">
        <v>2870416</v>
      </c>
      <c r="G26" s="9">
        <v>2335700</v>
      </c>
      <c r="H26" s="9">
        <v>3675748</v>
      </c>
    </row>
    <row r="27" spans="1:8" x14ac:dyDescent="0.3">
      <c r="A27" s="10" t="s">
        <v>101</v>
      </c>
      <c r="B27" s="5" t="s">
        <v>100</v>
      </c>
      <c r="C27" s="5"/>
      <c r="D27" s="5"/>
      <c r="E27" s="5"/>
      <c r="F27" s="5"/>
      <c r="G27" s="5"/>
      <c r="H27" s="5"/>
    </row>
    <row r="28" spans="1:8" x14ac:dyDescent="0.3">
      <c r="A28" s="11" t="s">
        <v>99</v>
      </c>
      <c r="B28" s="5" t="s">
        <v>98</v>
      </c>
      <c r="C28" s="5"/>
      <c r="D28" s="5"/>
      <c r="E28" s="5"/>
      <c r="F28" s="5"/>
      <c r="G28" s="5"/>
      <c r="H28" s="5"/>
    </row>
    <row r="29" spans="1:8" x14ac:dyDescent="0.3">
      <c r="A29" s="11" t="s">
        <v>97</v>
      </c>
      <c r="B29" s="5" t="s">
        <v>96</v>
      </c>
      <c r="C29" s="5"/>
      <c r="D29" s="5"/>
      <c r="E29" s="5"/>
      <c r="F29" s="5"/>
      <c r="G29" s="5"/>
      <c r="H29" s="5"/>
    </row>
    <row r="30" spans="1:8" x14ac:dyDescent="0.3">
      <c r="A30" s="10" t="s">
        <v>95</v>
      </c>
      <c r="B30" s="5" t="s">
        <v>94</v>
      </c>
      <c r="C30" s="9">
        <v>3726760</v>
      </c>
      <c r="D30" s="9">
        <v>7441580</v>
      </c>
      <c r="E30" s="9">
        <v>3091835</v>
      </c>
      <c r="F30" s="9">
        <v>2870416</v>
      </c>
      <c r="G30" s="9">
        <v>2335700</v>
      </c>
      <c r="H30" s="9">
        <v>3675748</v>
      </c>
    </row>
    <row r="31" spans="1:8" x14ac:dyDescent="0.3">
      <c r="A31" s="11" t="s">
        <v>93</v>
      </c>
      <c r="B31" s="5" t="s">
        <v>92</v>
      </c>
      <c r="C31" s="9">
        <v>3726760</v>
      </c>
      <c r="D31" s="9">
        <v>7441580</v>
      </c>
      <c r="E31" s="9">
        <v>3091835</v>
      </c>
      <c r="F31" s="9">
        <v>2870416</v>
      </c>
      <c r="G31" s="9">
        <v>2335700</v>
      </c>
      <c r="H31" s="9">
        <v>3675748</v>
      </c>
    </row>
    <row r="32" spans="1:8" x14ac:dyDescent="0.3">
      <c r="A32" s="11" t="s">
        <v>91</v>
      </c>
      <c r="B32" s="5" t="s">
        <v>90</v>
      </c>
      <c r="C32" s="5"/>
      <c r="D32" s="5"/>
      <c r="E32" s="5"/>
      <c r="F32" s="5"/>
      <c r="G32" s="5"/>
      <c r="H32" s="5"/>
    </row>
    <row r="33" spans="1:8" x14ac:dyDescent="0.3">
      <c r="A33" s="10" t="s">
        <v>89</v>
      </c>
      <c r="B33" s="5" t="s">
        <v>88</v>
      </c>
      <c r="C33" s="5"/>
      <c r="D33" s="5"/>
      <c r="E33" s="5"/>
      <c r="F33" s="5"/>
      <c r="G33" s="5"/>
      <c r="H33" s="5"/>
    </row>
    <row r="34" spans="1:8" x14ac:dyDescent="0.3">
      <c r="A34" s="11" t="s">
        <v>87</v>
      </c>
      <c r="B34" s="5" t="s">
        <v>86</v>
      </c>
      <c r="C34" s="5"/>
      <c r="D34" s="5"/>
      <c r="E34" s="5"/>
      <c r="F34" s="5"/>
      <c r="G34" s="5"/>
      <c r="H34" s="5"/>
    </row>
    <row r="35" spans="1:8" x14ac:dyDescent="0.3">
      <c r="A35" s="11" t="s">
        <v>85</v>
      </c>
      <c r="B35" s="5" t="s">
        <v>84</v>
      </c>
      <c r="C35" s="5"/>
      <c r="D35" s="5"/>
      <c r="E35" s="5"/>
      <c r="F35" s="5"/>
      <c r="G35" s="5"/>
      <c r="H35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showGridLines="0" workbookViewId="0">
      <selection activeCell="B32" sqref="B32"/>
    </sheetView>
  </sheetViews>
  <sheetFormatPr defaultRowHeight="14.4" x14ac:dyDescent="0.3"/>
  <cols>
    <col min="1" max="1" width="15.5546875" customWidth="1"/>
    <col min="2" max="2" width="77.109375" customWidth="1"/>
    <col min="3" max="3" width="16.6640625" customWidth="1"/>
    <col min="4" max="4" width="17.109375" customWidth="1"/>
    <col min="5" max="6" width="17.33203125" customWidth="1"/>
    <col min="7" max="7" width="15.88671875" customWidth="1"/>
    <col min="8" max="8" width="16.6640625" customWidth="1"/>
    <col min="9" max="9" width="46.44140625" customWidth="1"/>
    <col min="10" max="10" width="17.88671875" customWidth="1"/>
  </cols>
  <sheetData>
    <row r="1" spans="1:8" ht="18" x14ac:dyDescent="0.35">
      <c r="A1" s="3" t="s">
        <v>198</v>
      </c>
    </row>
    <row r="2" spans="1:8" ht="15.6" x14ac:dyDescent="0.3">
      <c r="A2" s="2" t="s">
        <v>289</v>
      </c>
    </row>
    <row r="3" spans="1:8" ht="15.6" x14ac:dyDescent="0.3">
      <c r="A3" s="2" t="s">
        <v>225</v>
      </c>
    </row>
    <row r="7" spans="1:8" x14ac:dyDescent="0.3">
      <c r="A7" s="7" t="s">
        <v>36</v>
      </c>
      <c r="B7" s="7" t="s">
        <v>35</v>
      </c>
      <c r="C7" s="12">
        <v>43466</v>
      </c>
      <c r="D7" s="12">
        <v>43101</v>
      </c>
      <c r="E7" s="12">
        <v>42736</v>
      </c>
      <c r="F7" s="12">
        <v>42370</v>
      </c>
      <c r="G7" s="12">
        <v>42005</v>
      </c>
      <c r="H7" s="12">
        <v>41640</v>
      </c>
    </row>
    <row r="8" spans="1:8" x14ac:dyDescent="0.3">
      <c r="A8" s="7"/>
      <c r="B8" s="7"/>
      <c r="C8" s="7" t="s">
        <v>237</v>
      </c>
      <c r="D8" s="7" t="s">
        <v>236</v>
      </c>
      <c r="E8" s="7" t="s">
        <v>235</v>
      </c>
      <c r="F8" s="7" t="s">
        <v>234</v>
      </c>
      <c r="G8" s="7" t="s">
        <v>233</v>
      </c>
      <c r="H8" s="7" t="s">
        <v>232</v>
      </c>
    </row>
    <row r="9" spans="1:8" x14ac:dyDescent="0.3">
      <c r="A9" s="10" t="s">
        <v>196</v>
      </c>
      <c r="B9" s="5" t="s">
        <v>195</v>
      </c>
      <c r="C9" s="9">
        <v>12811042</v>
      </c>
      <c r="D9" s="9">
        <v>7350591</v>
      </c>
      <c r="E9" s="9">
        <v>9677803</v>
      </c>
      <c r="F9" s="9">
        <v>8122845</v>
      </c>
      <c r="G9" s="9">
        <v>5847915</v>
      </c>
      <c r="H9" s="9">
        <v>6425719</v>
      </c>
    </row>
    <row r="10" spans="1:8" x14ac:dyDescent="0.3">
      <c r="A10" s="11" t="s">
        <v>194</v>
      </c>
      <c r="B10" s="5" t="s">
        <v>193</v>
      </c>
      <c r="C10" s="9">
        <v>15073722</v>
      </c>
      <c r="D10" s="9">
        <v>18698000</v>
      </c>
      <c r="E10" s="9">
        <v>13172367</v>
      </c>
      <c r="F10" s="9">
        <v>12516694</v>
      </c>
      <c r="G10" s="9">
        <v>11292129</v>
      </c>
      <c r="H10" s="9">
        <v>9048020</v>
      </c>
    </row>
    <row r="11" spans="1:8" x14ac:dyDescent="0.3">
      <c r="A11" s="5" t="s">
        <v>246</v>
      </c>
      <c r="B11" s="5" t="s">
        <v>247</v>
      </c>
      <c r="C11" s="9">
        <v>4598893</v>
      </c>
      <c r="D11" s="9">
        <v>9679819</v>
      </c>
      <c r="E11" s="9">
        <v>4132616</v>
      </c>
      <c r="F11" s="9">
        <v>3641778</v>
      </c>
      <c r="G11" s="9">
        <v>3105863</v>
      </c>
      <c r="H11" s="9">
        <v>3442635</v>
      </c>
    </row>
    <row r="12" spans="1:8" x14ac:dyDescent="0.3">
      <c r="A12" s="5" t="s">
        <v>248</v>
      </c>
      <c r="B12" s="5" t="s">
        <v>249</v>
      </c>
      <c r="C12" s="9">
        <v>7930536</v>
      </c>
      <c r="D12" s="9">
        <v>6045916</v>
      </c>
      <c r="E12" s="9">
        <v>5862808</v>
      </c>
      <c r="F12" s="9">
        <v>5839148</v>
      </c>
      <c r="G12" s="9">
        <v>4944926</v>
      </c>
      <c r="H12" s="9">
        <v>3942954</v>
      </c>
    </row>
    <row r="13" spans="1:8" x14ac:dyDescent="0.3">
      <c r="A13" s="5" t="s">
        <v>250</v>
      </c>
      <c r="B13" s="5" t="s">
        <v>251</v>
      </c>
      <c r="C13" s="5">
        <v>-657</v>
      </c>
      <c r="D13" s="9">
        <v>39176</v>
      </c>
      <c r="E13" s="9">
        <v>43719</v>
      </c>
      <c r="F13" s="9">
        <v>33785</v>
      </c>
      <c r="G13" s="9">
        <v>238939</v>
      </c>
      <c r="H13" s="9">
        <v>63930</v>
      </c>
    </row>
    <row r="14" spans="1:8" x14ac:dyDescent="0.3">
      <c r="A14" s="5" t="s">
        <v>252</v>
      </c>
      <c r="B14" s="5" t="s">
        <v>253</v>
      </c>
      <c r="C14" s="9">
        <v>459772</v>
      </c>
      <c r="D14" s="9">
        <v>614356</v>
      </c>
      <c r="E14" s="9">
        <v>478973</v>
      </c>
      <c r="F14" s="9">
        <v>436825</v>
      </c>
      <c r="G14" s="9">
        <v>202798</v>
      </c>
      <c r="H14" s="9">
        <v>-9191</v>
      </c>
    </row>
    <row r="15" spans="1:8" x14ac:dyDescent="0.3">
      <c r="A15" s="5" t="s">
        <v>254</v>
      </c>
      <c r="B15" s="5" t="s">
        <v>120</v>
      </c>
      <c r="C15" s="5">
        <v>714</v>
      </c>
      <c r="D15" s="9">
        <v>4914</v>
      </c>
      <c r="E15" s="9">
        <v>-1362</v>
      </c>
      <c r="F15" s="5">
        <v>-997</v>
      </c>
      <c r="G15" s="9">
        <v>-1469</v>
      </c>
      <c r="H15" s="9">
        <v>-6502</v>
      </c>
    </row>
    <row r="16" spans="1:8" x14ac:dyDescent="0.3">
      <c r="A16" s="5" t="s">
        <v>255</v>
      </c>
      <c r="B16" s="5" t="s">
        <v>256</v>
      </c>
      <c r="C16" s="9">
        <v>-175892</v>
      </c>
      <c r="D16" s="9">
        <v>4777</v>
      </c>
      <c r="E16" s="9">
        <v>12654</v>
      </c>
      <c r="F16" s="9">
        <v>-448560</v>
      </c>
      <c r="G16" s="9">
        <v>42742</v>
      </c>
      <c r="H16" s="9">
        <v>41329</v>
      </c>
    </row>
    <row r="17" spans="1:8" x14ac:dyDescent="0.3">
      <c r="A17" s="5" t="s">
        <v>257</v>
      </c>
      <c r="B17" s="5" t="s">
        <v>258</v>
      </c>
      <c r="C17" s="9">
        <v>1265603</v>
      </c>
      <c r="D17" s="9">
        <v>1168936</v>
      </c>
      <c r="E17" s="9">
        <v>1108925</v>
      </c>
      <c r="F17" s="9">
        <v>1003976</v>
      </c>
      <c r="G17" s="9">
        <v>958588</v>
      </c>
      <c r="H17" s="9">
        <v>658832</v>
      </c>
    </row>
    <row r="18" spans="1:8" x14ac:dyDescent="0.3">
      <c r="A18" s="5" t="s">
        <v>259</v>
      </c>
      <c r="B18" s="5" t="s">
        <v>260</v>
      </c>
      <c r="C18" s="9">
        <v>-13052</v>
      </c>
      <c r="D18" s="9">
        <v>-235954</v>
      </c>
      <c r="E18" s="9">
        <v>121490</v>
      </c>
      <c r="F18" s="9">
        <v>525454</v>
      </c>
      <c r="G18" s="9">
        <v>381192</v>
      </c>
      <c r="H18" s="9">
        <v>-14968</v>
      </c>
    </row>
    <row r="19" spans="1:8" x14ac:dyDescent="0.3">
      <c r="A19" s="5" t="s">
        <v>261</v>
      </c>
      <c r="B19" s="5" t="s">
        <v>262</v>
      </c>
      <c r="C19" s="9">
        <v>-60367</v>
      </c>
      <c r="D19" s="9">
        <v>-33402</v>
      </c>
      <c r="E19" s="9">
        <v>-43184</v>
      </c>
      <c r="F19" s="9">
        <v>-28280</v>
      </c>
      <c r="G19" s="9">
        <v>-23431</v>
      </c>
      <c r="H19" s="9">
        <v>-16218</v>
      </c>
    </row>
    <row r="20" spans="1:8" x14ac:dyDescent="0.3">
      <c r="A20" s="5" t="s">
        <v>263</v>
      </c>
      <c r="B20" s="5" t="s">
        <v>264</v>
      </c>
      <c r="C20" s="9">
        <v>44781</v>
      </c>
      <c r="D20" s="9">
        <v>36860</v>
      </c>
      <c r="E20" s="9">
        <v>23700</v>
      </c>
      <c r="F20" s="9">
        <v>-4417</v>
      </c>
      <c r="G20" s="9">
        <v>32380</v>
      </c>
      <c r="H20" s="9">
        <v>23633</v>
      </c>
    </row>
    <row r="21" spans="1:8" x14ac:dyDescent="0.3">
      <c r="A21" s="5" t="s">
        <v>265</v>
      </c>
      <c r="B21" s="5" t="s">
        <v>266</v>
      </c>
      <c r="C21" s="9">
        <v>479915</v>
      </c>
      <c r="D21" s="9">
        <v>995695</v>
      </c>
      <c r="E21" s="9">
        <v>650654</v>
      </c>
      <c r="F21" s="9">
        <v>744489</v>
      </c>
      <c r="G21" s="9">
        <v>707952</v>
      </c>
      <c r="H21" s="9">
        <v>377003</v>
      </c>
    </row>
    <row r="22" spans="1:8" x14ac:dyDescent="0.3">
      <c r="A22" s="5" t="s">
        <v>267</v>
      </c>
      <c r="B22" s="5" t="s">
        <v>268</v>
      </c>
      <c r="C22" s="9">
        <v>620987</v>
      </c>
      <c r="D22" s="9">
        <v>380371</v>
      </c>
      <c r="E22" s="9">
        <v>770991</v>
      </c>
      <c r="F22" s="9">
        <v>832491</v>
      </c>
      <c r="G22" s="9">
        <v>649997</v>
      </c>
      <c r="H22" s="9">
        <v>530937</v>
      </c>
    </row>
    <row r="23" spans="1:8" x14ac:dyDescent="0.3">
      <c r="A23" s="5" t="s">
        <v>269</v>
      </c>
      <c r="B23" s="5" t="s">
        <v>168</v>
      </c>
      <c r="C23" s="9">
        <v>-77511</v>
      </c>
      <c r="D23" s="9">
        <v>-3464</v>
      </c>
      <c r="E23" s="9">
        <v>10383</v>
      </c>
      <c r="F23" s="9">
        <v>-58998</v>
      </c>
      <c r="G23" s="9">
        <v>51652</v>
      </c>
      <c r="H23" s="9">
        <v>13646</v>
      </c>
    </row>
    <row r="24" spans="1:8" x14ac:dyDescent="0.3">
      <c r="A24" s="11" t="s">
        <v>192</v>
      </c>
      <c r="B24" s="5" t="s">
        <v>191</v>
      </c>
      <c r="C24" s="9">
        <v>-2262680</v>
      </c>
      <c r="D24" s="9">
        <v>-11347409</v>
      </c>
      <c r="E24" s="9">
        <v>-3494564</v>
      </c>
      <c r="F24" s="9">
        <v>-4393849</v>
      </c>
      <c r="G24" s="9">
        <v>-5444214</v>
      </c>
      <c r="H24" s="9">
        <v>-2622301</v>
      </c>
    </row>
    <row r="25" spans="1:8" x14ac:dyDescent="0.3">
      <c r="A25" s="5" t="s">
        <v>270</v>
      </c>
      <c r="B25" s="5" t="s">
        <v>20</v>
      </c>
      <c r="C25" s="9">
        <v>-1883105</v>
      </c>
      <c r="D25" s="9">
        <v>-1509231</v>
      </c>
      <c r="E25" s="9">
        <v>-1122090</v>
      </c>
      <c r="F25" s="9">
        <v>-1281268</v>
      </c>
      <c r="G25" s="9">
        <v>-1509246</v>
      </c>
      <c r="H25" s="9">
        <v>-1275898</v>
      </c>
    </row>
    <row r="26" spans="1:8" x14ac:dyDescent="0.3">
      <c r="A26" s="5" t="s">
        <v>271</v>
      </c>
      <c r="B26" s="5" t="s">
        <v>18</v>
      </c>
      <c r="C26" s="9">
        <v>-143541</v>
      </c>
      <c r="D26" s="9">
        <v>-77156</v>
      </c>
      <c r="E26" s="9">
        <v>72987</v>
      </c>
      <c r="F26" s="9">
        <v>131815</v>
      </c>
      <c r="G26" s="9">
        <v>-139278</v>
      </c>
      <c r="H26" s="9">
        <v>2388</v>
      </c>
    </row>
    <row r="27" spans="1:8" x14ac:dyDescent="0.3">
      <c r="A27" s="5" t="s">
        <v>272</v>
      </c>
      <c r="B27" s="5" t="s">
        <v>14</v>
      </c>
      <c r="C27" s="9">
        <v>82491</v>
      </c>
      <c r="D27" s="9">
        <v>-5863914</v>
      </c>
      <c r="E27" s="9">
        <v>-240862</v>
      </c>
      <c r="F27" s="9">
        <v>-291667</v>
      </c>
      <c r="G27" s="9">
        <v>-280487</v>
      </c>
      <c r="H27" s="9">
        <v>75677</v>
      </c>
    </row>
    <row r="28" spans="1:8" x14ac:dyDescent="0.3">
      <c r="A28" s="5" t="s">
        <v>273</v>
      </c>
      <c r="B28" s="5" t="s">
        <v>12</v>
      </c>
      <c r="C28" s="9">
        <v>-194596</v>
      </c>
      <c r="D28" s="9">
        <v>-80719</v>
      </c>
      <c r="E28" s="9">
        <v>-68456</v>
      </c>
      <c r="F28" s="9">
        <v>-43807</v>
      </c>
      <c r="G28" s="9">
        <v>-74684</v>
      </c>
      <c r="H28" s="9">
        <v>-98399</v>
      </c>
    </row>
    <row r="29" spans="1:8" x14ac:dyDescent="0.3">
      <c r="A29" s="5" t="s">
        <v>274</v>
      </c>
      <c r="B29" s="5" t="s">
        <v>275</v>
      </c>
      <c r="C29" s="9">
        <v>47167</v>
      </c>
      <c r="D29" s="9">
        <v>-14304</v>
      </c>
      <c r="E29" s="9">
        <v>89238</v>
      </c>
      <c r="F29" s="9">
        <v>22703</v>
      </c>
      <c r="G29" s="9">
        <f>-164467-114917</f>
        <v>-279384</v>
      </c>
      <c r="H29" s="9">
        <f>-14979+48688</f>
        <v>33709</v>
      </c>
    </row>
    <row r="30" spans="1:8" x14ac:dyDescent="0.3">
      <c r="A30" s="5" t="s">
        <v>276</v>
      </c>
      <c r="B30" s="5" t="s">
        <v>277</v>
      </c>
      <c r="C30" s="9">
        <v>-5311</v>
      </c>
      <c r="D30" s="9">
        <v>39861</v>
      </c>
      <c r="E30" s="9">
        <v>56841</v>
      </c>
      <c r="F30" s="9">
        <v>92906</v>
      </c>
      <c r="G30" s="9">
        <v>-141914</v>
      </c>
      <c r="H30" s="9">
        <v>85790</v>
      </c>
    </row>
    <row r="31" spans="1:8" x14ac:dyDescent="0.3">
      <c r="A31" s="5" t="s">
        <v>278</v>
      </c>
      <c r="B31" s="5" t="s">
        <v>77</v>
      </c>
      <c r="C31" s="9">
        <v>148147</v>
      </c>
      <c r="D31" s="9">
        <v>987401</v>
      </c>
      <c r="E31" s="9">
        <v>-12126</v>
      </c>
      <c r="F31" s="9">
        <v>-894353</v>
      </c>
      <c r="G31" s="9">
        <v>-703872</v>
      </c>
      <c r="H31" s="9">
        <v>-110299</v>
      </c>
    </row>
    <row r="32" spans="1:8" x14ac:dyDescent="0.3">
      <c r="A32" s="5" t="s">
        <v>279</v>
      </c>
      <c r="B32" s="5" t="s">
        <v>280</v>
      </c>
      <c r="C32" s="9">
        <v>1416665</v>
      </c>
      <c r="D32" s="9">
        <v>-74001</v>
      </c>
      <c r="E32" s="9">
        <v>509268</v>
      </c>
      <c r="F32" s="9">
        <v>125722</v>
      </c>
      <c r="G32" s="9">
        <v>-14609</v>
      </c>
      <c r="H32" s="9">
        <v>312747</v>
      </c>
    </row>
    <row r="33" spans="1:8" x14ac:dyDescent="0.3">
      <c r="A33" s="5" t="s">
        <v>281</v>
      </c>
      <c r="B33" s="5" t="s">
        <v>266</v>
      </c>
      <c r="C33" s="9">
        <v>-1060757</v>
      </c>
      <c r="D33" s="9">
        <v>-3651633</v>
      </c>
      <c r="E33" s="9">
        <v>-828958</v>
      </c>
      <c r="F33" s="5"/>
      <c r="G33" s="5"/>
      <c r="H33" s="5"/>
    </row>
    <row r="34" spans="1:8" x14ac:dyDescent="0.3">
      <c r="A34" s="5" t="s">
        <v>282</v>
      </c>
      <c r="B34" s="5" t="s">
        <v>283</v>
      </c>
      <c r="C34" s="9">
        <v>5091</v>
      </c>
      <c r="D34" s="9">
        <v>-164089</v>
      </c>
      <c r="E34" s="9">
        <v>-860529</v>
      </c>
      <c r="F34" s="9">
        <f>-633862-393965</f>
        <v>-1027827</v>
      </c>
      <c r="G34" s="9">
        <f>-450798-838822</f>
        <v>-1289620</v>
      </c>
      <c r="H34" s="9">
        <f>-362595+27055</f>
        <v>-335540</v>
      </c>
    </row>
    <row r="35" spans="1:8" x14ac:dyDescent="0.3">
      <c r="A35" s="5" t="s">
        <v>284</v>
      </c>
      <c r="B35" s="5" t="s">
        <v>285</v>
      </c>
      <c r="C35" s="9">
        <v>-593643</v>
      </c>
      <c r="D35" s="9">
        <v>-410585</v>
      </c>
      <c r="E35" s="9">
        <v>-695802</v>
      </c>
      <c r="F35" s="9">
        <v>-743482</v>
      </c>
      <c r="G35" s="9">
        <v>-689452</v>
      </c>
      <c r="H35" s="9">
        <v>-607079</v>
      </c>
    </row>
    <row r="36" spans="1:8" x14ac:dyDescent="0.3">
      <c r="A36" s="5" t="s">
        <v>286</v>
      </c>
      <c r="B36" s="5" t="s">
        <v>287</v>
      </c>
      <c r="C36" s="9">
        <v>-81288</v>
      </c>
      <c r="D36" s="9">
        <v>-529039</v>
      </c>
      <c r="E36" s="9">
        <v>-394075</v>
      </c>
      <c r="F36" s="9">
        <v>-484591</v>
      </c>
      <c r="G36" s="9">
        <v>-321668</v>
      </c>
      <c r="H36" s="9">
        <v>-705397</v>
      </c>
    </row>
    <row r="37" spans="1:8" x14ac:dyDescent="0.3">
      <c r="A37" s="11" t="s">
        <v>190</v>
      </c>
      <c r="B37" s="5" t="s">
        <v>168</v>
      </c>
      <c r="C37" s="5"/>
      <c r="D37" s="5"/>
      <c r="E37" s="5"/>
      <c r="F37" s="5"/>
      <c r="G37" s="5"/>
      <c r="H37" s="5"/>
    </row>
    <row r="38" spans="1:8" x14ac:dyDescent="0.3">
      <c r="A38" s="10" t="s">
        <v>189</v>
      </c>
      <c r="B38" s="5" t="s">
        <v>188</v>
      </c>
      <c r="C38" s="9">
        <v>-5967217</v>
      </c>
      <c r="D38" s="9">
        <v>-3185167</v>
      </c>
      <c r="E38" s="9">
        <v>-6340761</v>
      </c>
      <c r="F38" s="9">
        <v>-4922123</v>
      </c>
      <c r="G38" s="9">
        <v>-13069439</v>
      </c>
      <c r="H38" s="9">
        <v>-4331560</v>
      </c>
    </row>
    <row r="39" spans="1:8" x14ac:dyDescent="0.3">
      <c r="A39" s="11" t="s">
        <v>187</v>
      </c>
      <c r="B39" s="5" t="s">
        <v>186</v>
      </c>
      <c r="C39" s="9">
        <v>-6582056</v>
      </c>
      <c r="D39" s="9">
        <v>-5894024</v>
      </c>
      <c r="E39" s="9">
        <v>-6207699</v>
      </c>
      <c r="F39" s="9">
        <v>-5526491</v>
      </c>
      <c r="G39" s="9">
        <v>-5260450</v>
      </c>
      <c r="H39" s="9">
        <v>-4238807</v>
      </c>
    </row>
    <row r="40" spans="1:8" x14ac:dyDescent="0.3">
      <c r="A40" s="11" t="s">
        <v>185</v>
      </c>
      <c r="B40" s="5" t="s">
        <v>184</v>
      </c>
      <c r="C40" s="9">
        <v>469089</v>
      </c>
      <c r="D40" s="9">
        <v>3883</v>
      </c>
      <c r="E40" s="9">
        <v>23825</v>
      </c>
      <c r="F40" s="9">
        <v>772332</v>
      </c>
      <c r="G40" s="9">
        <v>16268</v>
      </c>
      <c r="H40" s="9">
        <v>13060</v>
      </c>
    </row>
    <row r="41" spans="1:8" x14ac:dyDescent="0.3">
      <c r="A41" s="11" t="s">
        <v>183</v>
      </c>
      <c r="B41" s="5" t="s">
        <v>182</v>
      </c>
      <c r="C41" s="9">
        <v>210834</v>
      </c>
      <c r="D41" s="9">
        <v>2704974</v>
      </c>
      <c r="E41" s="9">
        <v>49762</v>
      </c>
      <c r="F41" s="9">
        <v>-167964</v>
      </c>
      <c r="G41" s="9">
        <v>-3247</v>
      </c>
      <c r="H41" s="9">
        <v>-106953</v>
      </c>
    </row>
    <row r="42" spans="1:8" x14ac:dyDescent="0.3">
      <c r="A42" s="11" t="s">
        <v>181</v>
      </c>
      <c r="B42" s="5" t="s">
        <v>180</v>
      </c>
      <c r="C42" s="5"/>
      <c r="D42" s="5"/>
      <c r="E42" s="5"/>
      <c r="F42" s="5"/>
      <c r="G42" s="9">
        <v>8</v>
      </c>
      <c r="H42" s="9">
        <v>1140</v>
      </c>
    </row>
    <row r="43" spans="1:8" x14ac:dyDescent="0.3">
      <c r="A43" s="11" t="s">
        <v>179</v>
      </c>
      <c r="B43" s="5" t="s">
        <v>178</v>
      </c>
      <c r="C43" s="9">
        <v>5760</v>
      </c>
      <c r="D43" s="5">
        <v>0</v>
      </c>
      <c r="E43" s="9">
        <v>43351</v>
      </c>
      <c r="F43" s="9">
        <v>0</v>
      </c>
      <c r="G43" s="58">
        <v>682695</v>
      </c>
      <c r="H43" s="9">
        <v>0</v>
      </c>
    </row>
    <row r="44" spans="1:8" x14ac:dyDescent="0.3">
      <c r="A44" s="11" t="s">
        <v>177</v>
      </c>
      <c r="B44" s="5" t="s">
        <v>176</v>
      </c>
      <c r="C44" s="9">
        <v>-70844</v>
      </c>
      <c r="D44" s="5">
        <v>0</v>
      </c>
      <c r="E44" s="9">
        <v>-250000</v>
      </c>
      <c r="F44" s="9">
        <v>0</v>
      </c>
      <c r="G44" s="9">
        <v>-8504713</v>
      </c>
      <c r="H44" s="9">
        <v>0</v>
      </c>
    </row>
    <row r="45" spans="1:8" x14ac:dyDescent="0.3">
      <c r="A45" s="11" t="s">
        <v>175</v>
      </c>
      <c r="B45" s="5" t="s">
        <v>174</v>
      </c>
      <c r="C45" s="5"/>
      <c r="D45" s="5"/>
      <c r="E45" s="5"/>
      <c r="F45" s="5"/>
      <c r="G45" s="5"/>
      <c r="H45" s="5"/>
    </row>
    <row r="46" spans="1:8" x14ac:dyDescent="0.3">
      <c r="A46" s="11" t="s">
        <v>173</v>
      </c>
      <c r="B46" s="5" t="s">
        <v>172</v>
      </c>
      <c r="C46" s="5"/>
      <c r="D46" s="5"/>
      <c r="E46" s="5"/>
      <c r="F46" s="5"/>
      <c r="G46" s="5"/>
      <c r="H46" s="5"/>
    </row>
    <row r="47" spans="1:8" x14ac:dyDescent="0.3">
      <c r="A47" s="11" t="s">
        <v>171</v>
      </c>
      <c r="B47" s="5" t="s">
        <v>170</v>
      </c>
      <c r="C47" s="5"/>
      <c r="D47" s="5"/>
      <c r="E47" s="5"/>
      <c r="F47" s="5"/>
      <c r="G47" s="5"/>
      <c r="H47" s="5"/>
    </row>
    <row r="48" spans="1:8" x14ac:dyDescent="0.3">
      <c r="A48" s="11" t="s">
        <v>169</v>
      </c>
      <c r="B48" s="5" t="s">
        <v>168</v>
      </c>
      <c r="C48" s="5"/>
      <c r="D48" s="5"/>
      <c r="E48" s="5"/>
      <c r="F48" s="5"/>
      <c r="G48" s="5"/>
      <c r="H48" s="5"/>
    </row>
    <row r="49" spans="1:8" x14ac:dyDescent="0.3">
      <c r="A49" s="10" t="s">
        <v>167</v>
      </c>
      <c r="B49" s="5" t="s">
        <v>166</v>
      </c>
      <c r="C49" s="9">
        <v>-5676897</v>
      </c>
      <c r="D49" s="9">
        <v>-4502008</v>
      </c>
      <c r="E49" s="9">
        <v>-2871096</v>
      </c>
      <c r="F49" s="9">
        <v>-2743001</v>
      </c>
      <c r="G49" s="9">
        <v>8844076</v>
      </c>
      <c r="H49" s="9">
        <v>-2260753</v>
      </c>
    </row>
    <row r="50" spans="1:8" x14ac:dyDescent="0.3">
      <c r="A50" s="11" t="s">
        <v>165</v>
      </c>
      <c r="B50" s="5" t="s">
        <v>164</v>
      </c>
      <c r="C50" s="9">
        <v>-3094596</v>
      </c>
      <c r="D50" s="9">
        <v>-2524301</v>
      </c>
      <c r="E50" s="9">
        <v>-3551465</v>
      </c>
      <c r="F50" s="9">
        <v>-1895660</v>
      </c>
      <c r="G50" s="9">
        <v>-5802015</v>
      </c>
      <c r="H50" s="9">
        <v>-714493</v>
      </c>
    </row>
    <row r="51" spans="1:8" x14ac:dyDescent="0.3">
      <c r="A51" s="11" t="s">
        <v>163</v>
      </c>
      <c r="B51" s="5" t="s">
        <v>162</v>
      </c>
      <c r="C51" s="9">
        <v>165636</v>
      </c>
      <c r="D51" s="9">
        <v>96726</v>
      </c>
      <c r="E51" s="9">
        <v>85159</v>
      </c>
      <c r="F51" s="9">
        <v>107116</v>
      </c>
      <c r="G51" s="9"/>
      <c r="H51" s="5"/>
    </row>
    <row r="52" spans="1:8" x14ac:dyDescent="0.3">
      <c r="A52" s="11" t="s">
        <v>161</v>
      </c>
      <c r="B52" s="5" t="s">
        <v>160</v>
      </c>
      <c r="C52" s="9">
        <v>-94419</v>
      </c>
      <c r="D52" s="9">
        <v>-71209</v>
      </c>
      <c r="E52" s="9">
        <v>-140475</v>
      </c>
      <c r="F52" s="9">
        <v>-173485</v>
      </c>
      <c r="G52" s="5"/>
      <c r="H52" s="5"/>
    </row>
    <row r="53" spans="1:8" x14ac:dyDescent="0.3">
      <c r="A53" s="11" t="s">
        <v>159</v>
      </c>
      <c r="B53" s="5" t="s">
        <v>158</v>
      </c>
      <c r="C53" s="9">
        <v>-2653518</v>
      </c>
      <c r="D53" s="9">
        <v>-2003224</v>
      </c>
      <c r="E53" s="9">
        <v>-1304161</v>
      </c>
      <c r="F53" s="9">
        <v>-1070594</v>
      </c>
      <c r="G53" s="9">
        <v>-1841896</v>
      </c>
      <c r="H53" s="9">
        <v>-1752612</v>
      </c>
    </row>
    <row r="54" spans="1:8" x14ac:dyDescent="0.3">
      <c r="A54" s="11" t="s">
        <v>157</v>
      </c>
      <c r="B54" s="5" t="s">
        <v>156</v>
      </c>
      <c r="C54" s="5"/>
      <c r="D54" s="5"/>
      <c r="E54" s="9">
        <v>2039878</v>
      </c>
      <c r="F54" s="9">
        <v>289786</v>
      </c>
      <c r="G54" s="9">
        <v>12580</v>
      </c>
      <c r="H54" s="9">
        <v>262320</v>
      </c>
    </row>
    <row r="55" spans="1:8" x14ac:dyDescent="0.3">
      <c r="A55" s="11" t="s">
        <v>155</v>
      </c>
      <c r="B55" s="5" t="s">
        <v>154</v>
      </c>
      <c r="C55" s="5"/>
      <c r="D55" s="5"/>
      <c r="E55" s="5">
        <v>-32</v>
      </c>
      <c r="F55" s="5">
        <v>0</v>
      </c>
      <c r="G55" s="5"/>
      <c r="H55" s="5"/>
    </row>
    <row r="56" spans="1:8" x14ac:dyDescent="0.3">
      <c r="A56" s="11" t="s">
        <v>153</v>
      </c>
      <c r="B56" s="5" t="s">
        <v>152</v>
      </c>
      <c r="C56" s="5"/>
      <c r="D56" s="5"/>
      <c r="E56" s="5"/>
      <c r="F56" s="5">
        <v>-164</v>
      </c>
      <c r="G56" s="5">
        <v>-143</v>
      </c>
      <c r="H56" s="5">
        <v>-198</v>
      </c>
    </row>
    <row r="57" spans="1:8" x14ac:dyDescent="0.3">
      <c r="A57" s="11" t="s">
        <v>151</v>
      </c>
      <c r="B57" s="5" t="s">
        <v>231</v>
      </c>
      <c r="C57" s="5"/>
      <c r="D57" s="5"/>
      <c r="E57" s="5"/>
      <c r="F57" s="5"/>
      <c r="G57" s="9">
        <v>16107285</v>
      </c>
      <c r="H57" s="5">
        <v>0</v>
      </c>
    </row>
    <row r="58" spans="1:8" x14ac:dyDescent="0.3">
      <c r="A58" s="11" t="s">
        <v>149</v>
      </c>
      <c r="B58" s="5" t="s">
        <v>150</v>
      </c>
      <c r="C58" s="5"/>
      <c r="D58" s="5"/>
      <c r="E58" s="5"/>
      <c r="F58" s="5"/>
      <c r="G58" s="9">
        <v>-86758</v>
      </c>
      <c r="H58" s="5">
        <v>0</v>
      </c>
    </row>
    <row r="59" spans="1:8" x14ac:dyDescent="0.3">
      <c r="A59" s="11" t="s">
        <v>230</v>
      </c>
      <c r="B59" s="5" t="s">
        <v>148</v>
      </c>
      <c r="C59" s="5"/>
      <c r="D59" s="5"/>
      <c r="E59" s="5"/>
      <c r="F59" s="5"/>
      <c r="G59" s="9">
        <v>-87805</v>
      </c>
      <c r="H59" s="5">
        <v>0</v>
      </c>
    </row>
    <row r="60" spans="1:8" x14ac:dyDescent="0.3">
      <c r="A60" s="10" t="s">
        <v>147</v>
      </c>
      <c r="B60" s="5" t="s">
        <v>146</v>
      </c>
      <c r="C60" s="5"/>
      <c r="D60" s="5"/>
      <c r="E60" s="5"/>
      <c r="F60" s="5"/>
      <c r="G60" s="5"/>
      <c r="H60" s="5"/>
    </row>
    <row r="61" spans="1:8" x14ac:dyDescent="0.3">
      <c r="A61" s="10" t="s">
        <v>145</v>
      </c>
      <c r="B61" s="5" t="s">
        <v>144</v>
      </c>
      <c r="C61" s="9">
        <v>1166928</v>
      </c>
      <c r="D61" s="9">
        <v>-336584</v>
      </c>
      <c r="E61" s="9">
        <v>465946</v>
      </c>
      <c r="F61" s="9">
        <v>457721</v>
      </c>
      <c r="G61" s="9">
        <v>1622552</v>
      </c>
      <c r="H61" s="9">
        <v>-166594</v>
      </c>
    </row>
    <row r="62" spans="1:8" x14ac:dyDescent="0.3">
      <c r="A62" s="11" t="s">
        <v>143</v>
      </c>
      <c r="B62" s="5" t="s">
        <v>142</v>
      </c>
      <c r="C62" s="9">
        <v>3381328</v>
      </c>
      <c r="D62" s="9">
        <v>4050338</v>
      </c>
      <c r="E62" s="9">
        <v>5105110</v>
      </c>
      <c r="F62" s="9">
        <v>5336845</v>
      </c>
      <c r="G62" s="9">
        <v>4692689</v>
      </c>
      <c r="H62" s="9">
        <v>6543936</v>
      </c>
    </row>
    <row r="63" spans="1:8" x14ac:dyDescent="0.3">
      <c r="A63" s="11" t="s">
        <v>141</v>
      </c>
      <c r="B63" s="5" t="s">
        <v>140</v>
      </c>
      <c r="C63" s="9">
        <v>4548256</v>
      </c>
      <c r="D63" s="9">
        <v>3713754</v>
      </c>
      <c r="E63" s="9">
        <v>5571056</v>
      </c>
      <c r="F63" s="9">
        <v>5794566</v>
      </c>
      <c r="G63" s="9">
        <v>6315241</v>
      </c>
      <c r="H63" s="9">
        <v>6377342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A31" sqref="A31"/>
    </sheetView>
  </sheetViews>
  <sheetFormatPr defaultRowHeight="14.4" x14ac:dyDescent="0.3"/>
  <cols>
    <col min="1" max="1" width="52" customWidth="1"/>
    <col min="2" max="2" width="17.44140625" customWidth="1"/>
    <col min="3" max="3" width="17.77734375" customWidth="1"/>
    <col min="4" max="4" width="18" customWidth="1"/>
    <col min="5" max="5" width="17.6640625" customWidth="1"/>
    <col min="6" max="6" width="17.44140625" customWidth="1"/>
    <col min="7" max="7" width="17.6640625" customWidth="1"/>
  </cols>
  <sheetData>
    <row r="1" spans="1:7" ht="18" x14ac:dyDescent="0.35">
      <c r="A1" s="3" t="s">
        <v>198</v>
      </c>
    </row>
    <row r="2" spans="1:7" ht="15.6" x14ac:dyDescent="0.3">
      <c r="A2" s="2" t="s">
        <v>197</v>
      </c>
    </row>
    <row r="3" spans="1:7" ht="15.6" x14ac:dyDescent="0.3">
      <c r="A3" s="2" t="s">
        <v>225</v>
      </c>
    </row>
    <row r="5" spans="1:7" ht="15" thickBot="1" x14ac:dyDescent="0.35"/>
    <row r="6" spans="1:7" ht="15" thickBot="1" x14ac:dyDescent="0.35">
      <c r="A6" s="44" t="s">
        <v>199</v>
      </c>
      <c r="B6" s="45" t="s">
        <v>34</v>
      </c>
      <c r="C6" s="45" t="s">
        <v>33</v>
      </c>
      <c r="D6" s="45" t="s">
        <v>32</v>
      </c>
      <c r="E6" s="45" t="s">
        <v>31</v>
      </c>
      <c r="F6" s="45" t="s">
        <v>30</v>
      </c>
      <c r="G6" s="45" t="s">
        <v>29</v>
      </c>
    </row>
    <row r="7" spans="1:7" ht="15" thickBot="1" x14ac:dyDescent="0.35">
      <c r="A7" s="29" t="s">
        <v>207</v>
      </c>
      <c r="B7" s="38">
        <f>BPA!C9+BPA!C10</f>
        <v>4548256</v>
      </c>
      <c r="C7" s="41">
        <f>BPA!D9+BPA!D10</f>
        <v>3381328</v>
      </c>
      <c r="D7" s="38">
        <f>BPA!E9+BPA!E10</f>
        <v>4050338</v>
      </c>
      <c r="E7" s="38">
        <f>BPA!F9+BPA!F10</f>
        <v>5105110</v>
      </c>
      <c r="F7" s="38">
        <f>BPA!G9+BPA!G10</f>
        <v>5336845</v>
      </c>
      <c r="G7" s="38">
        <f>BPA!H9+BPA!H10</f>
        <v>4692689</v>
      </c>
    </row>
    <row r="8" spans="1:7" ht="15" thickBot="1" x14ac:dyDescent="0.35">
      <c r="A8" s="29" t="s">
        <v>206</v>
      </c>
      <c r="B8" s="48">
        <f>(B20-B21)</f>
        <v>-160165</v>
      </c>
      <c r="C8" s="48">
        <f t="shared" ref="C8:G8" si="0">(C20-C21)</f>
        <v>-714990</v>
      </c>
      <c r="D8" s="38">
        <f t="shared" si="0"/>
        <v>-2147762</v>
      </c>
      <c r="E8" s="38">
        <f t="shared" si="0"/>
        <v>-2481211</v>
      </c>
      <c r="F8" s="38">
        <f t="shared" si="0"/>
        <v>-3066264</v>
      </c>
      <c r="G8" s="38">
        <f t="shared" si="0"/>
        <v>-2921809</v>
      </c>
    </row>
    <row r="9" spans="1:7" ht="15" thickBot="1" x14ac:dyDescent="0.35">
      <c r="A9" s="29" t="s">
        <v>205</v>
      </c>
      <c r="B9" s="38">
        <f>BPA!C17</f>
        <v>89962934</v>
      </c>
      <c r="C9" s="38">
        <f>BPA!D17</f>
        <v>84198326</v>
      </c>
      <c r="D9" s="38">
        <f>BPA!E17</f>
        <v>84651169</v>
      </c>
      <c r="E9" s="38">
        <f>BPA!F17</f>
        <v>83667264</v>
      </c>
      <c r="F9" s="48">
        <f>BPA!G17</f>
        <v>83775761</v>
      </c>
      <c r="G9" s="38">
        <f>BPA!H17</f>
        <v>57547920</v>
      </c>
    </row>
    <row r="10" spans="1:7" ht="15" thickBot="1" x14ac:dyDescent="0.35">
      <c r="A10" s="55" t="s">
        <v>200</v>
      </c>
      <c r="B10" s="63">
        <f>B7+B8+B9</f>
        <v>94351025</v>
      </c>
      <c r="C10" s="63">
        <f t="shared" ref="C10:G10" si="1">C7+C8+C9</f>
        <v>86864664</v>
      </c>
      <c r="D10" s="63">
        <f t="shared" si="1"/>
        <v>86553745</v>
      </c>
      <c r="E10" s="63">
        <f t="shared" si="1"/>
        <v>86291163</v>
      </c>
      <c r="F10" s="66">
        <f t="shared" si="1"/>
        <v>86046342</v>
      </c>
      <c r="G10" s="63">
        <f t="shared" si="1"/>
        <v>59318800</v>
      </c>
    </row>
    <row r="11" spans="1:7" ht="15" thickBot="1" x14ac:dyDescent="0.35">
      <c r="A11" s="44" t="s">
        <v>201</v>
      </c>
      <c r="B11" s="45" t="s">
        <v>34</v>
      </c>
      <c r="C11" s="45" t="s">
        <v>33</v>
      </c>
      <c r="D11" s="45" t="s">
        <v>32</v>
      </c>
      <c r="E11" s="45" t="s">
        <v>31</v>
      </c>
      <c r="F11" s="45" t="s">
        <v>30</v>
      </c>
      <c r="G11" s="45" t="s">
        <v>29</v>
      </c>
    </row>
    <row r="12" spans="1:7" ht="15" thickBot="1" x14ac:dyDescent="0.35">
      <c r="A12" s="29" t="s">
        <v>208</v>
      </c>
      <c r="B12" s="38">
        <f>BPP!C12</f>
        <v>2683605</v>
      </c>
      <c r="C12" s="48">
        <f>BPP!D12</f>
        <v>1464166</v>
      </c>
      <c r="D12" s="38">
        <f>BPP!E12</f>
        <v>3033441</v>
      </c>
      <c r="E12" s="38">
        <f>BPP!F12</f>
        <v>4663479</v>
      </c>
      <c r="F12" s="38">
        <f>BPP!G12</f>
        <v>2342991</v>
      </c>
      <c r="G12" s="38">
        <f>BPP!H12</f>
        <v>2264518</v>
      </c>
    </row>
    <row r="13" spans="1:7" ht="15" thickBot="1" x14ac:dyDescent="0.35">
      <c r="A13" s="29" t="s">
        <v>209</v>
      </c>
      <c r="B13" s="38">
        <f>B14+B15</f>
        <v>91667420</v>
      </c>
      <c r="C13" s="38">
        <f t="shared" ref="C13:G13" si="2">C14+C15</f>
        <v>85400498</v>
      </c>
      <c r="D13" s="38">
        <f t="shared" si="2"/>
        <v>83520304</v>
      </c>
      <c r="E13" s="38">
        <f t="shared" si="2"/>
        <v>81627684</v>
      </c>
      <c r="F13" s="48">
        <f t="shared" si="2"/>
        <v>83703351</v>
      </c>
      <c r="G13" s="38">
        <f t="shared" si="2"/>
        <v>57054282</v>
      </c>
    </row>
    <row r="14" spans="1:7" ht="15" thickBot="1" x14ac:dyDescent="0.35">
      <c r="A14" s="29" t="s">
        <v>202</v>
      </c>
      <c r="B14" s="48">
        <f>BPP!C16</f>
        <v>21055158</v>
      </c>
      <c r="C14" s="38">
        <f>BPP!D16</f>
        <v>13793471</v>
      </c>
      <c r="D14" s="38">
        <f>BPP!E16</f>
        <v>14058946</v>
      </c>
      <c r="E14" s="38">
        <f>BPP!F16</f>
        <v>12383265</v>
      </c>
      <c r="F14" s="38">
        <f>BPP!G16</f>
        <v>15136109</v>
      </c>
      <c r="G14" s="38">
        <f>BPP!H16</f>
        <v>12104187</v>
      </c>
    </row>
    <row r="15" spans="1:7" ht="15" thickBot="1" x14ac:dyDescent="0.35">
      <c r="A15" s="29" t="s">
        <v>203</v>
      </c>
      <c r="B15" s="38">
        <f>BPP!C23</f>
        <v>70612262</v>
      </c>
      <c r="C15" s="38">
        <f>BPP!D23</f>
        <v>71607027</v>
      </c>
      <c r="D15" s="38">
        <f>BPP!E23</f>
        <v>69461358</v>
      </c>
      <c r="E15" s="38">
        <f>BPP!F23</f>
        <v>69244419</v>
      </c>
      <c r="F15" s="48">
        <f>BPP!G23</f>
        <v>68567242</v>
      </c>
      <c r="G15" s="38">
        <f>BPP!H23</f>
        <v>44950095</v>
      </c>
    </row>
    <row r="16" spans="1:7" ht="15" thickBot="1" x14ac:dyDescent="0.35">
      <c r="A16" s="55" t="s">
        <v>204</v>
      </c>
      <c r="B16" s="63">
        <f>B12+B13</f>
        <v>94351025</v>
      </c>
      <c r="C16" s="63">
        <f t="shared" ref="C16:G16" si="3">C12+C13</f>
        <v>86864664</v>
      </c>
      <c r="D16" s="63">
        <f t="shared" si="3"/>
        <v>86553745</v>
      </c>
      <c r="E16" s="63">
        <f t="shared" si="3"/>
        <v>86291163</v>
      </c>
      <c r="F16" s="66">
        <f t="shared" si="3"/>
        <v>86046342</v>
      </c>
      <c r="G16" s="63">
        <f t="shared" si="3"/>
        <v>59318800</v>
      </c>
    </row>
    <row r="17" spans="1:8" x14ac:dyDescent="0.3">
      <c r="F17" s="6"/>
      <c r="G17" s="6"/>
    </row>
    <row r="19" spans="1:8" ht="15" thickBot="1" x14ac:dyDescent="0.35"/>
    <row r="20" spans="1:8" ht="15" thickBot="1" x14ac:dyDescent="0.35">
      <c r="A20" s="25" t="s">
        <v>228</v>
      </c>
      <c r="B20" s="38">
        <f>(BPA!C8-BPA!C9-BPA!C10)</f>
        <v>16172590</v>
      </c>
      <c r="C20" s="38">
        <f>(BPA!D8-BPA!D9-BPA!D10)</f>
        <v>14981664</v>
      </c>
      <c r="D20" s="38">
        <f>(BPA!E8-BPA!E9-BPA!E10)</f>
        <v>12681328</v>
      </c>
      <c r="E20" s="38">
        <f>(BPA!F8-BPA!F9-BPA!F10)</f>
        <v>13293885</v>
      </c>
      <c r="F20" s="38">
        <f>(BPA!G8-BPA!G9-BPA!G10)</f>
        <v>12572458</v>
      </c>
      <c r="G20" s="38">
        <f>(BPA!H8-BPA!H9-BPA!H10)</f>
        <v>10824679</v>
      </c>
    </row>
    <row r="21" spans="1:8" ht="15" thickBot="1" x14ac:dyDescent="0.35">
      <c r="A21" s="25" t="s">
        <v>229</v>
      </c>
      <c r="B21" s="38">
        <f>(BPP!C8-BPP!C12)</f>
        <v>16332755</v>
      </c>
      <c r="C21" s="38">
        <f>(BPP!D8-BPP!D12)</f>
        <v>15696654</v>
      </c>
      <c r="D21" s="38">
        <f>(BPP!E8-BPP!E12)</f>
        <v>14829090</v>
      </c>
      <c r="E21" s="38">
        <f>(BPP!F8-BPP!F12)</f>
        <v>15775096</v>
      </c>
      <c r="F21" s="38">
        <f>(BPP!G8-BPP!G12)</f>
        <v>15638722</v>
      </c>
      <c r="G21" s="38">
        <f>(BPP!H8-BPP!H12)</f>
        <v>13746488</v>
      </c>
      <c r="H21" s="6"/>
    </row>
    <row r="25" spans="1:8" x14ac:dyDescent="0.3">
      <c r="B25" s="1"/>
      <c r="C25" s="1"/>
      <c r="D25" s="1"/>
      <c r="E25" s="1"/>
      <c r="F25" s="1"/>
      <c r="G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A13" sqref="A13"/>
    </sheetView>
  </sheetViews>
  <sheetFormatPr defaultRowHeight="14.4" x14ac:dyDescent="0.3"/>
  <cols>
    <col min="1" max="1" width="80.44140625" customWidth="1"/>
    <col min="2" max="3" width="17.44140625" customWidth="1"/>
    <col min="4" max="5" width="17.33203125" customWidth="1"/>
    <col min="6" max="6" width="17.77734375" customWidth="1"/>
    <col min="7" max="7" width="17.6640625" customWidth="1"/>
  </cols>
  <sheetData>
    <row r="1" spans="1:8" ht="18" x14ac:dyDescent="0.35">
      <c r="A1" s="3" t="s">
        <v>198</v>
      </c>
    </row>
    <row r="2" spans="1:8" ht="15.6" x14ac:dyDescent="0.3">
      <c r="A2" s="2" t="s">
        <v>223</v>
      </c>
    </row>
    <row r="3" spans="1:8" ht="15.6" x14ac:dyDescent="0.3">
      <c r="A3" s="2" t="s">
        <v>225</v>
      </c>
    </row>
    <row r="5" spans="1:8" ht="15" thickBot="1" x14ac:dyDescent="0.35">
      <c r="A5" s="6"/>
      <c r="B5" s="6"/>
      <c r="C5" s="6"/>
      <c r="D5" s="6"/>
      <c r="E5" s="6"/>
      <c r="F5" s="6"/>
      <c r="G5" s="6"/>
    </row>
    <row r="6" spans="1:8" ht="15" thickBot="1" x14ac:dyDescent="0.35">
      <c r="A6" s="44" t="s">
        <v>210</v>
      </c>
      <c r="B6" s="45" t="s">
        <v>34</v>
      </c>
      <c r="C6" s="45" t="s">
        <v>33</v>
      </c>
      <c r="D6" s="45" t="s">
        <v>32</v>
      </c>
      <c r="E6" s="45" t="s">
        <v>31</v>
      </c>
      <c r="F6" s="45" t="s">
        <v>30</v>
      </c>
      <c r="G6" s="45" t="s">
        <v>29</v>
      </c>
    </row>
    <row r="7" spans="1:8" ht="15" thickBot="1" x14ac:dyDescent="0.35">
      <c r="A7" s="29" t="s">
        <v>211</v>
      </c>
      <c r="B7" s="38">
        <f>BG!B13-BG!B9</f>
        <v>1704486</v>
      </c>
      <c r="C7" s="48">
        <f>BG!C13-BG!C9</f>
        <v>1202172</v>
      </c>
      <c r="D7" s="38">
        <f>BG!D13-BG!D9</f>
        <v>-1130865</v>
      </c>
      <c r="E7" s="48">
        <f>BG!E13-BG!E9</f>
        <v>-2039580</v>
      </c>
      <c r="F7" s="38">
        <f>BG!F13-BG!F9</f>
        <v>-72410</v>
      </c>
      <c r="G7" s="38">
        <f>BG!G13-BG!G9</f>
        <v>-493638</v>
      </c>
      <c r="H7" s="6"/>
    </row>
    <row r="8" spans="1:8" ht="15" thickBot="1" x14ac:dyDescent="0.35">
      <c r="A8" s="29" t="s">
        <v>212</v>
      </c>
      <c r="B8" s="38">
        <f>BPA!C8-BPP!C8</f>
        <v>1704486</v>
      </c>
      <c r="C8" s="38">
        <f>BPA!D8-BPP!D8</f>
        <v>1202172</v>
      </c>
      <c r="D8" s="38">
        <f>BPA!E8-BPP!E8</f>
        <v>-1130865</v>
      </c>
      <c r="E8" s="38">
        <f>BPA!F8-BPP!F8</f>
        <v>-2039580</v>
      </c>
      <c r="F8" s="38">
        <f>BPA!G8-BPP!G8</f>
        <v>-72410</v>
      </c>
      <c r="G8" s="38">
        <f>BPA!H8-BPP!H8</f>
        <v>-493638</v>
      </c>
      <c r="H8" s="6"/>
    </row>
    <row r="9" spans="1:8" ht="15" thickBot="1" x14ac:dyDescent="0.35">
      <c r="A9" s="29"/>
      <c r="B9" s="46"/>
      <c r="C9" s="46"/>
      <c r="D9" s="46"/>
      <c r="E9" s="46"/>
      <c r="F9" s="46"/>
      <c r="G9" s="46"/>
      <c r="H9" s="6"/>
    </row>
    <row r="10" spans="1:8" ht="15" thickBot="1" x14ac:dyDescent="0.35">
      <c r="A10" s="29" t="s">
        <v>316</v>
      </c>
      <c r="B10" s="46">
        <f>BPA!C8/BPP!C8</f>
        <v>1.0896326110780401</v>
      </c>
      <c r="C10" s="46">
        <f>BPA!D8/BPP!D8</f>
        <v>1.0700532958215283</v>
      </c>
      <c r="D10" s="46">
        <f>BPA!E8/BPP!E8</f>
        <v>0.93669066270619772</v>
      </c>
      <c r="E10" s="46">
        <f>BPA!F8/BPP!F8</f>
        <v>0.90020928562778957</v>
      </c>
      <c r="F10" s="46">
        <f>BPA!G8/BPP!G8</f>
        <v>0.99597313114718267</v>
      </c>
      <c r="G10" s="46">
        <f>BPA!H8/BPP!H8</f>
        <v>0.96916883298900769</v>
      </c>
      <c r="H10" s="6"/>
    </row>
    <row r="11" spans="1:8" ht="15" thickBot="1" x14ac:dyDescent="0.35">
      <c r="A11" s="29" t="s">
        <v>317</v>
      </c>
      <c r="B11" s="46">
        <f>(BPA!C8-BPA!C12)/BPP!C8</f>
        <v>1.0543956361785325</v>
      </c>
      <c r="C11" s="46">
        <f>(BPA!D8-BPA!D12)/BPP!D8</f>
        <v>1.0431284169404493</v>
      </c>
      <c r="D11" s="46">
        <f>(BPA!E8-BPA!E12)/BPP!E8</f>
        <v>0.91716627391717331</v>
      </c>
      <c r="E11" s="46">
        <f>(BPA!F8-BPA!F12)/BPP!F8</f>
        <v>0.88012897180943384</v>
      </c>
      <c r="F11" s="46">
        <f>(BPA!G8-BPA!G12)/BPP!G8</f>
        <v>0.96240397119006404</v>
      </c>
      <c r="G11" s="46">
        <f>(BPA!H8-BPA!H12)/BPP!H8</f>
        <v>0.9392018840040407</v>
      </c>
      <c r="H11" s="6"/>
    </row>
    <row r="12" spans="1:8" ht="15" thickBot="1" x14ac:dyDescent="0.35">
      <c r="A12" s="52"/>
      <c r="B12" s="53"/>
      <c r="C12" s="53"/>
      <c r="D12" s="53"/>
      <c r="E12" s="53"/>
      <c r="F12" s="53"/>
      <c r="G12" s="53"/>
      <c r="H12" s="6"/>
    </row>
    <row r="13" spans="1:8" ht="15" thickBot="1" x14ac:dyDescent="0.35">
      <c r="A13" s="44" t="s">
        <v>213</v>
      </c>
      <c r="B13" s="45" t="s">
        <v>34</v>
      </c>
      <c r="C13" s="45" t="s">
        <v>33</v>
      </c>
      <c r="D13" s="45" t="s">
        <v>32</v>
      </c>
      <c r="E13" s="45" t="s">
        <v>31</v>
      </c>
      <c r="F13" s="45" t="s">
        <v>30</v>
      </c>
      <c r="G13" s="45" t="s">
        <v>29</v>
      </c>
      <c r="H13" s="6"/>
    </row>
    <row r="14" spans="1:8" ht="16.2" thickBot="1" x14ac:dyDescent="0.35">
      <c r="A14" s="47" t="s">
        <v>214</v>
      </c>
      <c r="B14" s="48">
        <f>BG!B8</f>
        <v>-160165</v>
      </c>
      <c r="C14" s="48">
        <f>BG!C8</f>
        <v>-714990</v>
      </c>
      <c r="D14" s="38">
        <f>BG!D8</f>
        <v>-2147762</v>
      </c>
      <c r="E14" s="38">
        <f>BG!E8</f>
        <v>-2481211</v>
      </c>
      <c r="F14" s="38">
        <f>BG!F8</f>
        <v>-3066264</v>
      </c>
      <c r="G14" s="38">
        <f>BG!G8</f>
        <v>-2921809</v>
      </c>
      <c r="H14" s="6"/>
    </row>
    <row r="15" spans="1:8" ht="15" thickBot="1" x14ac:dyDescent="0.35">
      <c r="A15" s="44" t="s">
        <v>215</v>
      </c>
      <c r="B15" s="45" t="s">
        <v>34</v>
      </c>
      <c r="C15" s="45" t="s">
        <v>33</v>
      </c>
      <c r="D15" s="45" t="s">
        <v>32</v>
      </c>
      <c r="E15" s="45" t="s">
        <v>31</v>
      </c>
      <c r="F15" s="45" t="s">
        <v>30</v>
      </c>
      <c r="G15" s="45" t="s">
        <v>29</v>
      </c>
      <c r="H15" s="6"/>
    </row>
    <row r="16" spans="1:8" ht="15" thickBot="1" x14ac:dyDescent="0.35">
      <c r="A16" s="25" t="s">
        <v>216</v>
      </c>
      <c r="B16" s="38">
        <f>BG!B13-BG!B9</f>
        <v>1704486</v>
      </c>
      <c r="C16" s="48">
        <f>BG!C13-BG!C9</f>
        <v>1202172</v>
      </c>
      <c r="D16" s="38">
        <f>BG!D13-BG!D9</f>
        <v>-1130865</v>
      </c>
      <c r="E16" s="48">
        <f>BG!E13-BG!E9</f>
        <v>-2039580</v>
      </c>
      <c r="F16" s="38">
        <f>BG!F13-BG!F9</f>
        <v>-72410</v>
      </c>
      <c r="G16" s="38">
        <f>BG!G13-BG!G9</f>
        <v>-493638</v>
      </c>
      <c r="H16" s="6"/>
    </row>
    <row r="17" spans="1:8" ht="15" thickBot="1" x14ac:dyDescent="0.35">
      <c r="A17" s="25" t="s">
        <v>217</v>
      </c>
      <c r="B17" s="49">
        <f>B16/B14</f>
        <v>-10.642062872662567</v>
      </c>
      <c r="C17" s="50">
        <f t="shared" ref="C17:G17" si="0">C16/C14</f>
        <v>-1.6813829564049847</v>
      </c>
      <c r="D17" s="50">
        <f t="shared" si="0"/>
        <v>0.52653180380321474</v>
      </c>
      <c r="E17" s="50">
        <f t="shared" si="0"/>
        <v>0.82200989758629961</v>
      </c>
      <c r="F17" s="50">
        <f t="shared" si="0"/>
        <v>2.3615057281434346E-2</v>
      </c>
      <c r="G17" s="50">
        <f t="shared" si="0"/>
        <v>0.1689494419381965</v>
      </c>
      <c r="H17" s="6"/>
    </row>
    <row r="18" spans="1:8" ht="15" thickBot="1" x14ac:dyDescent="0.35">
      <c r="A18" s="52"/>
      <c r="B18" s="53"/>
      <c r="C18" s="53"/>
      <c r="D18" s="53"/>
      <c r="E18" s="53"/>
      <c r="F18" s="53"/>
      <c r="G18" s="53"/>
      <c r="H18" s="6"/>
    </row>
    <row r="19" spans="1:8" ht="15" thickBot="1" x14ac:dyDescent="0.35">
      <c r="A19" s="44" t="s">
        <v>218</v>
      </c>
      <c r="B19" s="45" t="s">
        <v>34</v>
      </c>
      <c r="C19" s="45" t="s">
        <v>33</v>
      </c>
      <c r="D19" s="45" t="s">
        <v>32</v>
      </c>
      <c r="E19" s="45" t="s">
        <v>31</v>
      </c>
      <c r="F19" s="45" t="s">
        <v>30</v>
      </c>
      <c r="G19" s="45" t="s">
        <v>29</v>
      </c>
      <c r="H19" s="6"/>
    </row>
    <row r="20" spans="1:8" ht="15" thickBot="1" x14ac:dyDescent="0.35">
      <c r="A20" s="25" t="s">
        <v>219</v>
      </c>
      <c r="B20" s="50">
        <f>B14/DRE!C8</f>
        <v>-4.8695223991645697E-3</v>
      </c>
      <c r="C20" s="50">
        <f>C14/DRE!D8</f>
        <v>-2.2083090969307131E-2</v>
      </c>
      <c r="D20" s="50">
        <f>D14/DRE!E8</f>
        <v>-6.6756053437117963E-2</v>
      </c>
      <c r="E20" s="50">
        <f>E14/DRE!F8</f>
        <v>-7.843293511166971E-2</v>
      </c>
      <c r="F20" s="50">
        <f>F14/DRE!G8</f>
        <v>-0.10384968385303209</v>
      </c>
      <c r="G20" s="50">
        <f>G14/DRE!H8</f>
        <v>-0.11258321424048044</v>
      </c>
      <c r="H20" s="6"/>
    </row>
    <row r="21" spans="1:8" ht="15" thickBot="1" x14ac:dyDescent="0.35">
      <c r="A21" s="25" t="s">
        <v>220</v>
      </c>
      <c r="B21" s="46">
        <f>(-DRE!C9)/ BPA!C12</f>
        <v>24.402925625187478</v>
      </c>
      <c r="C21" s="46">
        <f>(-DRE!D9)/ BPA!D12</f>
        <v>33.38784295308114</v>
      </c>
      <c r="D21" s="46">
        <f>(-DRE!E9)/ BPA!E12</f>
        <v>43.504887385127098</v>
      </c>
      <c r="E21" s="46">
        <f>(-DRE!F9)/ BPA!F12</f>
        <v>38.814250523253406</v>
      </c>
      <c r="F21" s="46">
        <f>(-DRE!G9)/ BPA!G12</f>
        <v>24.828198021639047</v>
      </c>
      <c r="G21" s="46">
        <f>(-DRE!H9)/ BPA!H12</f>
        <v>26.690309107317407</v>
      </c>
      <c r="H21" s="6"/>
    </row>
    <row r="22" spans="1:8" ht="15" thickBot="1" x14ac:dyDescent="0.35">
      <c r="A22" s="25" t="s">
        <v>221</v>
      </c>
      <c r="B22" s="51">
        <f>BPA!C12*365/(-DRE!C9)</f>
        <v>14.957222982447043</v>
      </c>
      <c r="C22" s="51">
        <f>BPA!D12*365/(-DRE!D9)</f>
        <v>10.932122824254407</v>
      </c>
      <c r="D22" s="51">
        <f>BPA!E12*365/(-DRE!E9)</f>
        <v>8.3898619658255136</v>
      </c>
      <c r="E22" s="51">
        <f>BPA!F12*365/(-DRE!F9)</f>
        <v>9.4037626665322449</v>
      </c>
      <c r="F22" s="51">
        <f>BPA!G12*365/(-DRE!G9)</f>
        <v>14.70102661827829</v>
      </c>
      <c r="G22" s="51">
        <f>BPA!H12*365/(-DRE!H9)</f>
        <v>13.675375527963881</v>
      </c>
      <c r="H22" s="6"/>
    </row>
    <row r="23" spans="1:8" ht="15" thickBot="1" x14ac:dyDescent="0.35">
      <c r="A23" s="25" t="s">
        <v>318</v>
      </c>
      <c r="B23" s="51">
        <f>BPA!C11/(DRE!C8/365)</f>
        <v>99.106241294814723</v>
      </c>
      <c r="C23" s="51">
        <f>BPA!D11/(DRE!D8/365)</f>
        <v>93.61815472902417</v>
      </c>
      <c r="D23" s="51">
        <f>BPA!E11/(DRE!E8/365)</f>
        <v>97.434545709528265</v>
      </c>
      <c r="E23" s="51">
        <f>BPA!F11/(DRE!F8/365)</f>
        <v>100.39940559149872</v>
      </c>
      <c r="F23" s="51">
        <f>BPA!G11/(DRE!G8/365)</f>
        <v>102.42305683776895</v>
      </c>
      <c r="G23" s="51">
        <f>BPA!H11/(DRE!H8/365)</f>
        <v>94.568462910171945</v>
      </c>
      <c r="H23" s="6"/>
    </row>
    <row r="24" spans="1:8" ht="15" thickBot="1" x14ac:dyDescent="0.35">
      <c r="A24" s="25" t="s">
        <v>319</v>
      </c>
      <c r="B24" s="51">
        <f>BPP!C10/(Liquidez!B27/365)</f>
        <v>156.310562965484</v>
      </c>
      <c r="C24" s="51">
        <f>BPP!D10/(Liquidez!C27/365)</f>
        <v>179.50903302655794</v>
      </c>
      <c r="D24" s="51">
        <f>BPP!E10/(Liquidez!D27/365)</f>
        <v>179.88296386797629</v>
      </c>
      <c r="E24" s="51">
        <f>BPP!F10/(Liquidez!E27/365)</f>
        <v>176.53718595216074</v>
      </c>
      <c r="F24" s="51">
        <f>BPP!G10/(Liquidez!F27/365)</f>
        <v>202.25339159150019</v>
      </c>
      <c r="G24" s="51">
        <f>BPP!H10/(Liquidez!G27/365)</f>
        <v>209.92538935067552</v>
      </c>
      <c r="H24" s="6"/>
    </row>
    <row r="25" spans="1:8" ht="15" thickBot="1" x14ac:dyDescent="0.35">
      <c r="A25" s="25" t="s">
        <v>222</v>
      </c>
      <c r="B25" s="51">
        <f>B22+B23-B24</f>
        <v>-42.247098688222223</v>
      </c>
      <c r="C25" s="51">
        <f t="shared" ref="C25:G25" si="1">C22+C23-C24</f>
        <v>-74.958755473279368</v>
      </c>
      <c r="D25" s="51">
        <f t="shared" si="1"/>
        <v>-74.058556192622504</v>
      </c>
      <c r="E25" s="51">
        <f t="shared" si="1"/>
        <v>-66.734017694129776</v>
      </c>
      <c r="F25" s="51">
        <f t="shared" si="1"/>
        <v>-85.129308135452945</v>
      </c>
      <c r="G25" s="51">
        <f t="shared" si="1"/>
        <v>-101.68155091253969</v>
      </c>
      <c r="H25" s="6"/>
    </row>
    <row r="26" spans="1:8" ht="15" thickBot="1" x14ac:dyDescent="0.35">
      <c r="A26" s="52"/>
      <c r="B26" s="54"/>
      <c r="C26" s="54"/>
      <c r="D26" s="54"/>
      <c r="E26" s="54"/>
      <c r="F26" s="54"/>
      <c r="G26" s="54"/>
      <c r="H26" s="6"/>
    </row>
    <row r="27" spans="1:8" ht="15" thickBot="1" x14ac:dyDescent="0.35">
      <c r="A27" s="25" t="s">
        <v>320</v>
      </c>
      <c r="B27" s="38">
        <f>(-DRE!C9)+(BPA!C12-BPA!D12)</f>
        <v>16559914</v>
      </c>
      <c r="C27" s="38">
        <f>(-DRE!D9)+(BPA!D12-BPA!E12)</f>
        <v>15540251</v>
      </c>
      <c r="D27" s="38">
        <f>(-DRE!E9)+(BPA!E12-BPA!F12)</f>
        <v>15110889</v>
      </c>
      <c r="E27" s="38">
        <f>(-DRE!F9)+(BPA!F12-BPA!G12)</f>
        <v>15736655</v>
      </c>
      <c r="F27" s="38">
        <f>(-DRE!G9)+(BPA!G12-BPA!H12)</f>
        <v>15110900</v>
      </c>
      <c r="G27" s="38">
        <f>(-DRE!H9)+(BPA!H12-BPA!I12)</f>
        <v>13285838</v>
      </c>
      <c r="H27" s="6"/>
    </row>
    <row r="28" spans="1:8" x14ac:dyDescent="0.3">
      <c r="A28" s="56"/>
      <c r="B28" s="57"/>
      <c r="C28" s="57"/>
      <c r="D28" s="57"/>
      <c r="E28" s="57"/>
      <c r="F28" s="57"/>
      <c r="G28" s="57"/>
      <c r="H28" s="6"/>
    </row>
    <row r="29" spans="1:8" x14ac:dyDescent="0.3">
      <c r="A29" s="6"/>
      <c r="B29" s="6"/>
      <c r="C29" s="6"/>
      <c r="D29" s="6"/>
      <c r="E29" s="6"/>
      <c r="F29" s="6"/>
      <c r="G29" s="6"/>
      <c r="H29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B17" sqref="B17"/>
    </sheetView>
  </sheetViews>
  <sheetFormatPr defaultRowHeight="14.4" x14ac:dyDescent="0.3"/>
  <cols>
    <col min="1" max="1" width="53.33203125" customWidth="1"/>
    <col min="2" max="2" width="18" customWidth="1"/>
    <col min="3" max="3" width="17.77734375" customWidth="1"/>
    <col min="4" max="4" width="17.88671875" customWidth="1"/>
    <col min="5" max="5" width="17.77734375" customWidth="1"/>
    <col min="6" max="7" width="17.6640625" customWidth="1"/>
  </cols>
  <sheetData>
    <row r="1" spans="1:7" ht="18" x14ac:dyDescent="0.35">
      <c r="A1" s="3" t="s">
        <v>198</v>
      </c>
    </row>
    <row r="2" spans="1:7" ht="15.6" x14ac:dyDescent="0.3">
      <c r="A2" s="2" t="s">
        <v>288</v>
      </c>
    </row>
    <row r="3" spans="1:7" ht="15.6" x14ac:dyDescent="0.3">
      <c r="A3" s="2" t="s">
        <v>225</v>
      </c>
    </row>
    <row r="6" spans="1:7" ht="15" thickBot="1" x14ac:dyDescent="0.35">
      <c r="A6" s="21"/>
      <c r="B6" s="21"/>
      <c r="C6" s="21"/>
      <c r="D6" s="21"/>
      <c r="E6" s="21"/>
      <c r="F6" s="21"/>
      <c r="G6" s="21"/>
    </row>
    <row r="7" spans="1:7" ht="15.6" x14ac:dyDescent="0.3">
      <c r="A7" s="20" t="s">
        <v>245</v>
      </c>
      <c r="B7" s="13">
        <v>43466</v>
      </c>
      <c r="C7" s="13">
        <v>43101</v>
      </c>
      <c r="D7" s="13">
        <v>42736</v>
      </c>
      <c r="E7" s="13">
        <v>42370</v>
      </c>
      <c r="F7" s="13">
        <v>42005</v>
      </c>
      <c r="G7" s="19">
        <v>41640</v>
      </c>
    </row>
    <row r="8" spans="1:7" ht="15" thickBot="1" x14ac:dyDescent="0.35">
      <c r="A8" s="18"/>
      <c r="B8" s="13">
        <v>43738</v>
      </c>
      <c r="C8" s="13">
        <v>43373</v>
      </c>
      <c r="D8" s="13">
        <v>43008</v>
      </c>
      <c r="E8" s="13">
        <v>42643</v>
      </c>
      <c r="F8" s="13">
        <v>42277</v>
      </c>
      <c r="G8" s="17">
        <v>41912</v>
      </c>
    </row>
    <row r="9" spans="1:7" ht="15" thickBot="1" x14ac:dyDescent="0.35">
      <c r="A9" s="15" t="s">
        <v>244</v>
      </c>
      <c r="B9" s="23">
        <f>DRE!C18</f>
        <v>5235358</v>
      </c>
      <c r="C9" s="23">
        <f>DRE!D18</f>
        <v>7727728</v>
      </c>
      <c r="D9" s="23">
        <f>DRE!E18</f>
        <v>4857786</v>
      </c>
      <c r="E9" s="23">
        <f>DRE!F18</f>
        <v>4560968</v>
      </c>
      <c r="F9" s="23">
        <f>DRE!G18</f>
        <v>3753782</v>
      </c>
      <c r="G9" s="23">
        <f>DRE!H18</f>
        <v>3719405</v>
      </c>
    </row>
    <row r="10" spans="1:7" ht="15" thickBot="1" x14ac:dyDescent="0.35">
      <c r="A10" s="16" t="s">
        <v>243</v>
      </c>
      <c r="B10" s="22">
        <f>34%*B9</f>
        <v>1780021.7200000002</v>
      </c>
      <c r="C10" s="68">
        <f t="shared" ref="C10:G10" si="0">34%*C9</f>
        <v>2627427.52</v>
      </c>
      <c r="D10" s="22">
        <f t="shared" si="0"/>
        <v>1651647.2400000002</v>
      </c>
      <c r="E10" s="22">
        <f t="shared" si="0"/>
        <v>1550729.12</v>
      </c>
      <c r="F10" s="22">
        <f t="shared" si="0"/>
        <v>1276285.8800000001</v>
      </c>
      <c r="G10" s="22">
        <f t="shared" si="0"/>
        <v>1264597.7000000002</v>
      </c>
    </row>
    <row r="11" spans="1:7" ht="15" thickBot="1" x14ac:dyDescent="0.35">
      <c r="A11" s="15" t="s">
        <v>242</v>
      </c>
      <c r="B11" s="23">
        <f>B9-B10</f>
        <v>3455336.28</v>
      </c>
      <c r="C11" s="23">
        <f t="shared" ref="C11:G11" si="1">C9-C10</f>
        <v>5100300.4800000004</v>
      </c>
      <c r="D11" s="23">
        <f t="shared" si="1"/>
        <v>3206138.76</v>
      </c>
      <c r="E11" s="23">
        <f t="shared" si="1"/>
        <v>3010238.88</v>
      </c>
      <c r="F11" s="23">
        <f t="shared" si="1"/>
        <v>2477496.12</v>
      </c>
      <c r="G11" s="23">
        <f t="shared" si="1"/>
        <v>2454807.2999999998</v>
      </c>
    </row>
    <row r="12" spans="1:7" ht="15" thickBot="1" x14ac:dyDescent="0.35">
      <c r="A12" s="16" t="s">
        <v>241</v>
      </c>
      <c r="B12" s="68">
        <f>DFC!C12</f>
        <v>7930536</v>
      </c>
      <c r="C12" s="22">
        <f>DFC!D12</f>
        <v>6045916</v>
      </c>
      <c r="D12" s="22">
        <f>DFC!E12</f>
        <v>5862808</v>
      </c>
      <c r="E12" s="22">
        <f>DFC!F12</f>
        <v>5839148</v>
      </c>
      <c r="F12" s="22">
        <f>DFC!G12</f>
        <v>4944926</v>
      </c>
      <c r="G12" s="22">
        <f>DFC!H12</f>
        <v>3942954</v>
      </c>
    </row>
    <row r="13" spans="1:7" ht="15" thickBot="1" x14ac:dyDescent="0.35">
      <c r="A13" s="16" t="s">
        <v>240</v>
      </c>
      <c r="B13" s="22">
        <f>BG!B8-BG!C8</f>
        <v>554825</v>
      </c>
      <c r="C13" s="68">
        <f>BG!C8-BG!D8</f>
        <v>1432772</v>
      </c>
      <c r="D13" s="22">
        <f>BG!D8-BG!E8</f>
        <v>333449</v>
      </c>
      <c r="E13" s="22">
        <f>BG!E8-BG!F8</f>
        <v>585053</v>
      </c>
      <c r="F13" s="68">
        <f>BG!F8-BG!G8</f>
        <v>-144455</v>
      </c>
      <c r="G13" s="68">
        <f>BG!G8-BG!H8</f>
        <v>-2921809</v>
      </c>
    </row>
    <row r="14" spans="1:7" ht="15" thickBot="1" x14ac:dyDescent="0.35">
      <c r="A14" s="16" t="s">
        <v>239</v>
      </c>
      <c r="B14" s="22">
        <f>-SUM(DFC!C39:C47)</f>
        <v>5967217</v>
      </c>
      <c r="C14" s="68">
        <f>-SUM(DFC!D39:D47)</f>
        <v>3185167</v>
      </c>
      <c r="D14" s="22">
        <f>-SUM(DFC!E39:E47)</f>
        <v>6340761</v>
      </c>
      <c r="E14" s="22">
        <f>-SUM(DFC!F39:F47)</f>
        <v>4922123</v>
      </c>
      <c r="F14" s="68">
        <f>-SUM(DFC!G39:G47)</f>
        <v>13069439</v>
      </c>
      <c r="G14" s="22">
        <f>-SUM(DFC!H39:H47)</f>
        <v>4331560</v>
      </c>
    </row>
    <row r="15" spans="1:7" ht="15" thickBot="1" x14ac:dyDescent="0.35">
      <c r="A15" s="15" t="s">
        <v>238</v>
      </c>
      <c r="B15" s="23">
        <f>B11+B12-B13-B14</f>
        <v>4863830.2799999993</v>
      </c>
      <c r="C15" s="67">
        <f t="shared" ref="C15:G15" si="2">C11+C12-C13-C14</f>
        <v>6528277.4800000004</v>
      </c>
      <c r="D15" s="23">
        <f t="shared" si="2"/>
        <v>2394736.7599999998</v>
      </c>
      <c r="E15" s="23">
        <f t="shared" si="2"/>
        <v>3342210.879999999</v>
      </c>
      <c r="F15" s="67">
        <f t="shared" si="2"/>
        <v>-5502561.8799999999</v>
      </c>
      <c r="G15" s="23">
        <f t="shared" si="2"/>
        <v>4988010.3000000007</v>
      </c>
    </row>
    <row r="16" spans="1:7" x14ac:dyDescent="0.3">
      <c r="C16" s="1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4:G1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topLeftCell="A4" workbookViewId="0">
      <selection activeCell="I26" sqref="I26"/>
    </sheetView>
  </sheetViews>
  <sheetFormatPr defaultRowHeight="14.4" x14ac:dyDescent="0.3"/>
  <cols>
    <col min="1" max="1" width="76.6640625" customWidth="1"/>
    <col min="2" max="2" width="17.5546875" customWidth="1"/>
    <col min="3" max="3" width="17.88671875" customWidth="1"/>
    <col min="4" max="5" width="17.77734375" customWidth="1"/>
    <col min="6" max="6" width="18" customWidth="1"/>
    <col min="7" max="7" width="17.5546875" customWidth="1"/>
  </cols>
  <sheetData>
    <row r="1" spans="1:7" ht="18" x14ac:dyDescent="0.35">
      <c r="A1" s="3" t="s">
        <v>198</v>
      </c>
    </row>
    <row r="2" spans="1:7" ht="15.6" x14ac:dyDescent="0.3">
      <c r="A2" s="2" t="s">
        <v>291</v>
      </c>
    </row>
    <row r="3" spans="1:7" ht="15.6" x14ac:dyDescent="0.3">
      <c r="A3" s="2" t="s">
        <v>225</v>
      </c>
    </row>
    <row r="7" spans="1:7" x14ac:dyDescent="0.3">
      <c r="A7" s="72" t="s">
        <v>290</v>
      </c>
      <c r="B7" s="72"/>
      <c r="C7" s="72"/>
      <c r="D7" s="72"/>
      <c r="E7" s="72"/>
      <c r="F7" s="72"/>
      <c r="G7" s="72"/>
    </row>
    <row r="8" spans="1:7" ht="15" thickBot="1" x14ac:dyDescent="0.35">
      <c r="A8" s="24" t="s">
        <v>292</v>
      </c>
      <c r="B8" s="33" t="s">
        <v>34</v>
      </c>
      <c r="C8" s="4" t="s">
        <v>33</v>
      </c>
      <c r="D8" s="35" t="s">
        <v>32</v>
      </c>
      <c r="E8" s="35" t="s">
        <v>31</v>
      </c>
      <c r="F8" s="33" t="s">
        <v>30</v>
      </c>
      <c r="G8" s="33" t="s">
        <v>29</v>
      </c>
    </row>
    <row r="9" spans="1:7" ht="15" thickBot="1" x14ac:dyDescent="0.35">
      <c r="A9" s="29" t="s">
        <v>314</v>
      </c>
      <c r="B9" s="38">
        <f>DRE!C30</f>
        <v>3726760</v>
      </c>
      <c r="C9" s="41">
        <f>DRE!D30</f>
        <v>7441580</v>
      </c>
      <c r="D9" s="38">
        <f>DRE!E30</f>
        <v>3091835</v>
      </c>
      <c r="E9" s="38">
        <f>DRE!F30</f>
        <v>2870416</v>
      </c>
      <c r="F9" s="38">
        <f>DRE!G30</f>
        <v>2335700</v>
      </c>
      <c r="G9" s="38">
        <f>DRE!H30</f>
        <v>3675748</v>
      </c>
    </row>
    <row r="10" spans="1:7" ht="15" thickBot="1" x14ac:dyDescent="0.35">
      <c r="A10" s="29" t="s">
        <v>315</v>
      </c>
      <c r="B10" s="38">
        <f>BPP!C23</f>
        <v>70612262</v>
      </c>
      <c r="C10" s="38">
        <f>BPP!D23</f>
        <v>71607027</v>
      </c>
      <c r="D10" s="38">
        <f>BPP!E23</f>
        <v>69461358</v>
      </c>
      <c r="E10" s="38">
        <f>BPP!F23</f>
        <v>69244419</v>
      </c>
      <c r="F10" s="48">
        <f>BPP!G23</f>
        <v>68567242</v>
      </c>
      <c r="G10" s="38">
        <f>BPP!H23</f>
        <v>44950095</v>
      </c>
    </row>
    <row r="11" spans="1:7" ht="15" thickBot="1" x14ac:dyDescent="0.35">
      <c r="A11" s="30" t="s">
        <v>293</v>
      </c>
      <c r="B11" s="64">
        <f>B9/B10</f>
        <v>5.2777802246301075E-2</v>
      </c>
      <c r="C11" s="65">
        <f t="shared" ref="C11:G11" si="0">C9/C10</f>
        <v>0.10392248235637544</v>
      </c>
      <c r="D11" s="61">
        <f t="shared" si="0"/>
        <v>4.4511582972506812E-2</v>
      </c>
      <c r="E11" s="61">
        <f t="shared" si="0"/>
        <v>4.1453391355626798E-2</v>
      </c>
      <c r="F11" s="65">
        <f t="shared" si="0"/>
        <v>3.4064371438477868E-2</v>
      </c>
      <c r="G11" s="61">
        <f t="shared" si="0"/>
        <v>8.1773976228526321E-2</v>
      </c>
    </row>
    <row r="12" spans="1:7" x14ac:dyDescent="0.3">
      <c r="B12" s="40"/>
      <c r="C12" s="6"/>
      <c r="D12" s="6"/>
      <c r="E12" s="6"/>
      <c r="F12" s="6"/>
      <c r="G12" s="6"/>
    </row>
    <row r="14" spans="1:7" x14ac:dyDescent="0.3">
      <c r="A14" s="72" t="s">
        <v>298</v>
      </c>
      <c r="B14" s="72"/>
      <c r="C14" s="72"/>
      <c r="D14" s="72"/>
      <c r="E14" s="72"/>
      <c r="F14" s="72"/>
      <c r="G14" s="72"/>
    </row>
    <row r="15" spans="1:7" ht="15" thickBot="1" x14ac:dyDescent="0.35">
      <c r="A15" s="34" t="s">
        <v>294</v>
      </c>
      <c r="B15" s="4" t="s">
        <v>34</v>
      </c>
      <c r="C15" s="33" t="s">
        <v>33</v>
      </c>
      <c r="D15" s="4" t="s">
        <v>32</v>
      </c>
      <c r="E15" s="35" t="s">
        <v>31</v>
      </c>
      <c r="F15" s="35" t="s">
        <v>30</v>
      </c>
      <c r="G15" s="33" t="s">
        <v>29</v>
      </c>
    </row>
    <row r="16" spans="1:7" ht="15" thickBot="1" x14ac:dyDescent="0.35">
      <c r="A16" s="29" t="s">
        <v>295</v>
      </c>
      <c r="B16" s="43">
        <f>FCF!B9</f>
        <v>5235358</v>
      </c>
      <c r="C16" s="69">
        <f>FCF!C9</f>
        <v>7727728</v>
      </c>
      <c r="D16" s="43">
        <f>FCF!D9</f>
        <v>4857786</v>
      </c>
      <c r="E16" s="43">
        <f>FCF!E9</f>
        <v>4560968</v>
      </c>
      <c r="F16" s="43">
        <f>FCF!F9</f>
        <v>3753782</v>
      </c>
      <c r="G16" s="43">
        <f>FCF!G9</f>
        <v>3719405</v>
      </c>
    </row>
    <row r="17" spans="1:8" ht="15" thickBot="1" x14ac:dyDescent="0.35">
      <c r="A17" s="29" t="s">
        <v>296</v>
      </c>
      <c r="B17" s="38">
        <f>BG!B10</f>
        <v>94351025</v>
      </c>
      <c r="C17" s="38">
        <f>BG!C10</f>
        <v>86864664</v>
      </c>
      <c r="D17" s="38">
        <f>BG!D10</f>
        <v>86553745</v>
      </c>
      <c r="E17" s="38">
        <f>BG!E10</f>
        <v>86291163</v>
      </c>
      <c r="F17" s="48">
        <f>BG!F10</f>
        <v>86046342</v>
      </c>
      <c r="G17" s="38">
        <f>BG!G10</f>
        <v>59318800</v>
      </c>
    </row>
    <row r="18" spans="1:8" ht="15" thickBot="1" x14ac:dyDescent="0.35">
      <c r="A18" s="25" t="s">
        <v>299</v>
      </c>
      <c r="B18" s="61">
        <f>B16/B17</f>
        <v>5.5488088232215814E-2</v>
      </c>
      <c r="C18" s="61">
        <f t="shared" ref="C18:G18" si="1">C16/C17</f>
        <v>8.8962849151180731E-2</v>
      </c>
      <c r="D18" s="61">
        <f t="shared" si="1"/>
        <v>5.6124503913724359E-2</v>
      </c>
      <c r="E18" s="61">
        <f t="shared" si="1"/>
        <v>5.2855562973464616E-2</v>
      </c>
      <c r="F18" s="61">
        <f t="shared" si="1"/>
        <v>4.3625120054493427E-2</v>
      </c>
      <c r="G18" s="61">
        <f t="shared" si="1"/>
        <v>6.2701959581110883E-2</v>
      </c>
    </row>
    <row r="21" spans="1:8" x14ac:dyDescent="0.3">
      <c r="A21" s="72" t="s">
        <v>297</v>
      </c>
      <c r="B21" s="72"/>
      <c r="C21" s="72"/>
      <c r="D21" s="72"/>
      <c r="E21" s="72"/>
      <c r="F21" s="72"/>
      <c r="G21" s="72"/>
    </row>
    <row r="22" spans="1:8" ht="15" thickBot="1" x14ac:dyDescent="0.35">
      <c r="A22" s="24" t="s">
        <v>300</v>
      </c>
      <c r="B22" s="33" t="s">
        <v>34</v>
      </c>
      <c r="C22" s="4" t="s">
        <v>33</v>
      </c>
      <c r="D22" s="33" t="s">
        <v>32</v>
      </c>
      <c r="E22" s="32" t="s">
        <v>31</v>
      </c>
      <c r="F22" s="32" t="s">
        <v>30</v>
      </c>
      <c r="G22" s="4" t="s">
        <v>29</v>
      </c>
      <c r="H22" s="27"/>
    </row>
    <row r="23" spans="1:8" ht="15" thickBot="1" x14ac:dyDescent="0.35">
      <c r="A23" s="29" t="s">
        <v>301</v>
      </c>
      <c r="B23" s="39">
        <f>DRE!C18/DRE!C8</f>
        <v>0.15917143601064793</v>
      </c>
      <c r="C23" s="42">
        <f>DRE!D18/DRE!D8</f>
        <v>0.23867763242851209</v>
      </c>
      <c r="D23" s="39">
        <f>DRE!E18/DRE!E8</f>
        <v>0.15098815502000851</v>
      </c>
      <c r="E23" s="39">
        <f>DRE!F18/DRE!F8</f>
        <v>0.14417560908379093</v>
      </c>
      <c r="F23" s="39">
        <f>DRE!G18/DRE!G8</f>
        <v>0.12713486965023316</v>
      </c>
      <c r="G23" s="39">
        <f>DRE!H18/DRE!H8</f>
        <v>0.1433162023808244</v>
      </c>
    </row>
    <row r="24" spans="1:8" ht="15" thickBot="1" x14ac:dyDescent="0.35">
      <c r="A24" s="31" t="s">
        <v>302</v>
      </c>
      <c r="B24" s="59">
        <f>DRE!C8/BG!B10</f>
        <v>0.34860581535812674</v>
      </c>
      <c r="C24" s="59">
        <f>DRE!D8/BG!C10</f>
        <v>0.37273224242253444</v>
      </c>
      <c r="D24" s="59">
        <f>DRE!E8/BG!D10</f>
        <v>0.37171461500597114</v>
      </c>
      <c r="E24" s="59">
        <f>DRE!F8/BG!E10</f>
        <v>0.36660544255267485</v>
      </c>
      <c r="F24" s="59">
        <f>DRE!G8/BG!F10</f>
        <v>0.34314047888287919</v>
      </c>
      <c r="G24" s="59">
        <f>DRE!H8/BG!G10</f>
        <v>0.43750782214070411</v>
      </c>
    </row>
    <row r="25" spans="1:8" ht="15" thickBot="1" x14ac:dyDescent="0.35">
      <c r="A25" s="25" t="s">
        <v>299</v>
      </c>
      <c r="B25" s="61">
        <f>B24*B23</f>
        <v>5.5488088232215814E-2</v>
      </c>
      <c r="C25" s="65">
        <f t="shared" ref="C25:G25" si="2">C24*C23</f>
        <v>8.8962849151180731E-2</v>
      </c>
      <c r="D25" s="61">
        <f t="shared" si="2"/>
        <v>5.6124503913724352E-2</v>
      </c>
      <c r="E25" s="61">
        <f t="shared" si="2"/>
        <v>5.2855562973464623E-2</v>
      </c>
      <c r="F25" s="61">
        <f t="shared" si="2"/>
        <v>4.3625120054493427E-2</v>
      </c>
      <c r="G25" s="61">
        <f t="shared" si="2"/>
        <v>6.2701959581110883E-2</v>
      </c>
    </row>
    <row r="26" spans="1:8" x14ac:dyDescent="0.3">
      <c r="A26" s="27"/>
      <c r="B26" s="26"/>
      <c r="C26" s="26"/>
      <c r="D26" s="26"/>
      <c r="E26" s="6"/>
      <c r="F26" s="26"/>
      <c r="G26" s="26"/>
      <c r="H26" s="6"/>
    </row>
    <row r="27" spans="1:8" x14ac:dyDescent="0.3">
      <c r="A27" s="6"/>
      <c r="B27" s="6"/>
      <c r="C27" s="6"/>
      <c r="D27" s="6"/>
      <c r="E27" s="6"/>
      <c r="F27" s="6"/>
      <c r="G27" s="6"/>
    </row>
    <row r="28" spans="1:8" x14ac:dyDescent="0.3">
      <c r="A28" s="72" t="s">
        <v>303</v>
      </c>
      <c r="B28" s="72"/>
      <c r="C28" s="72"/>
      <c r="D28" s="72"/>
      <c r="E28" s="72"/>
      <c r="F28" s="72"/>
      <c r="G28" s="72"/>
    </row>
    <row r="29" spans="1:8" ht="15" thickBot="1" x14ac:dyDescent="0.35">
      <c r="A29" s="36" t="s">
        <v>304</v>
      </c>
      <c r="B29" s="33" t="s">
        <v>34</v>
      </c>
      <c r="C29" s="33" t="s">
        <v>33</v>
      </c>
      <c r="D29" s="33" t="s">
        <v>32</v>
      </c>
      <c r="E29" s="33" t="s">
        <v>31</v>
      </c>
      <c r="F29" s="33" t="s">
        <v>30</v>
      </c>
      <c r="G29" s="33" t="s">
        <v>29</v>
      </c>
    </row>
    <row r="30" spans="1:8" ht="15" thickBot="1" x14ac:dyDescent="0.35">
      <c r="A30" s="37" t="s">
        <v>299</v>
      </c>
      <c r="B30" s="96">
        <v>5.5488088232215814E-2</v>
      </c>
      <c r="C30" s="96">
        <v>8.8962849151180731E-2</v>
      </c>
      <c r="D30" s="96">
        <v>5.6124503913724352E-2</v>
      </c>
      <c r="E30" s="96">
        <v>5.2855562973464623E-2</v>
      </c>
      <c r="F30" s="96">
        <v>4.3625120054493427E-2</v>
      </c>
      <c r="G30" s="96">
        <v>6.2701959581110883E-2</v>
      </c>
    </row>
    <row r="31" spans="1:8" ht="15" thickBot="1" x14ac:dyDescent="0.35">
      <c r="A31" s="29" t="s">
        <v>308</v>
      </c>
      <c r="B31" s="60">
        <f>DRE!C22/DRE!C18</f>
        <v>0.87842951714094819</v>
      </c>
      <c r="C31" s="70">
        <f>DRE!D22/DRE!D18</f>
        <v>1.2526086580687106</v>
      </c>
      <c r="D31" s="60">
        <f>DRE!E22/DRE!E18</f>
        <v>0.85072006053786642</v>
      </c>
      <c r="E31" s="60">
        <f>DRE!F22/DRE!F18</f>
        <v>0.79846602738716865</v>
      </c>
      <c r="F31" s="60">
        <f>DRE!G22/DRE!G18</f>
        <v>0.82739567721300811</v>
      </c>
      <c r="G31" s="60">
        <f>DRE!H22/DRE!H18</f>
        <v>0.92558756037592038</v>
      </c>
    </row>
    <row r="32" spans="1:8" ht="15" thickBot="1" x14ac:dyDescent="0.35">
      <c r="A32" s="28" t="s">
        <v>307</v>
      </c>
      <c r="B32" s="59">
        <f>BG!B10/BPP!C23</f>
        <v>1.3361847125078645</v>
      </c>
      <c r="C32" s="59">
        <f>BG!C10/BPP!D23</f>
        <v>1.2130745771640541</v>
      </c>
      <c r="D32" s="59">
        <f>BG!D10/BPP!E23</f>
        <v>1.2460704410645125</v>
      </c>
      <c r="E32" s="59">
        <f>BG!E10/BPP!F23</f>
        <v>1.2461822085618193</v>
      </c>
      <c r="F32" s="59">
        <f>BG!F10/BPP!G23</f>
        <v>1.2549191055402229</v>
      </c>
      <c r="G32" s="59">
        <f>BG!G10/BPP!H23</f>
        <v>1.3196590574502678</v>
      </c>
    </row>
    <row r="33" spans="1:7" ht="15" thickBot="1" x14ac:dyDescent="0.35">
      <c r="A33" s="25" t="s">
        <v>305</v>
      </c>
      <c r="B33" s="62">
        <f>B31*B32</f>
        <v>1.1737440918194002</v>
      </c>
      <c r="C33" s="71">
        <f t="shared" ref="C33:G33" si="3">C31*C32</f>
        <v>1.5195077182387342</v>
      </c>
      <c r="D33" s="62">
        <f t="shared" si="3"/>
        <v>1.0600571210568479</v>
      </c>
      <c r="E33" s="62">
        <f t="shared" si="3"/>
        <v>0.99503415747092394</v>
      </c>
      <c r="F33" s="62">
        <f t="shared" si="3"/>
        <v>1.0383146431759951</v>
      </c>
      <c r="G33" s="62">
        <f t="shared" si="3"/>
        <v>1.2214600075133799</v>
      </c>
    </row>
    <row r="34" spans="1:7" ht="15" thickBot="1" x14ac:dyDescent="0.35">
      <c r="A34" s="28" t="s">
        <v>306</v>
      </c>
      <c r="B34" s="59">
        <f>DRE!C26/DRE!C22</f>
        <v>0.81036023234287036</v>
      </c>
      <c r="C34" s="59">
        <f>DRE!D26/DRE!D22</f>
        <v>0.76877263924046513</v>
      </c>
      <c r="D34" s="59">
        <f>DRE!E26/DRE!E22</f>
        <v>0.74815443777016788</v>
      </c>
      <c r="E34" s="59">
        <f>DRE!F26/DRE!F22</f>
        <v>0.78819082327368661</v>
      </c>
      <c r="F34" s="59">
        <f>DRE!G26/DRE!G22</f>
        <v>0.75202930715231164</v>
      </c>
      <c r="G34" s="59">
        <f>DRE!H26/DRE!H22</f>
        <v>1.067713539193089</v>
      </c>
    </row>
    <row r="35" spans="1:7" ht="15" thickBot="1" x14ac:dyDescent="0.35">
      <c r="A35" s="25" t="s">
        <v>309</v>
      </c>
      <c r="B35" s="61">
        <f>B25*B31*B32*B34</f>
        <v>5.2777802246301082E-2</v>
      </c>
      <c r="C35" s="65">
        <f t="shared" ref="C35:G35" si="4">C25*C31*C32*C34</f>
        <v>0.10392248235637545</v>
      </c>
      <c r="D35" s="61">
        <f t="shared" si="4"/>
        <v>4.4511582972506805E-2</v>
      </c>
      <c r="E35" s="61">
        <f t="shared" si="4"/>
        <v>4.1453391355626798E-2</v>
      </c>
      <c r="F35" s="61">
        <f t="shared" si="4"/>
        <v>3.4064371438477875E-2</v>
      </c>
      <c r="G35" s="61">
        <f t="shared" si="4"/>
        <v>8.1773976228526321E-2</v>
      </c>
    </row>
    <row r="38" spans="1:7" x14ac:dyDescent="0.3">
      <c r="A38" s="72" t="s">
        <v>310</v>
      </c>
      <c r="B38" s="72"/>
      <c r="C38" s="72"/>
      <c r="D38" s="72"/>
      <c r="E38" s="72"/>
      <c r="F38" s="72"/>
      <c r="G38" s="72"/>
    </row>
    <row r="39" spans="1:7" ht="15" thickBot="1" x14ac:dyDescent="0.35">
      <c r="A39" s="36"/>
      <c r="B39" s="33" t="s">
        <v>34</v>
      </c>
      <c r="C39" s="32" t="s">
        <v>33</v>
      </c>
      <c r="D39" s="33" t="s">
        <v>32</v>
      </c>
      <c r="E39" s="33" t="s">
        <v>31</v>
      </c>
      <c r="F39" s="33" t="s">
        <v>30</v>
      </c>
      <c r="G39" s="33" t="s">
        <v>29</v>
      </c>
    </row>
    <row r="40" spans="1:7" ht="15" thickBot="1" x14ac:dyDescent="0.35">
      <c r="A40" s="29" t="s">
        <v>311</v>
      </c>
      <c r="B40" s="29"/>
      <c r="C40" s="29"/>
      <c r="D40" s="29"/>
      <c r="E40" s="29"/>
      <c r="F40" s="29"/>
      <c r="G40" s="29"/>
    </row>
    <row r="41" spans="1:7" ht="15" thickBot="1" x14ac:dyDescent="0.35">
      <c r="A41" s="28"/>
      <c r="B41" s="31"/>
      <c r="C41" s="31"/>
      <c r="D41" s="31"/>
      <c r="E41" s="31"/>
      <c r="F41" s="31"/>
      <c r="G41" s="31"/>
    </row>
    <row r="42" spans="1:7" ht="15" thickBot="1" x14ac:dyDescent="0.35">
      <c r="A42" s="29" t="s">
        <v>312</v>
      </c>
      <c r="B42" s="29"/>
      <c r="C42" s="29"/>
      <c r="D42" s="29"/>
      <c r="E42" s="29"/>
      <c r="F42" s="29"/>
      <c r="G42" s="29"/>
    </row>
    <row r="43" spans="1:7" ht="15" thickBot="1" x14ac:dyDescent="0.35">
      <c r="A43" s="29" t="s">
        <v>313</v>
      </c>
      <c r="B43" s="29"/>
      <c r="C43" s="29"/>
      <c r="D43" s="29"/>
      <c r="E43" s="29"/>
      <c r="F43" s="29"/>
      <c r="G43" s="29"/>
    </row>
  </sheetData>
  <mergeCells count="5">
    <mergeCell ref="A7:G7"/>
    <mergeCell ref="A14:G14"/>
    <mergeCell ref="A21:G21"/>
    <mergeCell ref="A28:G28"/>
    <mergeCell ref="A38:G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showGridLines="0" tabSelected="1" zoomScale="82" zoomScaleNormal="100" workbookViewId="0">
      <selection activeCell="W16" sqref="W16"/>
    </sheetView>
  </sheetViews>
  <sheetFormatPr defaultRowHeight="14.4" x14ac:dyDescent="0.3"/>
  <cols>
    <col min="1" max="1" width="28.44140625" customWidth="1"/>
    <col min="2" max="2" width="11" customWidth="1"/>
    <col min="3" max="3" width="10.6640625" customWidth="1"/>
    <col min="4" max="4" width="10.33203125" customWidth="1"/>
    <col min="5" max="5" width="10.88671875" customWidth="1"/>
    <col min="6" max="9" width="10.33203125" customWidth="1"/>
    <col min="10" max="15" width="11.44140625" customWidth="1"/>
    <col min="16" max="40" width="10.33203125" customWidth="1"/>
    <col min="41" max="41" width="9.5546875" customWidth="1"/>
    <col min="42" max="43" width="13.5546875" customWidth="1"/>
  </cols>
  <sheetData>
    <row r="1" spans="1:40" ht="15" thickBot="1" x14ac:dyDescent="0.35">
      <c r="U1" s="76" t="s">
        <v>321</v>
      </c>
      <c r="V1" s="77"/>
      <c r="W1" s="77"/>
      <c r="X1" s="77"/>
      <c r="Y1" s="77"/>
      <c r="Z1" s="77"/>
      <c r="AA1" s="78"/>
    </row>
    <row r="2" spans="1:40" ht="15" thickBot="1" x14ac:dyDescent="0.35">
      <c r="T2" s="81"/>
      <c r="U2" s="80">
        <v>2019</v>
      </c>
      <c r="V2" s="79">
        <v>2018</v>
      </c>
      <c r="W2" s="79">
        <v>2017</v>
      </c>
      <c r="X2" s="79">
        <v>2016</v>
      </c>
      <c r="Y2" s="79">
        <v>2015</v>
      </c>
      <c r="Z2" s="79">
        <v>2014</v>
      </c>
      <c r="AA2" s="80" t="s">
        <v>322</v>
      </c>
    </row>
    <row r="3" spans="1:40" ht="15" thickBot="1" x14ac:dyDescent="0.35">
      <c r="T3" s="81"/>
      <c r="U3" s="97">
        <f>H8*U8*AH8</f>
        <v>5.2777802246301082E-2</v>
      </c>
      <c r="V3" s="97">
        <f t="shared" ref="V3:Z3" si="0">I8*V8*AI8</f>
        <v>0.10392248235637545</v>
      </c>
      <c r="W3" s="97">
        <f t="shared" si="0"/>
        <v>4.4511582972506812E-2</v>
      </c>
      <c r="X3" s="97">
        <f t="shared" si="0"/>
        <v>4.1453391355626798E-2</v>
      </c>
      <c r="Y3" s="97">
        <f t="shared" si="0"/>
        <v>3.4064371438477868E-2</v>
      </c>
      <c r="Z3" s="97">
        <f t="shared" si="0"/>
        <v>8.1773976228526321E-2</v>
      </c>
      <c r="AA3" s="100">
        <f>(U3-V3)/V3</f>
        <v>-0.49214259465711019</v>
      </c>
    </row>
    <row r="5" spans="1:40" ht="15" thickBot="1" x14ac:dyDescent="0.35"/>
    <row r="6" spans="1:40" ht="15" thickBot="1" x14ac:dyDescent="0.35">
      <c r="H6" s="76" t="s">
        <v>323</v>
      </c>
      <c r="I6" s="77"/>
      <c r="J6" s="77"/>
      <c r="K6" s="77"/>
      <c r="L6" s="77"/>
      <c r="M6" s="77"/>
      <c r="N6" s="78"/>
      <c r="U6" s="76" t="s">
        <v>324</v>
      </c>
      <c r="V6" s="77"/>
      <c r="W6" s="77"/>
      <c r="X6" s="77"/>
      <c r="Y6" s="77"/>
      <c r="Z6" s="77"/>
      <c r="AA6" s="78"/>
      <c r="AH6" s="76" t="s">
        <v>325</v>
      </c>
      <c r="AI6" s="77"/>
      <c r="AJ6" s="77"/>
      <c r="AK6" s="77"/>
      <c r="AL6" s="77"/>
      <c r="AM6" s="77"/>
      <c r="AN6" s="78"/>
    </row>
    <row r="7" spans="1:40" ht="15" thickBot="1" x14ac:dyDescent="0.35">
      <c r="G7" s="81"/>
      <c r="H7" s="80">
        <v>2019</v>
      </c>
      <c r="I7" s="79">
        <v>2018</v>
      </c>
      <c r="J7" s="79">
        <v>2017</v>
      </c>
      <c r="K7" s="79">
        <v>2016</v>
      </c>
      <c r="L7" s="79">
        <v>2015</v>
      </c>
      <c r="M7" s="79">
        <v>2014</v>
      </c>
      <c r="N7" s="80" t="s">
        <v>322</v>
      </c>
      <c r="T7" s="81"/>
      <c r="U7" s="80">
        <v>2019</v>
      </c>
      <c r="V7" s="79">
        <v>2018</v>
      </c>
      <c r="W7" s="79">
        <v>2017</v>
      </c>
      <c r="X7" s="79">
        <v>2016</v>
      </c>
      <c r="Y7" s="79">
        <v>2015</v>
      </c>
      <c r="Z7" s="79">
        <v>2014</v>
      </c>
      <c r="AA7" s="80" t="s">
        <v>322</v>
      </c>
      <c r="AG7" s="81"/>
      <c r="AH7" s="80">
        <v>2019</v>
      </c>
      <c r="AI7" s="79">
        <v>2018</v>
      </c>
      <c r="AJ7" s="79">
        <v>2017</v>
      </c>
      <c r="AK7" s="79">
        <v>2016</v>
      </c>
      <c r="AL7" s="79">
        <v>2015</v>
      </c>
      <c r="AM7" s="79">
        <v>2014</v>
      </c>
      <c r="AN7" s="80" t="s">
        <v>322</v>
      </c>
    </row>
    <row r="8" spans="1:40" ht="15" thickBot="1" x14ac:dyDescent="0.35">
      <c r="G8" s="81"/>
      <c r="H8" s="97">
        <f>B13*J13</f>
        <v>5.5488088232215814E-2</v>
      </c>
      <c r="I8" s="97">
        <f t="shared" ref="I8:M8" si="1">C13*K13</f>
        <v>8.8962849151180731E-2</v>
      </c>
      <c r="J8" s="97">
        <f t="shared" si="1"/>
        <v>5.6124503913724352E-2</v>
      </c>
      <c r="K8" s="97">
        <f t="shared" si="1"/>
        <v>5.2855562973464623E-2</v>
      </c>
      <c r="L8" s="97">
        <f t="shared" si="1"/>
        <v>4.3625120054493427E-2</v>
      </c>
      <c r="M8" s="97">
        <f t="shared" si="1"/>
        <v>6.2701959581110883E-2</v>
      </c>
      <c r="N8" s="100">
        <f>(H8-I8)/I8</f>
        <v>-0.3762779771371636</v>
      </c>
      <c r="T8" s="81"/>
      <c r="U8" s="99">
        <f>R13*AA13</f>
        <v>1.1737440918194002</v>
      </c>
      <c r="V8" s="99">
        <f t="shared" ref="V8:Z8" si="2">S13*AB13</f>
        <v>1.5195077182387342</v>
      </c>
      <c r="W8" s="99">
        <f t="shared" si="2"/>
        <v>1.0600571210568479</v>
      </c>
      <c r="X8" s="99">
        <f t="shared" si="2"/>
        <v>0.99503415747092394</v>
      </c>
      <c r="Y8" s="99">
        <f t="shared" si="2"/>
        <v>1.0383146431759951</v>
      </c>
      <c r="Z8" s="99">
        <f t="shared" si="2"/>
        <v>1.2214600075133799</v>
      </c>
      <c r="AA8" s="100">
        <f>(U8-V8)/V8</f>
        <v>-0.22754976645996219</v>
      </c>
      <c r="AG8" s="81"/>
      <c r="AH8" s="99">
        <f>AH10/AA19</f>
        <v>0.81036023234287036</v>
      </c>
      <c r="AI8" s="99">
        <f t="shared" ref="AI8:AM8" si="3">AI10/AB19</f>
        <v>0.76877263924046513</v>
      </c>
      <c r="AJ8" s="99">
        <f t="shared" si="3"/>
        <v>0.74815443777016788</v>
      </c>
      <c r="AK8" s="99">
        <f t="shared" si="3"/>
        <v>0.78819082327368661</v>
      </c>
      <c r="AL8" s="99">
        <f t="shared" si="3"/>
        <v>0.75202930715231164</v>
      </c>
      <c r="AM8" s="99">
        <f t="shared" si="3"/>
        <v>1.067713539193089</v>
      </c>
      <c r="AN8" s="100">
        <f>(AH8-AI8)/AI8</f>
        <v>5.4096088986066278E-2</v>
      </c>
    </row>
    <row r="9" spans="1:40" ht="15" thickBot="1" x14ac:dyDescent="0.35"/>
    <row r="10" spans="1:40" ht="15" thickBot="1" x14ac:dyDescent="0.35">
      <c r="AG10" s="93" t="s">
        <v>326</v>
      </c>
      <c r="AH10" s="84">
        <f>DRE!C30</f>
        <v>3726760</v>
      </c>
      <c r="AI10" s="84">
        <f>DRE!D30</f>
        <v>7441580</v>
      </c>
      <c r="AJ10" s="84">
        <f>DRE!E30</f>
        <v>3091835</v>
      </c>
      <c r="AK10" s="84">
        <f>DRE!F30</f>
        <v>2870416</v>
      </c>
      <c r="AL10" s="84">
        <f>DRE!G30</f>
        <v>2335700</v>
      </c>
      <c r="AM10" s="84">
        <f>DRE!H30</f>
        <v>3675748</v>
      </c>
      <c r="AN10" s="88">
        <f>(AH10-AI10)/AI10</f>
        <v>-0.49919775101524139</v>
      </c>
    </row>
    <row r="11" spans="1:40" ht="15" thickBot="1" x14ac:dyDescent="0.35">
      <c r="B11" s="76" t="s">
        <v>327</v>
      </c>
      <c r="C11" s="77"/>
      <c r="D11" s="77"/>
      <c r="E11" s="77"/>
      <c r="F11" s="77"/>
      <c r="G11" s="77"/>
      <c r="H11" s="78"/>
      <c r="J11" s="76" t="s">
        <v>328</v>
      </c>
      <c r="K11" s="77"/>
      <c r="L11" s="77"/>
      <c r="M11" s="77"/>
      <c r="N11" s="77"/>
      <c r="O11" s="77"/>
      <c r="P11" s="78"/>
      <c r="R11" s="76" t="s">
        <v>329</v>
      </c>
      <c r="S11" s="77"/>
      <c r="T11" s="77"/>
      <c r="U11" s="77"/>
      <c r="V11" s="77"/>
      <c r="W11" s="77"/>
      <c r="X11" s="78"/>
      <c r="AA11" s="76" t="s">
        <v>330</v>
      </c>
      <c r="AB11" s="77"/>
      <c r="AC11" s="77"/>
      <c r="AD11" s="77"/>
      <c r="AE11" s="77"/>
      <c r="AF11" s="77"/>
      <c r="AG11" s="83"/>
    </row>
    <row r="12" spans="1:40" ht="15" thickBot="1" x14ac:dyDescent="0.35">
      <c r="A12" s="81"/>
      <c r="B12" s="80">
        <v>2019</v>
      </c>
      <c r="C12" s="79">
        <v>2018</v>
      </c>
      <c r="D12" s="79">
        <v>2017</v>
      </c>
      <c r="E12" s="79">
        <v>2016</v>
      </c>
      <c r="F12" s="79">
        <v>2015</v>
      </c>
      <c r="G12" s="79">
        <v>2014</v>
      </c>
      <c r="H12" s="80" t="s">
        <v>322</v>
      </c>
      <c r="I12" s="82"/>
      <c r="J12" s="80">
        <v>2019</v>
      </c>
      <c r="K12" s="79">
        <v>2018</v>
      </c>
      <c r="L12" s="79">
        <v>2017</v>
      </c>
      <c r="M12" s="79">
        <v>2016</v>
      </c>
      <c r="N12" s="79">
        <v>2015</v>
      </c>
      <c r="O12" s="79">
        <v>2014</v>
      </c>
      <c r="P12" s="80" t="s">
        <v>322</v>
      </c>
      <c r="Q12" s="82"/>
      <c r="R12" s="80">
        <v>2019</v>
      </c>
      <c r="S12" s="79">
        <v>2018</v>
      </c>
      <c r="T12" s="79">
        <v>2017</v>
      </c>
      <c r="U12" s="79">
        <v>2016</v>
      </c>
      <c r="V12" s="79">
        <v>2015</v>
      </c>
      <c r="W12" s="79">
        <v>2014</v>
      </c>
      <c r="X12" s="80" t="s">
        <v>322</v>
      </c>
      <c r="AA12" s="80">
        <v>2019</v>
      </c>
      <c r="AB12" s="79">
        <v>2018</v>
      </c>
      <c r="AC12" s="79">
        <v>2017</v>
      </c>
      <c r="AD12" s="79">
        <v>2016</v>
      </c>
      <c r="AE12" s="79">
        <v>2015</v>
      </c>
      <c r="AF12" s="79">
        <v>2014</v>
      </c>
      <c r="AG12" s="80" t="s">
        <v>322</v>
      </c>
    </row>
    <row r="13" spans="1:40" ht="15" thickBot="1" x14ac:dyDescent="0.35">
      <c r="A13" s="81"/>
      <c r="B13" s="97">
        <f>B17/B15</f>
        <v>0.15917143601064793</v>
      </c>
      <c r="C13" s="97">
        <f t="shared" ref="C13:G13" si="4">C17/C15</f>
        <v>0.23867763242851209</v>
      </c>
      <c r="D13" s="97">
        <f t="shared" si="4"/>
        <v>0.15098815502000851</v>
      </c>
      <c r="E13" s="97">
        <f t="shared" si="4"/>
        <v>0.14417560908379093</v>
      </c>
      <c r="F13" s="97">
        <f t="shared" si="4"/>
        <v>0.12713486965023316</v>
      </c>
      <c r="G13" s="97">
        <f t="shared" si="4"/>
        <v>0.1433162023808244</v>
      </c>
      <c r="H13" s="100">
        <f>(B13-C13)/C13</f>
        <v>-0.33311121619943834</v>
      </c>
      <c r="I13" s="82"/>
      <c r="J13" s="99">
        <f>B15/J19</f>
        <v>0.34860581535812674</v>
      </c>
      <c r="K13" s="99">
        <f t="shared" ref="K13:O13" si="5">C15/K19</f>
        <v>0.37273224242253444</v>
      </c>
      <c r="L13" s="99">
        <f t="shared" si="5"/>
        <v>0.37171461500597114</v>
      </c>
      <c r="M13" s="99">
        <f t="shared" si="5"/>
        <v>0.36660544255267485</v>
      </c>
      <c r="N13" s="99">
        <f t="shared" si="5"/>
        <v>0.34314047888287919</v>
      </c>
      <c r="O13" s="99">
        <f t="shared" si="5"/>
        <v>0.43750782214070411</v>
      </c>
      <c r="P13" s="100">
        <f>(J13-K13)/K13</f>
        <v>-6.4728575418108461E-2</v>
      </c>
      <c r="Q13" s="82"/>
      <c r="R13" s="98">
        <f>J19/R25</f>
        <v>1.3361847125078645</v>
      </c>
      <c r="S13" s="98">
        <f t="shared" ref="S13:W13" si="6">K19/S25</f>
        <v>1.2130745771640541</v>
      </c>
      <c r="T13" s="98">
        <f t="shared" si="6"/>
        <v>1.2460704410645125</v>
      </c>
      <c r="U13" s="98">
        <f t="shared" si="6"/>
        <v>1.2461822085618193</v>
      </c>
      <c r="V13" s="98">
        <f t="shared" si="6"/>
        <v>1.2549191055402229</v>
      </c>
      <c r="W13" s="98">
        <f t="shared" si="6"/>
        <v>1.3196590574502678</v>
      </c>
      <c r="X13" s="100"/>
      <c r="Y13" s="73"/>
      <c r="Z13" s="81"/>
      <c r="AA13" s="99">
        <f>AA19/B17</f>
        <v>0.87842951714094819</v>
      </c>
      <c r="AB13" s="99">
        <f t="shared" ref="AB13:AF13" si="7">AB19/C17</f>
        <v>1.2526086580687106</v>
      </c>
      <c r="AC13" s="99">
        <f t="shared" si="7"/>
        <v>0.85072006053786642</v>
      </c>
      <c r="AD13" s="99">
        <f t="shared" si="7"/>
        <v>0.79846602738716865</v>
      </c>
      <c r="AE13" s="99">
        <f t="shared" si="7"/>
        <v>0.82739567721300811</v>
      </c>
      <c r="AF13" s="99">
        <f t="shared" si="7"/>
        <v>0.92558756037592038</v>
      </c>
      <c r="AG13" s="100">
        <f>(AA13-AB13)/AB13</f>
        <v>-0.29871990626719519</v>
      </c>
    </row>
    <row r="14" spans="1:40" ht="15" thickBot="1" x14ac:dyDescent="0.35"/>
    <row r="15" spans="1:40" ht="15" thickBot="1" x14ac:dyDescent="0.35">
      <c r="A15" s="79" t="s">
        <v>331</v>
      </c>
      <c r="B15" s="84">
        <f>DRE!C8</f>
        <v>32891316</v>
      </c>
      <c r="C15" s="84">
        <f>DRE!D8</f>
        <v>32377261</v>
      </c>
      <c r="D15" s="84">
        <f>DRE!E8</f>
        <v>32173292</v>
      </c>
      <c r="E15" s="84">
        <f>DRE!F8</f>
        <v>31634810</v>
      </c>
      <c r="F15" s="84">
        <f>DRE!G8</f>
        <v>29525983</v>
      </c>
      <c r="G15" s="84">
        <f>DRE!H8</f>
        <v>25952439</v>
      </c>
      <c r="H15" s="85">
        <f>(B15-C15)/C15</f>
        <v>1.5877037900148501E-2</v>
      </c>
    </row>
    <row r="16" spans="1:40" ht="15" thickBot="1" x14ac:dyDescent="0.35">
      <c r="A16" s="79" t="s">
        <v>332</v>
      </c>
      <c r="B16" s="84">
        <f>-DRE!C9-DRE!C11</f>
        <v>27655958</v>
      </c>
      <c r="C16" s="84">
        <f>-DRE!D9-DRE!D11</f>
        <v>24649533</v>
      </c>
      <c r="D16" s="84">
        <f>-DRE!E9-DRE!E11</f>
        <v>27315506</v>
      </c>
      <c r="E16" s="84">
        <f>-DRE!F9-DRE!F11</f>
        <v>27073842</v>
      </c>
      <c r="F16" s="84">
        <f>-DRE!G9-DRE!G11</f>
        <v>25772201</v>
      </c>
      <c r="G16" s="84">
        <f>-DRE!H9-DRE!H11</f>
        <v>22233034</v>
      </c>
      <c r="H16" s="85">
        <f>(B16-C16)/C16</f>
        <v>0.12196681373233319</v>
      </c>
    </row>
    <row r="17" spans="1:33" ht="15" thickBot="1" x14ac:dyDescent="0.35">
      <c r="A17" s="79" t="s">
        <v>333</v>
      </c>
      <c r="B17" s="84">
        <f>DRE!C18</f>
        <v>5235358</v>
      </c>
      <c r="C17" s="84">
        <f>DRE!D18</f>
        <v>7727728</v>
      </c>
      <c r="D17" s="84">
        <f>DRE!E18</f>
        <v>4857786</v>
      </c>
      <c r="E17" s="84">
        <f>DRE!F18</f>
        <v>4560968</v>
      </c>
      <c r="F17" s="84">
        <f>DRE!G18</f>
        <v>3753782</v>
      </c>
      <c r="G17" s="84">
        <f>DRE!H18</f>
        <v>3719405</v>
      </c>
      <c r="H17" s="85">
        <f>(B17-C17)/C17</f>
        <v>-0.32252299770385295</v>
      </c>
    </row>
    <row r="18" spans="1:33" ht="15" thickBot="1" x14ac:dyDescent="0.35">
      <c r="A18" s="74"/>
    </row>
    <row r="19" spans="1:33" ht="14.4" customHeight="1" thickBot="1" x14ac:dyDescent="0.35">
      <c r="B19" s="1"/>
      <c r="C19" s="1"/>
      <c r="D19" s="1"/>
      <c r="E19" s="1"/>
      <c r="F19" s="1"/>
      <c r="G19" s="1"/>
      <c r="H19" s="89" t="s">
        <v>334</v>
      </c>
      <c r="I19" s="89"/>
      <c r="J19" s="86">
        <f>BG!B10</f>
        <v>94351025</v>
      </c>
      <c r="K19" s="86">
        <f>BG!C10</f>
        <v>86864664</v>
      </c>
      <c r="L19" s="86">
        <f>BG!D10</f>
        <v>86553745</v>
      </c>
      <c r="M19" s="86">
        <f>BG!E10</f>
        <v>86291163</v>
      </c>
      <c r="N19" s="86">
        <f>BG!F10</f>
        <v>86046342</v>
      </c>
      <c r="O19" s="86">
        <f>BG!G10</f>
        <v>59318800</v>
      </c>
      <c r="P19" s="87">
        <f>(J19-K19)/K19</f>
        <v>8.6184193379254884E-2</v>
      </c>
      <c r="Z19" s="95" t="s">
        <v>335</v>
      </c>
      <c r="AA19" s="84">
        <f>DRE!C22</f>
        <v>4598893</v>
      </c>
      <c r="AB19" s="84">
        <f>DRE!D22</f>
        <v>9679819</v>
      </c>
      <c r="AC19" s="84">
        <f>DRE!E22</f>
        <v>4132616</v>
      </c>
      <c r="AD19" s="84">
        <f>DRE!F22</f>
        <v>3641778</v>
      </c>
      <c r="AE19" s="84">
        <f>DRE!G22</f>
        <v>3105863</v>
      </c>
      <c r="AF19" s="84">
        <f>DRE!H22</f>
        <v>3442635</v>
      </c>
      <c r="AG19" s="88">
        <f>(AA19-AB19)/AB19</f>
        <v>-0.52489886432793831</v>
      </c>
    </row>
    <row r="20" spans="1:33" ht="15" thickBot="1" x14ac:dyDescent="0.35">
      <c r="D20" s="75"/>
      <c r="E20" s="75"/>
      <c r="H20" s="90" t="s">
        <v>336</v>
      </c>
      <c r="I20" s="90"/>
      <c r="J20" s="84">
        <f>BG!B7</f>
        <v>4548256</v>
      </c>
      <c r="K20" s="84">
        <f>BG!C7</f>
        <v>3381328</v>
      </c>
      <c r="L20" s="84">
        <f>BG!D7</f>
        <v>4050338</v>
      </c>
      <c r="M20" s="84">
        <f>BG!E7</f>
        <v>5105110</v>
      </c>
      <c r="N20" s="84">
        <f>BG!F7</f>
        <v>5336845</v>
      </c>
      <c r="O20" s="84">
        <f>BG!G7</f>
        <v>4692689</v>
      </c>
      <c r="P20" s="88">
        <f>(J20-K20)/K20</f>
        <v>0.34510937714412798</v>
      </c>
    </row>
    <row r="21" spans="1:33" ht="15" thickBot="1" x14ac:dyDescent="0.35">
      <c r="D21" s="75"/>
      <c r="E21" s="75"/>
      <c r="H21" s="91" t="s">
        <v>337</v>
      </c>
      <c r="I21" s="91"/>
      <c r="J21" s="84">
        <f>BG!B8</f>
        <v>-160165</v>
      </c>
      <c r="K21" s="84">
        <f>BG!C8</f>
        <v>-714990</v>
      </c>
      <c r="L21" s="84">
        <f>BG!D8</f>
        <v>-2147762</v>
      </c>
      <c r="M21" s="84">
        <f>BG!E8</f>
        <v>-2481211</v>
      </c>
      <c r="N21" s="84">
        <f>BG!F8</f>
        <v>-3066264</v>
      </c>
      <c r="O21" s="84">
        <f>BG!G8</f>
        <v>-2921809</v>
      </c>
      <c r="P21" s="88">
        <f>(J21-K21)/K21</f>
        <v>-0.77598987398425157</v>
      </c>
    </row>
    <row r="22" spans="1:33" ht="15" customHeight="1" thickBot="1" x14ac:dyDescent="0.35">
      <c r="H22" s="92" t="s">
        <v>338</v>
      </c>
      <c r="I22" s="92"/>
      <c r="J22" s="84">
        <f>BG!B9</f>
        <v>89962934</v>
      </c>
      <c r="K22" s="84">
        <f>BG!C9</f>
        <v>84198326</v>
      </c>
      <c r="L22" s="84">
        <f>BG!D9</f>
        <v>84651169</v>
      </c>
      <c r="M22" s="84">
        <f>BG!E9</f>
        <v>83667264</v>
      </c>
      <c r="N22" s="84">
        <f>BG!F9</f>
        <v>83775761</v>
      </c>
      <c r="O22" s="84">
        <f>BG!G9</f>
        <v>57547920</v>
      </c>
      <c r="P22" s="88">
        <f>(J22-K22)/K22</f>
        <v>6.8464639071327854E-2</v>
      </c>
    </row>
    <row r="24" spans="1:33" ht="15" thickBot="1" x14ac:dyDescent="0.35"/>
    <row r="25" spans="1:33" ht="14.4" customHeight="1" thickBot="1" x14ac:dyDescent="0.35">
      <c r="A25" s="74"/>
      <c r="Q25" s="94" t="s">
        <v>339</v>
      </c>
      <c r="R25" s="86">
        <f>BG!B15</f>
        <v>70612262</v>
      </c>
      <c r="S25" s="86">
        <f>BG!C15</f>
        <v>71607027</v>
      </c>
      <c r="T25" s="86">
        <f>BG!D15</f>
        <v>69461358</v>
      </c>
      <c r="U25" s="86">
        <f>BG!E15</f>
        <v>69244419</v>
      </c>
      <c r="V25" s="86">
        <f>BG!F15</f>
        <v>68567242</v>
      </c>
      <c r="W25" s="86">
        <f>BG!G15</f>
        <v>44950095</v>
      </c>
      <c r="X25" s="87">
        <f>(R25-S25)/S25</f>
        <v>-1.3892002526511819E-2</v>
      </c>
      <c r="Y25" s="73"/>
    </row>
    <row r="27" spans="1:33" x14ac:dyDescent="0.3">
      <c r="A27" s="74"/>
    </row>
  </sheetData>
  <mergeCells count="12">
    <mergeCell ref="H19:I19"/>
    <mergeCell ref="H20:I20"/>
    <mergeCell ref="H21:I21"/>
    <mergeCell ref="H22:I22"/>
    <mergeCell ref="H6:N6"/>
    <mergeCell ref="R11:X11"/>
    <mergeCell ref="U1:AA1"/>
    <mergeCell ref="U6:AA6"/>
    <mergeCell ref="AA11:AG11"/>
    <mergeCell ref="AH6:AN6"/>
    <mergeCell ref="B11:H11"/>
    <mergeCell ref="J11:P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BPA</vt:lpstr>
      <vt:lpstr>BPP</vt:lpstr>
      <vt:lpstr>DRE</vt:lpstr>
      <vt:lpstr>DFC</vt:lpstr>
      <vt:lpstr>BG</vt:lpstr>
      <vt:lpstr>Liquidez</vt:lpstr>
      <vt:lpstr>FCF</vt:lpstr>
      <vt:lpstr>Rentabilidade</vt:lpstr>
      <vt:lpstr>Determinantes do 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2020-06-25T19:39:24Z</dcterms:modified>
</cp:coreProperties>
</file>