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1600" windowHeight="9630"/>
  </bookViews>
  <sheets>
    <sheet name="compras-ventas-gastos" sheetId="1" r:id="rId1"/>
    <sheet name="asientos" sheetId="2" r:id="rId2"/>
    <sheet name="bs uso" sheetId="3" r:id="rId3"/>
    <sheet name="mayor" sheetId="4" r:id="rId4"/>
    <sheet name="ajuste inflacion" sheetId="5" r:id="rId5"/>
    <sheet name="Hoja1" sheetId="6" r:id="rId6"/>
    <sheet name="Hoja2" sheetId="7" r:id="rId7"/>
    <sheet name="Hoja3" sheetId="8" r:id="rId8"/>
    <sheet name="Hoja4" sheetId="9" r:id="rId9"/>
    <sheet name="Hoja5" sheetId="10" r:id="rId10"/>
  </sheets>
  <calcPr calcId="162913"/>
</workbook>
</file>

<file path=xl/calcChain.xml><?xml version="1.0" encoding="utf-8"?>
<calcChain xmlns="http://schemas.openxmlformats.org/spreadsheetml/2006/main">
  <c r="H26" i="1" l="1"/>
  <c r="H16" i="1"/>
  <c r="H27" i="1"/>
  <c r="H19" i="1"/>
  <c r="G26" i="1"/>
  <c r="G16" i="1"/>
  <c r="G27" i="1"/>
  <c r="G28" i="1"/>
  <c r="F16" i="1"/>
  <c r="F27" i="1"/>
  <c r="F19" i="1"/>
  <c r="F26" i="1"/>
  <c r="E27" i="1"/>
  <c r="E16" i="1"/>
  <c r="E26" i="1"/>
  <c r="D23" i="1" l="1"/>
  <c r="D20" i="1"/>
  <c r="D26" i="1"/>
  <c r="D16" i="1"/>
  <c r="D27" i="1"/>
  <c r="D21" i="1"/>
  <c r="D14" i="1"/>
  <c r="D13" i="1"/>
  <c r="C26" i="1"/>
  <c r="C16" i="1"/>
  <c r="C27" i="1"/>
  <c r="C21" i="1"/>
  <c r="B21" i="1"/>
  <c r="C17" i="1"/>
  <c r="C19" i="1"/>
  <c r="C14" i="1"/>
  <c r="C13" i="1"/>
  <c r="C23" i="1"/>
  <c r="B24" i="1"/>
  <c r="B26" i="1"/>
  <c r="B27" i="1"/>
  <c r="B23" i="1"/>
  <c r="B14" i="1"/>
  <c r="B13" i="1"/>
  <c r="G37" i="1"/>
  <c r="F37" i="1"/>
  <c r="E37" i="1"/>
  <c r="D37" i="1"/>
  <c r="C37" i="1"/>
  <c r="B37" i="1"/>
  <c r="G36" i="1"/>
  <c r="F36" i="1"/>
  <c r="E36" i="1"/>
  <c r="D36" i="1"/>
  <c r="H39" i="1"/>
  <c r="I39" i="1"/>
  <c r="J39" i="1"/>
  <c r="K39" i="1"/>
  <c r="L39" i="1"/>
  <c r="M39" i="1"/>
  <c r="C36" i="1"/>
  <c r="B36" i="1"/>
  <c r="G43" i="1"/>
  <c r="G41" i="1"/>
  <c r="G38" i="1"/>
  <c r="F43" i="1"/>
  <c r="F41" i="1"/>
  <c r="F38" i="1"/>
  <c r="E43" i="1"/>
  <c r="E41" i="1"/>
  <c r="E38" i="1"/>
  <c r="D41" i="1"/>
  <c r="D38" i="1"/>
  <c r="C41" i="1"/>
  <c r="C38" i="1"/>
  <c r="B41" i="1"/>
  <c r="B38" i="1"/>
  <c r="M69" i="1"/>
  <c r="L69" i="1"/>
  <c r="K69" i="1"/>
  <c r="J69" i="1"/>
  <c r="I69" i="1"/>
  <c r="H69" i="1"/>
  <c r="G69" i="1"/>
  <c r="F69" i="1"/>
  <c r="F71" i="1"/>
  <c r="E69" i="1"/>
  <c r="D69" i="1"/>
  <c r="C69" i="1"/>
  <c r="B69" i="1"/>
  <c r="M63" i="1"/>
  <c r="L63" i="1"/>
  <c r="K63" i="1"/>
  <c r="J63" i="1"/>
  <c r="I63" i="1"/>
  <c r="H63" i="1"/>
  <c r="G63" i="1"/>
  <c r="F63" i="1"/>
  <c r="F65" i="1"/>
  <c r="E63" i="1"/>
  <c r="D64" i="1"/>
  <c r="D63" i="1"/>
  <c r="C63" i="1"/>
  <c r="B64" i="1"/>
  <c r="B63" i="1"/>
  <c r="M75" i="1"/>
  <c r="K75" i="1"/>
  <c r="J75" i="1"/>
  <c r="I75" i="1"/>
  <c r="H75" i="1"/>
  <c r="F76" i="1"/>
  <c r="F75" i="1"/>
  <c r="E75" i="1"/>
  <c r="D75" i="1"/>
  <c r="C75" i="1"/>
  <c r="N36" i="1" l="1"/>
  <c r="D39" i="1"/>
  <c r="E39" i="1"/>
  <c r="C39" i="1"/>
  <c r="F39" i="1"/>
  <c r="G39" i="1"/>
  <c r="B39" i="1"/>
  <c r="K49" i="1"/>
  <c r="J49" i="1"/>
  <c r="G49" i="1"/>
  <c r="D49" i="1"/>
  <c r="C49" i="1"/>
  <c r="B49" i="1"/>
  <c r="B51" i="1"/>
  <c r="N59" i="1"/>
  <c r="D208" i="2" l="1"/>
  <c r="D210" i="2"/>
  <c r="D67" i="2" l="1"/>
  <c r="C49" i="2"/>
  <c r="C47" i="2"/>
  <c r="C145" i="2"/>
  <c r="G7" i="6" l="1"/>
  <c r="F7" i="6"/>
  <c r="D17" i="6"/>
  <c r="D18" i="6"/>
  <c r="D19" i="6"/>
  <c r="D20" i="6"/>
  <c r="D21" i="6"/>
  <c r="D22" i="6"/>
  <c r="D23" i="6"/>
  <c r="D24" i="6"/>
  <c r="D25" i="6"/>
  <c r="D26" i="6"/>
  <c r="D6" i="6"/>
  <c r="D7" i="6"/>
  <c r="D8" i="6"/>
  <c r="D9" i="6"/>
  <c r="D10" i="6"/>
  <c r="D11" i="6"/>
  <c r="D12" i="6"/>
  <c r="D13" i="6"/>
  <c r="D14" i="6"/>
  <c r="D15" i="6"/>
  <c r="D16" i="6"/>
  <c r="D5" i="6"/>
  <c r="F30" i="3" l="1"/>
  <c r="H29" i="3"/>
  <c r="H28" i="3"/>
  <c r="J28" i="3" s="1"/>
  <c r="K28" i="3" s="1"/>
  <c r="H27" i="3"/>
  <c r="J27" i="3" s="1"/>
  <c r="K27" i="3" s="1"/>
  <c r="H26" i="3"/>
  <c r="J26" i="3" s="1"/>
  <c r="K26" i="3" s="1"/>
  <c r="J38" i="3"/>
  <c r="K38" i="3" s="1"/>
  <c r="H39" i="3"/>
  <c r="J39" i="3" s="1"/>
  <c r="K39" i="3" s="1"/>
  <c r="L39" i="3" s="1"/>
  <c r="H38" i="3"/>
  <c r="F40" i="3"/>
  <c r="L26" i="3" l="1"/>
  <c r="L28" i="3"/>
  <c r="L38" i="3"/>
  <c r="L27" i="3"/>
  <c r="J29" i="3"/>
  <c r="K29" i="3" s="1"/>
  <c r="L29" i="3" s="1"/>
  <c r="H9" i="3"/>
  <c r="F10" i="3"/>
  <c r="J9" i="3" l="1"/>
  <c r="K9" i="3" s="1"/>
  <c r="L9" i="3" s="1"/>
  <c r="F52" i="3"/>
  <c r="H51" i="3"/>
  <c r="L51" i="3" s="1"/>
  <c r="I57" i="3" l="1"/>
  <c r="I56" i="3"/>
  <c r="I55" i="3"/>
  <c r="H229" i="2" l="1"/>
  <c r="C187" i="2" l="1"/>
  <c r="D204" i="2" s="1"/>
  <c r="K254" i="2" l="1"/>
  <c r="K253" i="2"/>
  <c r="K252" i="2"/>
  <c r="K248" i="2"/>
  <c r="H228" i="2"/>
  <c r="H227" i="2"/>
  <c r="H226" i="2"/>
  <c r="H225" i="2"/>
  <c r="H224" i="2"/>
  <c r="H231" i="2"/>
  <c r="H223" i="2"/>
  <c r="H222" i="2"/>
  <c r="H221" i="2"/>
  <c r="H220" i="2"/>
  <c r="H212" i="2"/>
  <c r="H213" i="2"/>
  <c r="H214" i="2"/>
  <c r="H215" i="2"/>
  <c r="H216" i="2"/>
  <c r="H217" i="2"/>
  <c r="H218" i="2"/>
  <c r="H219" i="2"/>
  <c r="H211" i="2"/>
  <c r="H207" i="2"/>
  <c r="H208" i="2"/>
  <c r="H209" i="2"/>
  <c r="H210" i="2"/>
  <c r="H206" i="2"/>
  <c r="H205" i="2"/>
  <c r="H204" i="2"/>
  <c r="H203" i="2"/>
  <c r="H202" i="2"/>
  <c r="K247" i="2"/>
  <c r="K246" i="2"/>
  <c r="K245" i="2"/>
  <c r="K243" i="2"/>
  <c r="K244" i="2"/>
  <c r="K242" i="2"/>
  <c r="K241" i="2"/>
  <c r="K240" i="2"/>
  <c r="K239" i="2"/>
  <c r="K238" i="2"/>
  <c r="K237" i="2"/>
  <c r="K236" i="2"/>
  <c r="K235" i="2"/>
  <c r="K234" i="2"/>
  <c r="K233" i="2"/>
  <c r="H266" i="2"/>
  <c r="H265" i="2"/>
  <c r="H264" i="2"/>
  <c r="H260" i="2"/>
  <c r="H261" i="2"/>
  <c r="H262" i="2"/>
  <c r="H263" i="2"/>
  <c r="H259" i="2"/>
  <c r="H258" i="2"/>
  <c r="H254" i="2"/>
  <c r="H255" i="2"/>
  <c r="H256" i="2"/>
  <c r="H257" i="2"/>
  <c r="H253" i="2"/>
  <c r="H252" i="2"/>
  <c r="H251" i="2"/>
  <c r="H250" i="2"/>
  <c r="H249" i="2"/>
  <c r="H248" i="2"/>
  <c r="H243" i="2"/>
  <c r="H244" i="2"/>
  <c r="H245" i="2"/>
  <c r="H246" i="2"/>
  <c r="H247" i="2"/>
  <c r="H242" i="2"/>
  <c r="H239" i="2"/>
  <c r="H240" i="2"/>
  <c r="H241" i="2"/>
  <c r="H238" i="2"/>
  <c r="H237" i="2"/>
  <c r="H236" i="2"/>
  <c r="C229" i="2"/>
  <c r="D294" i="2"/>
  <c r="D295" i="2"/>
  <c r="D296" i="2"/>
  <c r="D297" i="2"/>
  <c r="C294" i="2"/>
  <c r="C295" i="2"/>
  <c r="C296" i="2"/>
  <c r="C297" i="2"/>
  <c r="F295" i="2" l="1"/>
  <c r="F297" i="2"/>
  <c r="J202" i="2" s="1"/>
  <c r="E294" i="2"/>
  <c r="F296" i="2"/>
  <c r="L247" i="2" s="1"/>
  <c r="F294" i="2"/>
  <c r="L246" i="2" s="1"/>
  <c r="E297" i="2"/>
  <c r="E296" i="2"/>
  <c r="E295" i="2"/>
  <c r="J228" i="2" s="1"/>
  <c r="D124" i="2"/>
  <c r="D71" i="2" l="1"/>
  <c r="D69" i="2" s="1"/>
  <c r="D136" i="2"/>
  <c r="D130" i="2" l="1"/>
  <c r="D123" i="2"/>
  <c r="D121" i="2" s="1"/>
  <c r="D115" i="2"/>
  <c r="D78" i="2"/>
  <c r="C110" i="2"/>
  <c r="C105" i="2"/>
  <c r="D100" i="2"/>
  <c r="N57" i="1"/>
  <c r="C96" i="2"/>
  <c r="N56" i="1"/>
  <c r="P40" i="1"/>
  <c r="D90" i="2" l="1"/>
  <c r="D83" i="2"/>
  <c r="C82" i="2"/>
  <c r="D84" i="2" s="1"/>
  <c r="C37" i="2"/>
  <c r="O97" i="5" l="1"/>
  <c r="N97" i="5"/>
  <c r="M97" i="5"/>
  <c r="L97" i="5"/>
  <c r="K97" i="5"/>
  <c r="J97" i="5"/>
  <c r="I97" i="5"/>
  <c r="H97" i="5"/>
  <c r="G97" i="5"/>
  <c r="F97" i="5"/>
  <c r="E97" i="5"/>
  <c r="D97" i="5"/>
  <c r="P96" i="5"/>
  <c r="E62" i="5" l="1"/>
  <c r="F62" i="5"/>
  <c r="G62" i="5"/>
  <c r="H62" i="5"/>
  <c r="I62" i="5"/>
  <c r="J62" i="5"/>
  <c r="K62" i="5"/>
  <c r="L62" i="5"/>
  <c r="M62" i="5"/>
  <c r="N62" i="5"/>
  <c r="O62" i="5"/>
  <c r="D62" i="5"/>
  <c r="E58" i="5"/>
  <c r="F58" i="5"/>
  <c r="G58" i="5"/>
  <c r="H58" i="5"/>
  <c r="I58" i="5"/>
  <c r="J58" i="5"/>
  <c r="K58" i="5"/>
  <c r="L58" i="5"/>
  <c r="M58" i="5"/>
  <c r="N58" i="5"/>
  <c r="O58" i="5"/>
  <c r="D58" i="5"/>
  <c r="E54" i="5"/>
  <c r="F54" i="5"/>
  <c r="G54" i="5"/>
  <c r="H54" i="5"/>
  <c r="I54" i="5"/>
  <c r="J54" i="5"/>
  <c r="K54" i="5"/>
  <c r="L54" i="5"/>
  <c r="M54" i="5"/>
  <c r="N54" i="5"/>
  <c r="O54" i="5"/>
  <c r="D54" i="5"/>
  <c r="E50" i="5"/>
  <c r="F50" i="5"/>
  <c r="G50" i="5"/>
  <c r="H50" i="5"/>
  <c r="I50" i="5"/>
  <c r="J50" i="5"/>
  <c r="K50" i="5"/>
  <c r="L50" i="5"/>
  <c r="M50" i="5"/>
  <c r="N50" i="5"/>
  <c r="O50" i="5"/>
  <c r="D50" i="5"/>
  <c r="E48" i="5"/>
  <c r="F48" i="5"/>
  <c r="G48" i="5"/>
  <c r="H48" i="5"/>
  <c r="I48" i="5"/>
  <c r="J48" i="5"/>
  <c r="K48" i="5"/>
  <c r="L48" i="5"/>
  <c r="M48" i="5"/>
  <c r="N48" i="5"/>
  <c r="O48" i="5"/>
  <c r="D48" i="5"/>
  <c r="E46" i="5"/>
  <c r="F46" i="5"/>
  <c r="G46" i="5"/>
  <c r="H46" i="5"/>
  <c r="I46" i="5"/>
  <c r="J46" i="5"/>
  <c r="K46" i="5"/>
  <c r="L46" i="5"/>
  <c r="M46" i="5"/>
  <c r="N46" i="5"/>
  <c r="O46" i="5"/>
  <c r="D46" i="5"/>
  <c r="E44" i="5"/>
  <c r="F44" i="5"/>
  <c r="G44" i="5"/>
  <c r="H44" i="5"/>
  <c r="I44" i="5"/>
  <c r="J44" i="5"/>
  <c r="K44" i="5"/>
  <c r="L44" i="5"/>
  <c r="M44" i="5"/>
  <c r="N44" i="5"/>
  <c r="O44" i="5"/>
  <c r="D44" i="5"/>
  <c r="E42" i="5"/>
  <c r="F42" i="5"/>
  <c r="G42" i="5"/>
  <c r="H42" i="5"/>
  <c r="I42" i="5"/>
  <c r="J42" i="5"/>
  <c r="K42" i="5"/>
  <c r="L42" i="5"/>
  <c r="M42" i="5"/>
  <c r="N42" i="5"/>
  <c r="O42" i="5"/>
  <c r="D42" i="5"/>
  <c r="E40" i="5"/>
  <c r="F40" i="5"/>
  <c r="G40" i="5"/>
  <c r="H40" i="5"/>
  <c r="I40" i="5"/>
  <c r="J40" i="5"/>
  <c r="K40" i="5"/>
  <c r="L40" i="5"/>
  <c r="M40" i="5"/>
  <c r="N40" i="5"/>
  <c r="O40" i="5"/>
  <c r="D40" i="5"/>
  <c r="E38" i="5"/>
  <c r="F38" i="5"/>
  <c r="G38" i="5"/>
  <c r="H38" i="5"/>
  <c r="I38" i="5"/>
  <c r="J38" i="5"/>
  <c r="K38" i="5"/>
  <c r="L38" i="5"/>
  <c r="M38" i="5"/>
  <c r="N38" i="5"/>
  <c r="O38" i="5"/>
  <c r="D38" i="5"/>
  <c r="E36" i="5"/>
  <c r="F36" i="5"/>
  <c r="G36" i="5"/>
  <c r="H36" i="5"/>
  <c r="I36" i="5"/>
  <c r="J36" i="5"/>
  <c r="K36" i="5"/>
  <c r="L36" i="5"/>
  <c r="M36" i="5"/>
  <c r="N36" i="5"/>
  <c r="O36" i="5"/>
  <c r="D36" i="5"/>
  <c r="E34" i="5"/>
  <c r="F34" i="5"/>
  <c r="G34" i="5"/>
  <c r="H34" i="5"/>
  <c r="I34" i="5"/>
  <c r="J34" i="5"/>
  <c r="K34" i="5"/>
  <c r="L34" i="5"/>
  <c r="M34" i="5"/>
  <c r="N34" i="5"/>
  <c r="O34" i="5"/>
  <c r="D34" i="5"/>
  <c r="E32" i="5"/>
  <c r="F32" i="5"/>
  <c r="G32" i="5"/>
  <c r="H32" i="5"/>
  <c r="I32" i="5"/>
  <c r="J32" i="5"/>
  <c r="K32" i="5"/>
  <c r="L32" i="5"/>
  <c r="M32" i="5"/>
  <c r="N32" i="5"/>
  <c r="O32" i="5"/>
  <c r="D32" i="5"/>
  <c r="E30" i="5"/>
  <c r="F30" i="5"/>
  <c r="G30" i="5"/>
  <c r="H30" i="5"/>
  <c r="I30" i="5"/>
  <c r="J30" i="5"/>
  <c r="K30" i="5"/>
  <c r="L30" i="5"/>
  <c r="M30" i="5"/>
  <c r="N30" i="5"/>
  <c r="O30" i="5"/>
  <c r="D30" i="5"/>
  <c r="E28" i="5"/>
  <c r="F28" i="5"/>
  <c r="G28" i="5"/>
  <c r="H28" i="5"/>
  <c r="I28" i="5"/>
  <c r="J28" i="5"/>
  <c r="K28" i="5"/>
  <c r="L28" i="5"/>
  <c r="M28" i="5"/>
  <c r="N28" i="5"/>
  <c r="O28" i="5"/>
  <c r="D28" i="5"/>
  <c r="E26" i="5"/>
  <c r="F26" i="5"/>
  <c r="G26" i="5"/>
  <c r="H26" i="5"/>
  <c r="I26" i="5"/>
  <c r="J26" i="5"/>
  <c r="K26" i="5"/>
  <c r="L26" i="5"/>
  <c r="M26" i="5"/>
  <c r="N26" i="5"/>
  <c r="O26" i="5"/>
  <c r="D26" i="5"/>
  <c r="E24" i="5"/>
  <c r="F24" i="5"/>
  <c r="G24" i="5"/>
  <c r="H24" i="5"/>
  <c r="I24" i="5"/>
  <c r="J24" i="5"/>
  <c r="K24" i="5"/>
  <c r="L24" i="5"/>
  <c r="M24" i="5"/>
  <c r="N24" i="5"/>
  <c r="O24" i="5"/>
  <c r="D24" i="5"/>
  <c r="E22" i="5"/>
  <c r="F22" i="5"/>
  <c r="G22" i="5"/>
  <c r="H22" i="5"/>
  <c r="I22" i="5"/>
  <c r="J22" i="5"/>
  <c r="K22" i="5"/>
  <c r="L22" i="5"/>
  <c r="M22" i="5"/>
  <c r="N22" i="5"/>
  <c r="O22" i="5"/>
  <c r="D22" i="5"/>
  <c r="E20" i="5"/>
  <c r="F20" i="5"/>
  <c r="G20" i="5"/>
  <c r="H20" i="5"/>
  <c r="I20" i="5"/>
  <c r="J20" i="5"/>
  <c r="K20" i="5"/>
  <c r="L20" i="5"/>
  <c r="M20" i="5"/>
  <c r="N20" i="5"/>
  <c r="O20" i="5"/>
  <c r="D20" i="5"/>
  <c r="E18" i="5"/>
  <c r="F18" i="5"/>
  <c r="G18" i="5"/>
  <c r="H18" i="5"/>
  <c r="I18" i="5"/>
  <c r="J18" i="5"/>
  <c r="K18" i="5"/>
  <c r="L18" i="5"/>
  <c r="M18" i="5"/>
  <c r="N18" i="5"/>
  <c r="O18" i="5"/>
  <c r="D18" i="5"/>
  <c r="E16" i="5"/>
  <c r="F16" i="5"/>
  <c r="G16" i="5"/>
  <c r="H16" i="5"/>
  <c r="I16" i="5"/>
  <c r="J16" i="5"/>
  <c r="K16" i="5"/>
  <c r="L16" i="5"/>
  <c r="M16" i="5"/>
  <c r="N16" i="5"/>
  <c r="O16" i="5"/>
  <c r="D16" i="5"/>
  <c r="E14" i="5"/>
  <c r="F14" i="5"/>
  <c r="G14" i="5"/>
  <c r="H14" i="5"/>
  <c r="I14" i="5"/>
  <c r="J14" i="5"/>
  <c r="K14" i="5"/>
  <c r="L14" i="5"/>
  <c r="M14" i="5"/>
  <c r="N14" i="5"/>
  <c r="O14" i="5"/>
  <c r="D14" i="5"/>
  <c r="E9" i="5"/>
  <c r="F9" i="5"/>
  <c r="G9" i="5"/>
  <c r="H9" i="5"/>
  <c r="I9" i="5"/>
  <c r="J9" i="5"/>
  <c r="K9" i="5"/>
  <c r="L9" i="5"/>
  <c r="M9" i="5"/>
  <c r="N9" i="5"/>
  <c r="O9" i="5"/>
  <c r="D9" i="5"/>
  <c r="N28" i="1" l="1"/>
  <c r="N70" i="1" l="1"/>
  <c r="N71" i="1"/>
  <c r="N72" i="1"/>
  <c r="N64" i="1"/>
  <c r="N65" i="1"/>
  <c r="N66" i="1"/>
  <c r="N40" i="1" l="1"/>
  <c r="N37" i="1"/>
  <c r="N38" i="1" l="1"/>
  <c r="N58" i="1"/>
  <c r="D70" i="3" l="1"/>
  <c r="D69" i="3"/>
  <c r="D68" i="3"/>
  <c r="D67" i="3"/>
  <c r="D66" i="3"/>
  <c r="D65" i="3"/>
  <c r="F61" i="3"/>
  <c r="H60" i="3"/>
  <c r="H58" i="3"/>
  <c r="H24" i="3"/>
  <c r="H23" i="3"/>
  <c r="H22" i="3"/>
  <c r="H57" i="3"/>
  <c r="H47" i="3" l="1"/>
  <c r="H19" i="3"/>
  <c r="H32" i="3"/>
  <c r="H36" i="3"/>
  <c r="H14" i="3"/>
  <c r="H35" i="3"/>
  <c r="H48" i="3"/>
  <c r="H56" i="3"/>
  <c r="H12" i="3"/>
  <c r="H17" i="3"/>
  <c r="H33" i="3"/>
  <c r="H44" i="3"/>
  <c r="J24" i="3"/>
  <c r="K24" i="3" s="1"/>
  <c r="L24" i="3" s="1"/>
  <c r="J47" i="3"/>
  <c r="J60" i="3"/>
  <c r="K60" i="3" s="1"/>
  <c r="L60" i="3" s="1"/>
  <c r="H59" i="3"/>
  <c r="H34" i="3"/>
  <c r="J22" i="3"/>
  <c r="K22" i="3" s="1"/>
  <c r="L22" i="3" s="1"/>
  <c r="J23" i="3"/>
  <c r="K23" i="3" s="1"/>
  <c r="L23" i="3" s="1"/>
  <c r="J58" i="3"/>
  <c r="K58" i="3" s="1"/>
  <c r="L58" i="3" s="1"/>
  <c r="H20" i="3"/>
  <c r="H43" i="3"/>
  <c r="H45" i="3"/>
  <c r="H49" i="3"/>
  <c r="H54" i="3"/>
  <c r="H21" i="3"/>
  <c r="H4" i="3"/>
  <c r="H13" i="3"/>
  <c r="H15" i="3"/>
  <c r="H18" i="3"/>
  <c r="H42" i="3"/>
  <c r="K42" i="3" s="1"/>
  <c r="H46" i="3"/>
  <c r="H55" i="3"/>
  <c r="F4" i="8"/>
  <c r="E4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J17" i="3" l="1"/>
  <c r="K17" i="3"/>
  <c r="K14" i="3"/>
  <c r="K47" i="3"/>
  <c r="L47" i="3"/>
  <c r="K43" i="3"/>
  <c r="L43" i="3" s="1"/>
  <c r="J19" i="3"/>
  <c r="K19" i="3" s="1"/>
  <c r="J44" i="3"/>
  <c r="K44" i="3" s="1"/>
  <c r="L44" i="3" s="1"/>
  <c r="J36" i="3"/>
  <c r="K36" i="3"/>
  <c r="L36" i="3" s="1"/>
  <c r="J35" i="3"/>
  <c r="K35" i="3" s="1"/>
  <c r="L35" i="3" s="1"/>
  <c r="J48" i="3"/>
  <c r="K48" i="3" s="1"/>
  <c r="L48" i="3" s="1"/>
  <c r="J32" i="3"/>
  <c r="H40" i="3"/>
  <c r="H52" i="3"/>
  <c r="L42" i="3"/>
  <c r="J12" i="3"/>
  <c r="J56" i="3"/>
  <c r="K56" i="3" s="1"/>
  <c r="L56" i="3" s="1"/>
  <c r="J57" i="3"/>
  <c r="K57" i="3" s="1"/>
  <c r="L57" i="3" s="1"/>
  <c r="H16" i="3"/>
  <c r="H30" i="3" s="1"/>
  <c r="J43" i="3"/>
  <c r="J18" i="3"/>
  <c r="J54" i="3"/>
  <c r="K54" i="3" s="1"/>
  <c r="L54" i="3" s="1"/>
  <c r="H61" i="3"/>
  <c r="J20" i="3"/>
  <c r="K20" i="3" s="1"/>
  <c r="L20" i="3" s="1"/>
  <c r="J13" i="3"/>
  <c r="K13" i="3" s="1"/>
  <c r="J55" i="3"/>
  <c r="K55" i="3" s="1"/>
  <c r="L55" i="3" s="1"/>
  <c r="J46" i="3"/>
  <c r="K46" i="3" s="1"/>
  <c r="L46" i="3" s="1"/>
  <c r="J15" i="3"/>
  <c r="H5" i="3"/>
  <c r="J49" i="3"/>
  <c r="K49" i="3" s="1"/>
  <c r="L49" i="3" s="1"/>
  <c r="J33" i="3"/>
  <c r="K33" i="3" s="1"/>
  <c r="J45" i="3"/>
  <c r="K45" i="3" s="1"/>
  <c r="L45" i="3" s="1"/>
  <c r="J34" i="3"/>
  <c r="K34" i="3" s="1"/>
  <c r="L34" i="3" s="1"/>
  <c r="J4" i="3"/>
  <c r="K4" i="3" s="1"/>
  <c r="J21" i="3"/>
  <c r="K21" i="3" s="1"/>
  <c r="L21" i="3" s="1"/>
  <c r="J59" i="3"/>
  <c r="K59" i="3" s="1"/>
  <c r="L59" i="3" s="1"/>
  <c r="J14" i="3"/>
  <c r="L59" i="7"/>
  <c r="L60" i="7"/>
  <c r="L61" i="7"/>
  <c r="L62" i="7"/>
  <c r="L58" i="7"/>
  <c r="E63" i="7"/>
  <c r="F63" i="7"/>
  <c r="G63" i="7"/>
  <c r="H63" i="7"/>
  <c r="I63" i="7"/>
  <c r="J63" i="7"/>
  <c r="K63" i="7"/>
  <c r="C63" i="7"/>
  <c r="D59" i="7"/>
  <c r="D60" i="7"/>
  <c r="D61" i="7"/>
  <c r="D62" i="7"/>
  <c r="D58" i="7"/>
  <c r="C6" i="8"/>
  <c r="H50" i="7"/>
  <c r="H51" i="7"/>
  <c r="H49" i="7"/>
  <c r="C293" i="2"/>
  <c r="D293" i="2"/>
  <c r="J16" i="3" l="1"/>
  <c r="K18" i="3"/>
  <c r="L18" i="3" s="1"/>
  <c r="J30" i="3"/>
  <c r="L19" i="3"/>
  <c r="K12" i="3"/>
  <c r="L12" i="3" s="1"/>
  <c r="L14" i="3"/>
  <c r="K16" i="3"/>
  <c r="K32" i="3"/>
  <c r="L32" i="3" s="1"/>
  <c r="K15" i="3"/>
  <c r="L15" i="3" s="1"/>
  <c r="L17" i="3"/>
  <c r="L33" i="3"/>
  <c r="J40" i="3"/>
  <c r="H52" i="7"/>
  <c r="D63" i="7"/>
  <c r="L63" i="7"/>
  <c r="L16" i="3"/>
  <c r="L4" i="3"/>
  <c r="H7" i="3"/>
  <c r="H6" i="3"/>
  <c r="L13" i="3"/>
  <c r="J61" i="3"/>
  <c r="J5" i="3"/>
  <c r="J52" i="3"/>
  <c r="F293" i="2"/>
  <c r="L245" i="2" s="1"/>
  <c r="E293" i="2"/>
  <c r="L26" i="7"/>
  <c r="M26" i="7"/>
  <c r="K26" i="7"/>
  <c r="H10" i="3" l="1"/>
  <c r="K5" i="3"/>
  <c r="L5" i="3" s="1"/>
  <c r="J6" i="3"/>
  <c r="J7" i="3"/>
  <c r="K7" i="3" s="1"/>
  <c r="C290" i="2"/>
  <c r="D290" i="2"/>
  <c r="L7" i="3" l="1"/>
  <c r="K6" i="3"/>
  <c r="L6" i="3" s="1"/>
  <c r="J10" i="3"/>
  <c r="E290" i="2"/>
  <c r="I265" i="2" s="1"/>
  <c r="F290" i="2"/>
  <c r="I273" i="2" l="1"/>
  <c r="C291" i="2" l="1"/>
  <c r="D291" i="2"/>
  <c r="C292" i="2"/>
  <c r="D292" i="2"/>
  <c r="P42" i="5"/>
  <c r="N31" i="1"/>
  <c r="F292" i="2" l="1"/>
  <c r="E292" i="2"/>
  <c r="J227" i="2" s="1"/>
  <c r="F291" i="2"/>
  <c r="E291" i="2"/>
  <c r="I266" i="2" s="1"/>
  <c r="P64" i="5" l="1"/>
  <c r="P62" i="5" l="1"/>
  <c r="P26" i="5"/>
  <c r="H235" i="2" l="1"/>
  <c r="D221" i="2" l="1"/>
  <c r="D222" i="2"/>
  <c r="D223" i="2"/>
  <c r="D224" i="2"/>
  <c r="D225" i="2"/>
  <c r="D226" i="2"/>
  <c r="D227" i="2"/>
  <c r="D228" i="2"/>
  <c r="D229" i="2"/>
  <c r="D230" i="2"/>
  <c r="D231" i="2"/>
  <c r="D233" i="2"/>
  <c r="D235" i="2"/>
  <c r="D236" i="2"/>
  <c r="D237" i="2"/>
  <c r="D238" i="2"/>
  <c r="D239" i="2"/>
  <c r="D240" i="2"/>
  <c r="D241" i="2"/>
  <c r="D243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9" i="2"/>
  <c r="D260" i="2"/>
  <c r="D261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C221" i="2"/>
  <c r="C222" i="2"/>
  <c r="C223" i="2"/>
  <c r="C224" i="2"/>
  <c r="C225" i="2"/>
  <c r="C228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1" i="2"/>
  <c r="C252" i="2"/>
  <c r="C253" i="2"/>
  <c r="C254" i="2"/>
  <c r="C255" i="2"/>
  <c r="C256" i="2"/>
  <c r="C257" i="2"/>
  <c r="C258" i="2"/>
  <c r="C259" i="2"/>
  <c r="C260" i="2"/>
  <c r="C261" i="2"/>
  <c r="C264" i="2"/>
  <c r="C265" i="2"/>
  <c r="C266" i="2"/>
  <c r="C267" i="2"/>
  <c r="C269" i="2"/>
  <c r="C272" i="2"/>
  <c r="C273" i="2"/>
  <c r="C274" i="2"/>
  <c r="C275" i="2"/>
  <c r="C276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E233" i="2" l="1"/>
  <c r="J205" i="2" s="1"/>
  <c r="E225" i="2"/>
  <c r="E221" i="2"/>
  <c r="J203" i="2" s="1"/>
  <c r="E265" i="2"/>
  <c r="J224" i="2" s="1"/>
  <c r="E249" i="2"/>
  <c r="J213" i="2" s="1"/>
  <c r="E245" i="2"/>
  <c r="J210" i="2" s="1"/>
  <c r="E229" i="2"/>
  <c r="E261" i="2"/>
  <c r="E257" i="2"/>
  <c r="I249" i="2" s="1"/>
  <c r="E253" i="2"/>
  <c r="J217" i="2" s="1"/>
  <c r="F228" i="2"/>
  <c r="E241" i="2"/>
  <c r="J206" i="2" s="1"/>
  <c r="E237" i="2"/>
  <c r="E287" i="2"/>
  <c r="I263" i="2" s="1"/>
  <c r="E283" i="2"/>
  <c r="E279" i="2"/>
  <c r="I258" i="2" s="1"/>
  <c r="E267" i="2"/>
  <c r="E259" i="2"/>
  <c r="J221" i="2" s="1"/>
  <c r="E255" i="2"/>
  <c r="J219" i="2" s="1"/>
  <c r="E251" i="2"/>
  <c r="J215" i="2" s="1"/>
  <c r="E247" i="2"/>
  <c r="J211" i="2" s="1"/>
  <c r="E243" i="2"/>
  <c r="J208" i="2" s="1"/>
  <c r="E239" i="2"/>
  <c r="E235" i="2"/>
  <c r="E223" i="2"/>
  <c r="I236" i="2" s="1"/>
  <c r="E286" i="2"/>
  <c r="I262" i="2" s="1"/>
  <c r="E282" i="2"/>
  <c r="E278" i="2"/>
  <c r="E274" i="2"/>
  <c r="I256" i="2" s="1"/>
  <c r="E266" i="2"/>
  <c r="I251" i="2" s="1"/>
  <c r="E254" i="2"/>
  <c r="J218" i="2" s="1"/>
  <c r="E246" i="2"/>
  <c r="I248" i="2" s="1"/>
  <c r="E238" i="2"/>
  <c r="E230" i="2"/>
  <c r="E222" i="2"/>
  <c r="F289" i="2"/>
  <c r="F285" i="2"/>
  <c r="F281" i="2"/>
  <c r="L253" i="2" s="1"/>
  <c r="F273" i="2"/>
  <c r="F269" i="2"/>
  <c r="L241" i="2" s="1"/>
  <c r="F265" i="2"/>
  <c r="F261" i="2"/>
  <c r="L239" i="2" s="1"/>
  <c r="F257" i="2"/>
  <c r="F253" i="2"/>
  <c r="F249" i="2"/>
  <c r="F245" i="2"/>
  <c r="F241" i="2"/>
  <c r="F237" i="2"/>
  <c r="I244" i="2" s="1"/>
  <c r="F233" i="2"/>
  <c r="F229" i="2"/>
  <c r="F225" i="2"/>
  <c r="L235" i="2" s="1"/>
  <c r="F221" i="2"/>
  <c r="F288" i="2"/>
  <c r="F284" i="2"/>
  <c r="F280" i="2"/>
  <c r="J229" i="2" s="1"/>
  <c r="I271" i="2" s="1"/>
  <c r="F272" i="2"/>
  <c r="F264" i="2"/>
  <c r="F260" i="2"/>
  <c r="F256" i="2"/>
  <c r="F252" i="2"/>
  <c r="F248" i="2"/>
  <c r="F240" i="2"/>
  <c r="I247" i="2" s="1"/>
  <c r="F236" i="2"/>
  <c r="I243" i="2" s="1"/>
  <c r="F224" i="2"/>
  <c r="E289" i="2"/>
  <c r="J226" i="2" s="1"/>
  <c r="E285" i="2"/>
  <c r="I261" i="2" s="1"/>
  <c r="E281" i="2"/>
  <c r="E273" i="2"/>
  <c r="I255" i="2" s="1"/>
  <c r="E269" i="2"/>
  <c r="F287" i="2"/>
  <c r="F283" i="2"/>
  <c r="F279" i="2"/>
  <c r="F267" i="2"/>
  <c r="L240" i="2" s="1"/>
  <c r="F259" i="2"/>
  <c r="F255" i="2"/>
  <c r="F251" i="2"/>
  <c r="F247" i="2"/>
  <c r="F243" i="2"/>
  <c r="F239" i="2"/>
  <c r="I246" i="2" s="1"/>
  <c r="F235" i="2"/>
  <c r="F231" i="2"/>
  <c r="L236" i="2" s="1"/>
  <c r="F223" i="2"/>
  <c r="E288" i="2"/>
  <c r="I264" i="2" s="1"/>
  <c r="E284" i="2"/>
  <c r="I260" i="2" s="1"/>
  <c r="E280" i="2"/>
  <c r="E272" i="2"/>
  <c r="I254" i="2" s="1"/>
  <c r="E264" i="2"/>
  <c r="I250" i="2" s="1"/>
  <c r="E260" i="2"/>
  <c r="J222" i="2" s="1"/>
  <c r="E256" i="2"/>
  <c r="J220" i="2" s="1"/>
  <c r="E252" i="2"/>
  <c r="J216" i="2" s="1"/>
  <c r="E248" i="2"/>
  <c r="J212" i="2" s="1"/>
  <c r="E240" i="2"/>
  <c r="E236" i="2"/>
  <c r="E228" i="2"/>
  <c r="I240" i="2" s="1"/>
  <c r="E224" i="2"/>
  <c r="I237" i="2" s="1"/>
  <c r="F286" i="2"/>
  <c r="F282" i="2"/>
  <c r="L254" i="2" s="1"/>
  <c r="F278" i="2"/>
  <c r="L244" i="2" s="1"/>
  <c r="F274" i="2"/>
  <c r="F266" i="2"/>
  <c r="F254" i="2"/>
  <c r="F246" i="2"/>
  <c r="F238" i="2"/>
  <c r="I245" i="2" s="1"/>
  <c r="F230" i="2"/>
  <c r="F222" i="2"/>
  <c r="L234" i="2" s="1"/>
  <c r="E231" i="2"/>
  <c r="C277" i="2"/>
  <c r="D276" i="2"/>
  <c r="F276" i="2" s="1"/>
  <c r="L242" i="2" s="1"/>
  <c r="D242" i="2"/>
  <c r="E242" i="2" s="1"/>
  <c r="J207" i="2" s="1"/>
  <c r="C268" i="2"/>
  <c r="F268" i="2" s="1"/>
  <c r="C250" i="2"/>
  <c r="E250" i="2" s="1"/>
  <c r="J214" i="2" s="1"/>
  <c r="C263" i="2"/>
  <c r="F263" i="2" s="1"/>
  <c r="C270" i="2"/>
  <c r="E270" i="2" s="1"/>
  <c r="J225" i="2" s="1"/>
  <c r="C226" i="2"/>
  <c r="E226" i="2" s="1"/>
  <c r="C227" i="2"/>
  <c r="F227" i="2" s="1"/>
  <c r="D275" i="2"/>
  <c r="F275" i="2" s="1"/>
  <c r="C271" i="2"/>
  <c r="E271" i="2" s="1"/>
  <c r="I253" i="2" s="1"/>
  <c r="D232" i="2"/>
  <c r="F232" i="2" s="1"/>
  <c r="C220" i="2"/>
  <c r="I242" i="2" l="1"/>
  <c r="I259" i="2"/>
  <c r="I241" i="2"/>
  <c r="L252" i="2"/>
  <c r="F270" i="2"/>
  <c r="F226" i="2"/>
  <c r="L248" i="2" s="1"/>
  <c r="F242" i="2"/>
  <c r="E275" i="2"/>
  <c r="I257" i="2" s="1"/>
  <c r="D262" i="2"/>
  <c r="D244" i="2"/>
  <c r="D234" i="2"/>
  <c r="E276" i="2"/>
  <c r="F271" i="2"/>
  <c r="E227" i="2"/>
  <c r="I239" i="2" s="1"/>
  <c r="E263" i="2"/>
  <c r="J223" i="2" s="1"/>
  <c r="F250" i="2"/>
  <c r="E232" i="2"/>
  <c r="J204" i="2" s="1"/>
  <c r="E268" i="2"/>
  <c r="I252" i="2" s="1"/>
  <c r="D220" i="2" l="1"/>
  <c r="F220" i="2" s="1"/>
  <c r="L233" i="2" s="1"/>
  <c r="E234" i="2"/>
  <c r="F234" i="2"/>
  <c r="L237" i="2" s="1"/>
  <c r="F244" i="2"/>
  <c r="E244" i="2"/>
  <c r="J209" i="2" s="1"/>
  <c r="J230" i="2" s="1"/>
  <c r="E220" i="2" l="1"/>
  <c r="D277" i="2" l="1"/>
  <c r="F277" i="2" l="1"/>
  <c r="E277" i="2"/>
  <c r="L243" i="2" l="1"/>
  <c r="N19" i="1" l="1"/>
  <c r="N83" i="1" l="1"/>
  <c r="N84" i="1"/>
  <c r="N77" i="1"/>
  <c r="N87" i="1"/>
  <c r="N76" i="1"/>
  <c r="C52" i="1"/>
  <c r="D52" i="1"/>
  <c r="E52" i="1"/>
  <c r="F52" i="1"/>
  <c r="G52" i="1"/>
  <c r="H52" i="1"/>
  <c r="I52" i="1"/>
  <c r="J52" i="1"/>
  <c r="K52" i="1"/>
  <c r="L52" i="1"/>
  <c r="M52" i="1"/>
  <c r="B52" i="1"/>
  <c r="N79" i="1" l="1"/>
  <c r="N78" i="1"/>
  <c r="N75" i="1"/>
  <c r="C60" i="1"/>
  <c r="D60" i="1"/>
  <c r="E60" i="1"/>
  <c r="F60" i="1"/>
  <c r="G60" i="1"/>
  <c r="H60" i="1"/>
  <c r="I60" i="1"/>
  <c r="J60" i="1"/>
  <c r="K60" i="1"/>
  <c r="L60" i="1"/>
  <c r="M60" i="1"/>
  <c r="B60" i="1"/>
  <c r="N43" i="1" l="1"/>
  <c r="P94" i="5" l="1"/>
  <c r="P92" i="5"/>
  <c r="P79" i="5"/>
  <c r="P81" i="5"/>
  <c r="P83" i="5"/>
  <c r="P85" i="5"/>
  <c r="P87" i="5"/>
  <c r="P71" i="5"/>
  <c r="P73" i="5"/>
  <c r="P75" i="5"/>
  <c r="P77" i="5"/>
  <c r="P69" i="5"/>
  <c r="P56" i="5"/>
  <c r="P28" i="5"/>
  <c r="P22" i="5"/>
  <c r="P54" i="5" l="1"/>
  <c r="P24" i="5"/>
  <c r="P30" i="5"/>
  <c r="N69" i="1" l="1"/>
  <c r="D219" i="2"/>
  <c r="C219" i="2"/>
  <c r="N86" i="1" l="1"/>
  <c r="N85" i="1"/>
  <c r="N42" i="1"/>
  <c r="N17" i="1"/>
  <c r="N18" i="1"/>
  <c r="N20" i="1"/>
  <c r="N21" i="1"/>
  <c r="N88" i="1" l="1"/>
  <c r="P52" i="5"/>
  <c r="P46" i="5"/>
  <c r="P44" i="5"/>
  <c r="P36" i="5"/>
  <c r="P18" i="5"/>
  <c r="O5" i="5"/>
  <c r="O43" i="5" s="1"/>
  <c r="N5" i="5"/>
  <c r="N43" i="5" s="1"/>
  <c r="M5" i="5"/>
  <c r="M43" i="5" s="1"/>
  <c r="L5" i="5"/>
  <c r="L43" i="5" s="1"/>
  <c r="K5" i="5"/>
  <c r="K43" i="5" s="1"/>
  <c r="J5" i="5"/>
  <c r="J43" i="5" s="1"/>
  <c r="I5" i="5"/>
  <c r="I43" i="5" s="1"/>
  <c r="H5" i="5"/>
  <c r="H43" i="5" s="1"/>
  <c r="G5" i="5"/>
  <c r="G43" i="5" s="1"/>
  <c r="F5" i="5"/>
  <c r="F43" i="5" s="1"/>
  <c r="E5" i="5"/>
  <c r="E43" i="5" s="1"/>
  <c r="D5" i="5"/>
  <c r="D43" i="5" s="1"/>
  <c r="C5" i="5"/>
  <c r="B5" i="1"/>
  <c r="C5" i="1"/>
  <c r="D5" i="1"/>
  <c r="E5" i="1"/>
  <c r="F5" i="1"/>
  <c r="G5" i="1"/>
  <c r="H5" i="1"/>
  <c r="I5" i="1"/>
  <c r="J5" i="1"/>
  <c r="K5" i="1"/>
  <c r="L5" i="1"/>
  <c r="M5" i="1"/>
  <c r="A5" i="1"/>
  <c r="D65" i="5" l="1"/>
  <c r="C97" i="5"/>
  <c r="P97" i="5" s="1"/>
  <c r="Q96" i="5" s="1"/>
  <c r="P43" i="5"/>
  <c r="E88" i="5"/>
  <c r="E65" i="5"/>
  <c r="E27" i="5"/>
  <c r="E63" i="5"/>
  <c r="I88" i="5"/>
  <c r="I65" i="5"/>
  <c r="I27" i="5"/>
  <c r="I63" i="5"/>
  <c r="M88" i="5"/>
  <c r="M65" i="5"/>
  <c r="M27" i="5"/>
  <c r="M63" i="5"/>
  <c r="F88" i="5"/>
  <c r="F63" i="5"/>
  <c r="F27" i="5"/>
  <c r="F65" i="5"/>
  <c r="J88" i="5"/>
  <c r="J27" i="5"/>
  <c r="J65" i="5"/>
  <c r="J63" i="5"/>
  <c r="N88" i="5"/>
  <c r="N27" i="5"/>
  <c r="N65" i="5"/>
  <c r="N63" i="5"/>
  <c r="G88" i="5"/>
  <c r="G65" i="5"/>
  <c r="G27" i="5"/>
  <c r="G63" i="5"/>
  <c r="K88" i="5"/>
  <c r="K27" i="5"/>
  <c r="K63" i="5"/>
  <c r="K65" i="5"/>
  <c r="O88" i="5"/>
  <c r="O65" i="5"/>
  <c r="O27" i="5"/>
  <c r="O63" i="5"/>
  <c r="D88" i="5"/>
  <c r="D63" i="5"/>
  <c r="D27" i="5"/>
  <c r="H88" i="5"/>
  <c r="H65" i="5"/>
  <c r="H27" i="5"/>
  <c r="H63" i="5"/>
  <c r="L88" i="5"/>
  <c r="L65" i="5"/>
  <c r="L63" i="5"/>
  <c r="L27" i="5"/>
  <c r="E82" i="5"/>
  <c r="E84" i="5"/>
  <c r="E78" i="5"/>
  <c r="E76" i="5"/>
  <c r="E74" i="5"/>
  <c r="E72" i="5"/>
  <c r="E70" i="5"/>
  <c r="E95" i="5"/>
  <c r="E93" i="5"/>
  <c r="E86" i="5"/>
  <c r="E80" i="5"/>
  <c r="I84" i="5"/>
  <c r="I78" i="5"/>
  <c r="I76" i="5"/>
  <c r="I74" i="5"/>
  <c r="I72" i="5"/>
  <c r="I70" i="5"/>
  <c r="I95" i="5"/>
  <c r="I93" i="5"/>
  <c r="I86" i="5"/>
  <c r="I82" i="5"/>
  <c r="I80" i="5"/>
  <c r="M80" i="5"/>
  <c r="M84" i="5"/>
  <c r="M78" i="5"/>
  <c r="M76" i="5"/>
  <c r="M74" i="5"/>
  <c r="M72" i="5"/>
  <c r="M70" i="5"/>
  <c r="M95" i="5"/>
  <c r="M93" i="5"/>
  <c r="M86" i="5"/>
  <c r="M82" i="5"/>
  <c r="D82" i="5"/>
  <c r="D80" i="5"/>
  <c r="D84" i="5"/>
  <c r="D78" i="5"/>
  <c r="D76" i="5"/>
  <c r="D74" i="5"/>
  <c r="D72" i="5"/>
  <c r="D70" i="5"/>
  <c r="D95" i="5"/>
  <c r="D93" i="5"/>
  <c r="D86" i="5"/>
  <c r="H82" i="5"/>
  <c r="H80" i="5"/>
  <c r="H84" i="5"/>
  <c r="H78" i="5"/>
  <c r="H76" i="5"/>
  <c r="H74" i="5"/>
  <c r="H72" i="5"/>
  <c r="H70" i="5"/>
  <c r="H95" i="5"/>
  <c r="H93" i="5"/>
  <c r="H86" i="5"/>
  <c r="L82" i="5"/>
  <c r="L80" i="5"/>
  <c r="L84" i="5"/>
  <c r="L78" i="5"/>
  <c r="L76" i="5"/>
  <c r="L74" i="5"/>
  <c r="L72" i="5"/>
  <c r="L70" i="5"/>
  <c r="L95" i="5"/>
  <c r="L93" i="5"/>
  <c r="L86" i="5"/>
  <c r="C88" i="5"/>
  <c r="C74" i="5"/>
  <c r="C82" i="5"/>
  <c r="C80" i="5"/>
  <c r="C76" i="5"/>
  <c r="C93" i="5"/>
  <c r="C84" i="5"/>
  <c r="C78" i="5"/>
  <c r="C70" i="5"/>
  <c r="C95" i="5"/>
  <c r="C86" i="5"/>
  <c r="C72" i="5"/>
  <c r="G95" i="5"/>
  <c r="G93" i="5"/>
  <c r="G86" i="5"/>
  <c r="G82" i="5"/>
  <c r="G80" i="5"/>
  <c r="G84" i="5"/>
  <c r="G78" i="5"/>
  <c r="G76" i="5"/>
  <c r="G74" i="5"/>
  <c r="G72" i="5"/>
  <c r="G70" i="5"/>
  <c r="K93" i="5"/>
  <c r="K86" i="5"/>
  <c r="K82" i="5"/>
  <c r="K80" i="5"/>
  <c r="K84" i="5"/>
  <c r="K78" i="5"/>
  <c r="K76" i="5"/>
  <c r="K74" i="5"/>
  <c r="K72" i="5"/>
  <c r="K70" i="5"/>
  <c r="K95" i="5"/>
  <c r="O95" i="5"/>
  <c r="O93" i="5"/>
  <c r="O82" i="5"/>
  <c r="O80" i="5"/>
  <c r="O84" i="5"/>
  <c r="O78" i="5"/>
  <c r="O76" i="5"/>
  <c r="O74" i="5"/>
  <c r="O72" i="5"/>
  <c r="O70" i="5"/>
  <c r="O86" i="5"/>
  <c r="F84" i="5"/>
  <c r="F74" i="5"/>
  <c r="F72" i="5"/>
  <c r="F95" i="5"/>
  <c r="F93" i="5"/>
  <c r="F86" i="5"/>
  <c r="F82" i="5"/>
  <c r="F80" i="5"/>
  <c r="F78" i="5"/>
  <c r="F76" i="5"/>
  <c r="F70" i="5"/>
  <c r="J95" i="5"/>
  <c r="J93" i="5"/>
  <c r="J86" i="5"/>
  <c r="J82" i="5"/>
  <c r="J80" i="5"/>
  <c r="J84" i="5"/>
  <c r="J78" i="5"/>
  <c r="J76" i="5"/>
  <c r="J74" i="5"/>
  <c r="J72" i="5"/>
  <c r="J70" i="5"/>
  <c r="N80" i="5"/>
  <c r="N78" i="5"/>
  <c r="N70" i="5"/>
  <c r="N95" i="5"/>
  <c r="N93" i="5"/>
  <c r="N86" i="5"/>
  <c r="N82" i="5"/>
  <c r="N84" i="5"/>
  <c r="N76" i="5"/>
  <c r="N74" i="5"/>
  <c r="N72" i="5"/>
  <c r="E57" i="5"/>
  <c r="E55" i="5"/>
  <c r="I57" i="5"/>
  <c r="I55" i="5"/>
  <c r="M57" i="5"/>
  <c r="M55" i="5"/>
  <c r="D57" i="5"/>
  <c r="D55" i="5"/>
  <c r="H57" i="5"/>
  <c r="H55" i="5"/>
  <c r="L57" i="5"/>
  <c r="L55" i="5"/>
  <c r="G57" i="5"/>
  <c r="G55" i="5"/>
  <c r="K57" i="5"/>
  <c r="K55" i="5"/>
  <c r="O57" i="5"/>
  <c r="O55" i="5"/>
  <c r="F57" i="5"/>
  <c r="F55" i="5"/>
  <c r="J57" i="5"/>
  <c r="J55" i="5"/>
  <c r="N57" i="5"/>
  <c r="N55" i="5"/>
  <c r="D53" i="5"/>
  <c r="D31" i="5"/>
  <c r="D29" i="5"/>
  <c r="D23" i="5"/>
  <c r="D25" i="5"/>
  <c r="H53" i="5"/>
  <c r="H31" i="5"/>
  <c r="H23" i="5"/>
  <c r="H29" i="5"/>
  <c r="H25" i="5"/>
  <c r="L53" i="5"/>
  <c r="L25" i="5"/>
  <c r="L31" i="5"/>
  <c r="L23" i="5"/>
  <c r="L29" i="5"/>
  <c r="G47" i="5"/>
  <c r="G31" i="5"/>
  <c r="G29" i="5"/>
  <c r="G25" i="5"/>
  <c r="G23" i="5"/>
  <c r="K47" i="5"/>
  <c r="K29" i="5"/>
  <c r="K25" i="5"/>
  <c r="K23" i="5"/>
  <c r="K31" i="5"/>
  <c r="O47" i="5"/>
  <c r="O31" i="5"/>
  <c r="O29" i="5"/>
  <c r="O23" i="5"/>
  <c r="O25" i="5"/>
  <c r="F45" i="5"/>
  <c r="F31" i="5"/>
  <c r="F29" i="5"/>
  <c r="F25" i="5"/>
  <c r="F23" i="5"/>
  <c r="J45" i="5"/>
  <c r="J31" i="5"/>
  <c r="J29" i="5"/>
  <c r="J25" i="5"/>
  <c r="J23" i="5"/>
  <c r="N45" i="5"/>
  <c r="N31" i="5"/>
  <c r="N29" i="5"/>
  <c r="N25" i="5"/>
  <c r="N23" i="5"/>
  <c r="E37" i="5"/>
  <c r="E31" i="5"/>
  <c r="E25" i="5"/>
  <c r="E29" i="5"/>
  <c r="E23" i="5"/>
  <c r="I49" i="5"/>
  <c r="I31" i="5"/>
  <c r="I29" i="5"/>
  <c r="I23" i="5"/>
  <c r="I25" i="5"/>
  <c r="M49" i="5"/>
  <c r="M31" i="5"/>
  <c r="M25" i="5"/>
  <c r="M29" i="5"/>
  <c r="M23" i="5"/>
  <c r="P58" i="5"/>
  <c r="P60" i="5"/>
  <c r="J33" i="5"/>
  <c r="N33" i="5"/>
  <c r="F35" i="5"/>
  <c r="J35" i="5"/>
  <c r="N35" i="5"/>
  <c r="F39" i="5"/>
  <c r="J39" i="5"/>
  <c r="F49" i="5"/>
  <c r="J10" i="5"/>
  <c r="N10" i="5"/>
  <c r="F15" i="5"/>
  <c r="J15" i="5"/>
  <c r="N15" i="5"/>
  <c r="F17" i="5"/>
  <c r="J17" i="5"/>
  <c r="N17" i="5"/>
  <c r="K33" i="5"/>
  <c r="O33" i="5"/>
  <c r="G35" i="5"/>
  <c r="K35" i="5"/>
  <c r="P40" i="5"/>
  <c r="N41" i="5"/>
  <c r="J51" i="5"/>
  <c r="N51" i="5"/>
  <c r="N39" i="5"/>
  <c r="M21" i="5"/>
  <c r="E33" i="5"/>
  <c r="O35" i="5"/>
  <c r="G39" i="5"/>
  <c r="L39" i="5"/>
  <c r="I41" i="5"/>
  <c r="E51" i="5"/>
  <c r="E59" i="5"/>
  <c r="I59" i="5"/>
  <c r="M59" i="5"/>
  <c r="E61" i="5"/>
  <c r="I61" i="5"/>
  <c r="M61" i="5"/>
  <c r="I15" i="5"/>
  <c r="I17" i="5"/>
  <c r="K39" i="5"/>
  <c r="O39" i="5"/>
  <c r="H41" i="5"/>
  <c r="M41" i="5"/>
  <c r="D51" i="5"/>
  <c r="H51" i="5"/>
  <c r="M51" i="5"/>
  <c r="H59" i="5"/>
  <c r="L59" i="5"/>
  <c r="H61" i="5"/>
  <c r="L61" i="5"/>
  <c r="I10" i="5"/>
  <c r="M10" i="5"/>
  <c r="M15" i="5"/>
  <c r="E17" i="5"/>
  <c r="H49" i="5"/>
  <c r="L10" i="5"/>
  <c r="H15" i="5"/>
  <c r="L15" i="5"/>
  <c r="D17" i="5"/>
  <c r="H17" i="5"/>
  <c r="L17" i="5"/>
  <c r="O21" i="5"/>
  <c r="I33" i="5"/>
  <c r="M33" i="5"/>
  <c r="E35" i="5"/>
  <c r="I35" i="5"/>
  <c r="M35" i="5"/>
  <c r="E39" i="5"/>
  <c r="G41" i="5"/>
  <c r="L41" i="5"/>
  <c r="E49" i="5"/>
  <c r="G51" i="5"/>
  <c r="L51" i="5"/>
  <c r="G59" i="5"/>
  <c r="K59" i="5"/>
  <c r="O59" i="5"/>
  <c r="G61" i="5"/>
  <c r="K61" i="5"/>
  <c r="D49" i="5"/>
  <c r="E15" i="5"/>
  <c r="M17" i="5"/>
  <c r="G10" i="5"/>
  <c r="K10" i="5"/>
  <c r="O10" i="5"/>
  <c r="G15" i="5"/>
  <c r="K15" i="5"/>
  <c r="O15" i="5"/>
  <c r="G17" i="5"/>
  <c r="K17" i="5"/>
  <c r="O17" i="5"/>
  <c r="N21" i="5"/>
  <c r="F33" i="5"/>
  <c r="L33" i="5"/>
  <c r="D35" i="5"/>
  <c r="H35" i="5"/>
  <c r="L35" i="5"/>
  <c r="D39" i="5"/>
  <c r="I39" i="5"/>
  <c r="M39" i="5"/>
  <c r="F41" i="5"/>
  <c r="K41" i="5"/>
  <c r="O41" i="5"/>
  <c r="K51" i="5"/>
  <c r="O51" i="5"/>
  <c r="F59" i="5"/>
  <c r="J59" i="5"/>
  <c r="N59" i="5"/>
  <c r="F61" i="5"/>
  <c r="J61" i="5"/>
  <c r="N61" i="5"/>
  <c r="P20" i="5"/>
  <c r="P32" i="5"/>
  <c r="G49" i="5"/>
  <c r="P50" i="5"/>
  <c r="M19" i="5"/>
  <c r="I19" i="5"/>
  <c r="E19" i="5"/>
  <c r="J21" i="5"/>
  <c r="F21" i="5"/>
  <c r="G33" i="5"/>
  <c r="N37" i="5"/>
  <c r="J37" i="5"/>
  <c r="F37" i="5"/>
  <c r="D41" i="5"/>
  <c r="O45" i="5"/>
  <c r="K45" i="5"/>
  <c r="G45" i="5"/>
  <c r="D47" i="5"/>
  <c r="L47" i="5"/>
  <c r="H47" i="5"/>
  <c r="N49" i="5"/>
  <c r="J49" i="5"/>
  <c r="M53" i="5"/>
  <c r="I53" i="5"/>
  <c r="E53" i="5"/>
  <c r="P14" i="5"/>
  <c r="P16" i="5"/>
  <c r="D10" i="5"/>
  <c r="H10" i="5"/>
  <c r="D15" i="5"/>
  <c r="N19" i="5"/>
  <c r="J19" i="5"/>
  <c r="F19" i="5"/>
  <c r="K21" i="5"/>
  <c r="G21" i="5"/>
  <c r="D33" i="5"/>
  <c r="H33" i="5"/>
  <c r="O37" i="5"/>
  <c r="K37" i="5"/>
  <c r="G37" i="5"/>
  <c r="H39" i="5"/>
  <c r="E41" i="5"/>
  <c r="D45" i="5"/>
  <c r="L45" i="5"/>
  <c r="H45" i="5"/>
  <c r="M47" i="5"/>
  <c r="I47" i="5"/>
  <c r="E47" i="5"/>
  <c r="O49" i="5"/>
  <c r="K49" i="5"/>
  <c r="I51" i="5"/>
  <c r="N53" i="5"/>
  <c r="J53" i="5"/>
  <c r="F53" i="5"/>
  <c r="P34" i="5"/>
  <c r="P38" i="5"/>
  <c r="E10" i="5"/>
  <c r="O19" i="5"/>
  <c r="K19" i="5"/>
  <c r="G19" i="5"/>
  <c r="D21" i="5"/>
  <c r="L21" i="5"/>
  <c r="H21" i="5"/>
  <c r="D37" i="5"/>
  <c r="L37" i="5"/>
  <c r="H37" i="5"/>
  <c r="J41" i="5"/>
  <c r="M45" i="5"/>
  <c r="I45" i="5"/>
  <c r="E45" i="5"/>
  <c r="N47" i="5"/>
  <c r="J47" i="5"/>
  <c r="F47" i="5"/>
  <c r="L49" i="5"/>
  <c r="F51" i="5"/>
  <c r="O53" i="5"/>
  <c r="K53" i="5"/>
  <c r="G53" i="5"/>
  <c r="O61" i="5"/>
  <c r="F10" i="5"/>
  <c r="D19" i="5"/>
  <c r="L19" i="5"/>
  <c r="H19" i="5"/>
  <c r="I21" i="5"/>
  <c r="E21" i="5"/>
  <c r="M37" i="5"/>
  <c r="I37" i="5"/>
  <c r="D59" i="5"/>
  <c r="D61" i="5"/>
  <c r="P9" i="5"/>
  <c r="Q42" i="5" l="1"/>
  <c r="P88" i="5"/>
  <c r="Q87" i="5" s="1"/>
  <c r="P27" i="5"/>
  <c r="Q26" i="5" s="1"/>
  <c r="P63" i="5"/>
  <c r="Q62" i="5" s="1"/>
  <c r="P65" i="5"/>
  <c r="Q64" i="5" s="1"/>
  <c r="P93" i="5"/>
  <c r="Q92" i="5" s="1"/>
  <c r="P74" i="5"/>
  <c r="Q73" i="5" s="1"/>
  <c r="P86" i="5"/>
  <c r="Q85" i="5" s="1"/>
  <c r="P84" i="5"/>
  <c r="Q83" i="5" s="1"/>
  <c r="P70" i="5"/>
  <c r="Q69" i="5" s="1"/>
  <c r="P82" i="5"/>
  <c r="Q81" i="5" s="1"/>
  <c r="P80" i="5"/>
  <c r="Q79" i="5" s="1"/>
  <c r="P72" i="5"/>
  <c r="Q71" i="5" s="1"/>
  <c r="P57" i="5"/>
  <c r="Q56" i="5" s="1"/>
  <c r="P76" i="5"/>
  <c r="Q75" i="5" s="1"/>
  <c r="P78" i="5"/>
  <c r="Q77" i="5" s="1"/>
  <c r="P95" i="5"/>
  <c r="Q94" i="5" s="1"/>
  <c r="P55" i="5"/>
  <c r="Q54" i="5" s="1"/>
  <c r="P31" i="5"/>
  <c r="Q30" i="5" s="1"/>
  <c r="P23" i="5"/>
  <c r="Q22" i="5" s="1"/>
  <c r="P29" i="5"/>
  <c r="Q28" i="5" s="1"/>
  <c r="P25" i="5"/>
  <c r="Q24" i="5" s="1"/>
  <c r="P51" i="5"/>
  <c r="Q50" i="5" s="1"/>
  <c r="P21" i="5"/>
  <c r="Q20" i="5" s="1"/>
  <c r="P39" i="5"/>
  <c r="Q38" i="5" s="1"/>
  <c r="P33" i="5"/>
  <c r="Q32" i="5" s="1"/>
  <c r="P35" i="5"/>
  <c r="Q34" i="5" s="1"/>
  <c r="P48" i="5"/>
  <c r="P59" i="5"/>
  <c r="Q58" i="5" s="1"/>
  <c r="P49" i="5"/>
  <c r="P61" i="5"/>
  <c r="Q60" i="5" s="1"/>
  <c r="P15" i="5"/>
  <c r="Q14" i="5" s="1"/>
  <c r="P17" i="5"/>
  <c r="Q16" i="5" s="1"/>
  <c r="P41" i="5"/>
  <c r="Q40" i="5" s="1"/>
  <c r="P53" i="5"/>
  <c r="Q52" i="5" s="1"/>
  <c r="P45" i="5"/>
  <c r="Q44" i="5" s="1"/>
  <c r="P19" i="5"/>
  <c r="P10" i="5"/>
  <c r="Q9" i="5" s="1"/>
  <c r="P47" i="5"/>
  <c r="Q46" i="5" s="1"/>
  <c r="P37" i="5"/>
  <c r="Q36" i="5" s="1"/>
  <c r="N15" i="1"/>
  <c r="N16" i="1"/>
  <c r="N50" i="1"/>
  <c r="N48" i="1"/>
  <c r="N47" i="1"/>
  <c r="N41" i="1"/>
  <c r="N35" i="1"/>
  <c r="N9" i="1"/>
  <c r="P11" i="1" s="1"/>
  <c r="R12" i="5" l="1"/>
  <c r="Q48" i="5"/>
  <c r="Q18" i="5"/>
  <c r="N63" i="1"/>
  <c r="N55" i="1"/>
  <c r="N39" i="1"/>
  <c r="N49" i="1"/>
  <c r="F219" i="2" l="1"/>
  <c r="E219" i="2"/>
  <c r="I235" i="2" l="1"/>
  <c r="I267" i="2" s="1"/>
  <c r="N27" i="1" l="1"/>
  <c r="N14" i="1"/>
  <c r="N22" i="1"/>
  <c r="N23" i="1"/>
  <c r="N24" i="1"/>
  <c r="N25" i="1"/>
  <c r="N26" i="1"/>
  <c r="N13" i="1"/>
  <c r="N33" i="1" l="1"/>
  <c r="I270" i="2" l="1"/>
  <c r="I275" i="2" s="1"/>
  <c r="I276" i="2" s="1"/>
  <c r="C207" i="2" s="1"/>
  <c r="D211" i="2" s="1"/>
  <c r="C262" i="2" l="1"/>
  <c r="E262" i="2" s="1"/>
  <c r="J231" i="2" s="1"/>
  <c r="J232" i="2" s="1"/>
  <c r="L255" i="2" s="1"/>
  <c r="L256" i="2" s="1"/>
  <c r="D258" i="2"/>
  <c r="C213" i="2"/>
  <c r="C298" i="2" l="1"/>
  <c r="F262" i="2"/>
  <c r="F258" i="2"/>
  <c r="L238" i="2" s="1"/>
  <c r="L249" i="2" s="1"/>
  <c r="M249" i="2" s="1"/>
  <c r="E258" i="2"/>
  <c r="E298" i="2" s="1"/>
  <c r="D298" i="2"/>
  <c r="M256" i="2"/>
  <c r="D213" i="2"/>
  <c r="F213" i="2" s="1"/>
  <c r="I279" i="2"/>
  <c r="F298" i="2" l="1"/>
  <c r="L267" i="2"/>
</calcChain>
</file>

<file path=xl/comments1.xml><?xml version="1.0" encoding="utf-8"?>
<comments xmlns="http://schemas.openxmlformats.org/spreadsheetml/2006/main">
  <authors>
    <author>Agrotransporte 1</author>
    <author>Usuario</author>
    <author>Sergio</author>
    <author>Luffi</author>
  </authors>
  <commentList>
    <comment ref="B24" authorId="0" shapeId="0">
      <text>
        <r>
          <rPr>
            <b/>
            <sz val="9"/>
            <color indexed="81"/>
            <rFont val="Tahoma"/>
            <charset val="1"/>
          </rPr>
          <t>Agrotransporte 1:</t>
        </r>
        <r>
          <rPr>
            <sz val="9"/>
            <color indexed="81"/>
            <rFont val="Tahoma"/>
            <charset val="1"/>
          </rPr>
          <t xml:space="preserve">
muebles y utiles 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Agrotransporte 1:</t>
        </r>
        <r>
          <rPr>
            <sz val="9"/>
            <color indexed="81"/>
            <rFont val="Tahoma"/>
            <charset val="1"/>
          </rPr>
          <t xml:space="preserve">
acoplado tolba para semilla
</t>
        </r>
      </text>
    </comment>
    <comment ref="E24" authorId="1" shapeId="0">
      <text>
        <r>
          <rPr>
            <b/>
            <sz val="9"/>
            <color indexed="81"/>
            <rFont val="Tahoma"/>
            <family val="2"/>
          </rPr>
          <t>Computadora</t>
        </r>
      </text>
    </comment>
    <comment ref="F24" authorId="1" shapeId="0">
      <text>
        <r>
          <rPr>
            <b/>
            <sz val="9"/>
            <color indexed="81"/>
            <rFont val="Tahoma"/>
            <family val="2"/>
          </rPr>
          <t>Muebles de oficina</t>
        </r>
      </text>
    </comment>
    <comment ref="L49" authorId="2" shapeId="0">
      <text>
        <r>
          <rPr>
            <b/>
            <sz val="9"/>
            <color indexed="81"/>
            <rFont val="Tahoma"/>
            <family val="2"/>
          </rPr>
          <t>Devolucion de retenciones: $26.553,92</t>
        </r>
      </text>
    </comment>
    <comment ref="G51" authorId="3" shape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se utiliza la diferencia para pagar con saldo libre
</t>
        </r>
      </text>
    </comment>
    <comment ref="F52" authorId="2" shapeId="0">
      <text>
        <r>
          <rPr>
            <b/>
            <sz val="9"/>
            <color indexed="81"/>
            <rFont val="Tahoma"/>
            <family val="2"/>
          </rPr>
          <t>En plan de pagos P440125</t>
        </r>
      </text>
    </comment>
    <comment ref="G52" authorId="2" shapeId="0">
      <text>
        <r>
          <rPr>
            <b/>
            <sz val="9"/>
            <color indexed="81"/>
            <rFont val="Tahoma"/>
            <family val="2"/>
          </rPr>
          <t>En plan de pagos P440125</t>
        </r>
      </text>
    </comment>
    <comment ref="H52" authorId="2" shapeId="0">
      <text>
        <r>
          <rPr>
            <b/>
            <sz val="9"/>
            <color indexed="81"/>
            <rFont val="Tahoma"/>
            <family val="2"/>
          </rPr>
          <t>En plan de pagos P440125</t>
        </r>
      </text>
    </comment>
    <comment ref="B59" authorId="2" shapeId="0">
      <text>
        <r>
          <rPr>
            <b/>
            <sz val="9"/>
            <color indexed="81"/>
            <rFont val="Tahoma"/>
            <family val="2"/>
          </rPr>
          <t xml:space="preserve">Saldo a favor diciembre 2021 $240.796,15. Se compenso $236.790,63 </t>
        </r>
      </text>
    </comment>
  </commentList>
</comments>
</file>

<file path=xl/sharedStrings.xml><?xml version="1.0" encoding="utf-8"?>
<sst xmlns="http://schemas.openxmlformats.org/spreadsheetml/2006/main" count="1039" uniqueCount="307">
  <si>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</si>
  <si>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</si>
  <si>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</si>
  <si>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</si>
  <si>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</si>
  <si>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</si>
  <si>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</si>
  <si>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</si>
  <si>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</si>
  <si>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</si>
  <si>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</si>
  <si>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</si>
  <si>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Gs. Grales</t>
  </si>
  <si>
    <t>Librería/ Informatica</t>
  </si>
  <si>
    <t>No gravado</t>
  </si>
  <si>
    <t>Combustible</t>
  </si>
  <si>
    <t>Bs de Uso</t>
  </si>
  <si>
    <t>Gs. Construcion</t>
  </si>
  <si>
    <t>totales</t>
  </si>
  <si>
    <t>total Gral</t>
  </si>
  <si>
    <t>Mant. Rodado</t>
  </si>
  <si>
    <t xml:space="preserve">VENTAS </t>
  </si>
  <si>
    <t>Rubros</t>
  </si>
  <si>
    <t>Bien</t>
  </si>
  <si>
    <t>compra</t>
  </si>
  <si>
    <t>amortizacion</t>
  </si>
  <si>
    <t>años vida util</t>
  </si>
  <si>
    <t>Muebles y utiles</t>
  </si>
  <si>
    <t>Mesa</t>
  </si>
  <si>
    <t>Horno</t>
  </si>
  <si>
    <t>Frezer</t>
  </si>
  <si>
    <t>Kit hidraulico</t>
  </si>
  <si>
    <t>Rodados</t>
  </si>
  <si>
    <t>Semiremolque</t>
  </si>
  <si>
    <t>Camion</t>
  </si>
  <si>
    <t>Maquinarias</t>
  </si>
  <si>
    <t>Instalaciones</t>
  </si>
  <si>
    <t>Aire acondicionado</t>
  </si>
  <si>
    <t>Ejercicio anterior</t>
  </si>
  <si>
    <t>Equipos informaticos</t>
  </si>
  <si>
    <t>FECHA</t>
  </si>
  <si>
    <t>CONCEPTO</t>
  </si>
  <si>
    <t>DEBE</t>
  </si>
  <si>
    <t>HABER</t>
  </si>
  <si>
    <t xml:space="preserve">Caja </t>
  </si>
  <si>
    <t>Bco. Nacion Cta Cte</t>
  </si>
  <si>
    <t>Iva a favor</t>
  </si>
  <si>
    <t xml:space="preserve">Ret. Gcias. </t>
  </si>
  <si>
    <t xml:space="preserve">Maquinarias </t>
  </si>
  <si>
    <t>Equip. Informaticos</t>
  </si>
  <si>
    <t xml:space="preserve">Instalaciones </t>
  </si>
  <si>
    <t>Res. No Asig.</t>
  </si>
  <si>
    <t>Acreedores Vs.</t>
  </si>
  <si>
    <t>Aportes a pagar</t>
  </si>
  <si>
    <t>Contribuciones a pagar</t>
  </si>
  <si>
    <t xml:space="preserve">sueldos a pagar </t>
  </si>
  <si>
    <t>Socio Mauricio Fichetti cuenta partic.</t>
  </si>
  <si>
    <t>Dep. Acumulada Maq.</t>
  </si>
  <si>
    <t>Dep. Acumulada de Equip inform</t>
  </si>
  <si>
    <t xml:space="preserve">Dep. Acumulada de rodados </t>
  </si>
  <si>
    <t>Dep. Acumulada de instal.</t>
  </si>
  <si>
    <t>Capital</t>
  </si>
  <si>
    <t>Ret. IIBB</t>
  </si>
  <si>
    <t xml:space="preserve">Ventas </t>
  </si>
  <si>
    <t>Iva Deb. Fiscal</t>
  </si>
  <si>
    <t xml:space="preserve">Combustible </t>
  </si>
  <si>
    <t>Gs. No Gravados</t>
  </si>
  <si>
    <t>Librería/Informatica</t>
  </si>
  <si>
    <t>Gs. Grales.</t>
  </si>
  <si>
    <t>Imp. Ley 25413</t>
  </si>
  <si>
    <t>Gs. Bancarios</t>
  </si>
  <si>
    <t>Iva Credito Fiscal</t>
  </si>
  <si>
    <t xml:space="preserve">Sueldos </t>
  </si>
  <si>
    <t>Contribuciones</t>
  </si>
  <si>
    <t>Gs. Construcción</t>
  </si>
  <si>
    <t xml:space="preserve">Rec. Bancarias </t>
  </si>
  <si>
    <t>Ms. Y Utiles</t>
  </si>
  <si>
    <t>IIBB a favor</t>
  </si>
  <si>
    <t>Cheques a pagar</t>
  </si>
  <si>
    <t>RNA</t>
  </si>
  <si>
    <t>Ingresos brutos</t>
  </si>
  <si>
    <t>IVA a pagar</t>
  </si>
  <si>
    <t>Retenciones IVA</t>
  </si>
  <si>
    <t>Bco Santander c/c</t>
  </si>
  <si>
    <t>Percepciones IVA</t>
  </si>
  <si>
    <t>MAYORIZACION</t>
  </si>
  <si>
    <t>Cuenta</t>
  </si>
  <si>
    <t>deudor</t>
  </si>
  <si>
    <t>Acreedor</t>
  </si>
  <si>
    <t>saldos</t>
  </si>
  <si>
    <t>valor rezago</t>
  </si>
  <si>
    <t>ESTADO DE RESULTADOS</t>
  </si>
  <si>
    <t>Dep. Acumulada Muebl y Ut</t>
  </si>
  <si>
    <t>Dep. Maquinarias</t>
  </si>
  <si>
    <t>Dep. Equip inform</t>
  </si>
  <si>
    <t xml:space="preserve">Dep. rodados </t>
  </si>
  <si>
    <t>Dep. instalaciones</t>
  </si>
  <si>
    <t>Dep. Muebl y Ut</t>
  </si>
  <si>
    <t>ACTIVO</t>
  </si>
  <si>
    <t>A</t>
  </si>
  <si>
    <t>P</t>
  </si>
  <si>
    <t>PASIVO</t>
  </si>
  <si>
    <t>Total Activo</t>
  </si>
  <si>
    <t>Total Pasivo</t>
  </si>
  <si>
    <t>PN</t>
  </si>
  <si>
    <t>Total P + PN</t>
  </si>
  <si>
    <t>Liquidacion Ganancias</t>
  </si>
  <si>
    <t>Impuesto determinado</t>
  </si>
  <si>
    <t>Impuesto a pagar</t>
  </si>
  <si>
    <t>Saldo libre ganancias</t>
  </si>
  <si>
    <t>Imp ganancias a pagar</t>
  </si>
  <si>
    <t>Impuesto ganancias</t>
  </si>
  <si>
    <t>Utilidad antes de impuesto</t>
  </si>
  <si>
    <t>COMPRAS Y GASTOS</t>
  </si>
  <si>
    <t>VENTAS SIN IVA</t>
  </si>
  <si>
    <t>SUELDOS</t>
  </si>
  <si>
    <t>Bruto</t>
  </si>
  <si>
    <t>Aportes</t>
  </si>
  <si>
    <t>Neto</t>
  </si>
  <si>
    <t>IVA</t>
  </si>
  <si>
    <t>Debito</t>
  </si>
  <si>
    <t>Credito</t>
  </si>
  <si>
    <t>Retenciones</t>
  </si>
  <si>
    <t>Percepciones</t>
  </si>
  <si>
    <t>Posicion</t>
  </si>
  <si>
    <t>Impuesto</t>
  </si>
  <si>
    <t>SIRCREB</t>
  </si>
  <si>
    <t>A favor mes anterior</t>
  </si>
  <si>
    <t>Luz</t>
  </si>
  <si>
    <t>Intereses perdidos</t>
  </si>
  <si>
    <t>Imp Ley 25413</t>
  </si>
  <si>
    <t>Gs Bancarios</t>
  </si>
  <si>
    <t>Socio Horacio Fichetti cuenta partic.</t>
  </si>
  <si>
    <t>Gastos de energia</t>
  </si>
  <si>
    <t>Honorarios</t>
  </si>
  <si>
    <t>Gan</t>
  </si>
  <si>
    <t>Perd</t>
  </si>
  <si>
    <t>Resultado antes impuesto</t>
  </si>
  <si>
    <t>Resultado neto</t>
  </si>
  <si>
    <t>Computadora</t>
  </si>
  <si>
    <t>Muebles oficina</t>
  </si>
  <si>
    <t>Silla</t>
  </si>
  <si>
    <t>Hilux Nueva</t>
  </si>
  <si>
    <t>Hilux remate</t>
  </si>
  <si>
    <t>Anticipos ganancias</t>
  </si>
  <si>
    <t>Indice</t>
  </si>
  <si>
    <t>Coeficiente</t>
  </si>
  <si>
    <t>Historico</t>
  </si>
  <si>
    <t>Ajustado</t>
  </si>
  <si>
    <t>REI</t>
  </si>
  <si>
    <t>Valor compra actualizado</t>
  </si>
  <si>
    <t>Credito imp debit/cred</t>
  </si>
  <si>
    <t>Credito ley 25413</t>
  </si>
  <si>
    <t>RECPAM</t>
  </si>
  <si>
    <t>Ajuste RECPAM</t>
  </si>
  <si>
    <t>Utilidad impositiva</t>
  </si>
  <si>
    <t>debe</t>
  </si>
  <si>
    <t>haber</t>
  </si>
  <si>
    <t>INICIO</t>
  </si>
  <si>
    <t xml:space="preserve">Gs. Alarma </t>
  </si>
  <si>
    <t>Luz/Internet</t>
  </si>
  <si>
    <t xml:space="preserve">Seguros </t>
  </si>
  <si>
    <t>Iva a Pagar</t>
  </si>
  <si>
    <t xml:space="preserve">Bco Santander </t>
  </si>
  <si>
    <t xml:space="preserve">Bco Nacion Arg </t>
  </si>
  <si>
    <t>Gastos energia</t>
  </si>
  <si>
    <t>Semillas</t>
  </si>
  <si>
    <t>Seguros</t>
  </si>
  <si>
    <t>Gastos de alarma</t>
  </si>
  <si>
    <t xml:space="preserve">Percepcion Iva </t>
  </si>
  <si>
    <t>Percepcion IIBB</t>
  </si>
  <si>
    <t>Retencion de SS</t>
  </si>
  <si>
    <t>sumas</t>
  </si>
  <si>
    <t>Totales</t>
  </si>
  <si>
    <t>Gastos Alarma</t>
  </si>
  <si>
    <t>sueldo Bruto</t>
  </si>
  <si>
    <t>Gs Bancarios Nacion 1</t>
  </si>
  <si>
    <t>Imp Ley 25413 Nacion 1</t>
  </si>
  <si>
    <t>Gs Bancarios Santander</t>
  </si>
  <si>
    <t>Imp Ley 25413 Santander</t>
  </si>
  <si>
    <t>Gs Bancarios Nacion 2</t>
  </si>
  <si>
    <t>Imp Ley 25413 Nacion 2</t>
  </si>
  <si>
    <t>BIENES DE USO</t>
  </si>
  <si>
    <t>Mueb y Ut</t>
  </si>
  <si>
    <t>Equipos comp</t>
  </si>
  <si>
    <t>Dep Ac Mueb y Ut</t>
  </si>
  <si>
    <t>Dep Ac Maquinarias</t>
  </si>
  <si>
    <t>Dep Ac Equipos comp</t>
  </si>
  <si>
    <t>Dep Ac Rodados</t>
  </si>
  <si>
    <t>Dep Ac Instalaciones</t>
  </si>
  <si>
    <t>PATRIMONIO NETO</t>
  </si>
  <si>
    <t>Ajuste por inflacion del ejercicio</t>
  </si>
  <si>
    <t xml:space="preserve"> </t>
  </si>
  <si>
    <t>Celular</t>
  </si>
  <si>
    <t>Impresora</t>
  </si>
  <si>
    <t>Aspiradora</t>
  </si>
  <si>
    <t>Ventilador techo</t>
  </si>
  <si>
    <t>Caloventor</t>
  </si>
  <si>
    <t>Mejora camion</t>
  </si>
  <si>
    <t>Acum cierre</t>
  </si>
  <si>
    <t>Valor residual</t>
  </si>
  <si>
    <t>Equipos informat</t>
  </si>
  <si>
    <t>Muebles y Ut</t>
  </si>
  <si>
    <t xml:space="preserve">Rodados </t>
  </si>
  <si>
    <t>Origen menos armot acum</t>
  </si>
  <si>
    <t>Ajustes</t>
  </si>
  <si>
    <t>Altas</t>
  </si>
  <si>
    <t>Deprec ejercicio</t>
  </si>
  <si>
    <t>Valor cierre</t>
  </si>
  <si>
    <t>Ret. Aplicada</t>
  </si>
  <si>
    <t xml:space="preserve">Gastos banco Cba </t>
  </si>
  <si>
    <t xml:space="preserve">Bco Cordoba </t>
  </si>
  <si>
    <t>Gastos bco nacion 1 - 2496</t>
  </si>
  <si>
    <t>Gastos bco nacion 2 - 3362</t>
  </si>
  <si>
    <t>33% de imp credito - N1</t>
  </si>
  <si>
    <t>33% de imp credito - N2</t>
  </si>
  <si>
    <t>Cheques emitidos / Transf.</t>
  </si>
  <si>
    <t>Dep. y Transf. Recibidas</t>
  </si>
  <si>
    <t>Serv. Relac. Ac agrop.</t>
  </si>
  <si>
    <t>Alquiler campo</t>
  </si>
  <si>
    <t>Bco. Cordoba c/c</t>
  </si>
  <si>
    <t>Alquiler Campo</t>
  </si>
  <si>
    <t>Serv. Agropecuarios</t>
  </si>
  <si>
    <t>Plan Afip a pagar</t>
  </si>
  <si>
    <t xml:space="preserve">Prendas a Pagar </t>
  </si>
  <si>
    <t>Impuesto Automotor</t>
  </si>
  <si>
    <t>Imp Automotor</t>
  </si>
  <si>
    <t>Total credito impuesto ley</t>
  </si>
  <si>
    <t>TOTALES</t>
  </si>
  <si>
    <t>total 2020</t>
  </si>
  <si>
    <t>Rejas</t>
  </si>
  <si>
    <t>Auriculares</t>
  </si>
  <si>
    <t>Smart TV</t>
  </si>
  <si>
    <t>Hidrolavadora</t>
  </si>
  <si>
    <t>Tolva</t>
  </si>
  <si>
    <t>Mejora Tolva</t>
  </si>
  <si>
    <t>Impuesto automotor</t>
  </si>
  <si>
    <t>Servicios campo</t>
  </si>
  <si>
    <t>Gs Bancarios Bco Cba</t>
  </si>
  <si>
    <t>Sementeras</t>
  </si>
  <si>
    <t>Acciones</t>
  </si>
  <si>
    <t>INVERSIONES</t>
  </si>
  <si>
    <t>Impuesto automotor a pagar</t>
  </si>
  <si>
    <t>Reserva legal</t>
  </si>
  <si>
    <t>---</t>
  </si>
  <si>
    <t>Equipos informáticos</t>
  </si>
  <si>
    <t>Muebles y útiles</t>
  </si>
  <si>
    <t>RUBROS</t>
  </si>
  <si>
    <t>VALORES DE INCORPORACION</t>
  </si>
  <si>
    <t>DEPRECIACION</t>
  </si>
  <si>
    <t>NETO AL CIERRE DEL EJERCICIO</t>
  </si>
  <si>
    <t>Al inicio del ejercicio</t>
  </si>
  <si>
    <t>Altas del ejercicio</t>
  </si>
  <si>
    <t>Bajas del ejercicio</t>
  </si>
  <si>
    <t>Al cierre del ejercicio</t>
  </si>
  <si>
    <t>Acumulada al inicio</t>
  </si>
  <si>
    <t>Del ejercicio</t>
  </si>
  <si>
    <t>Acumulada al cierre</t>
  </si>
  <si>
    <t>AFIP</t>
  </si>
  <si>
    <t>Aportes Sindicato</t>
  </si>
  <si>
    <t>Contribuciones Sindicato</t>
  </si>
  <si>
    <t xml:space="preserve">Int. Perdidos </t>
  </si>
  <si>
    <t>Int. Perdidos.</t>
  </si>
  <si>
    <t>Gs Bancarios.</t>
  </si>
  <si>
    <t>P440125</t>
  </si>
  <si>
    <t>Mant. Maquinarias</t>
  </si>
  <si>
    <t>AÑO 2021</t>
  </si>
  <si>
    <t>Mant maquinas</t>
  </si>
  <si>
    <t>Contribuciones incluye contrb sindicato</t>
  </si>
  <si>
    <t>Gastos mantenimiento rodados</t>
  </si>
  <si>
    <t>Gastos mantenimiento maquinas</t>
  </si>
  <si>
    <t>Prestamos a pagar</t>
  </si>
  <si>
    <t>Alquileres a pagar</t>
  </si>
  <si>
    <t>Anticipo compra rodados</t>
  </si>
  <si>
    <t>Resultado del ejercicio</t>
  </si>
  <si>
    <t>total 2021</t>
  </si>
  <si>
    <t>meses al 31/12/21</t>
  </si>
  <si>
    <t>valor compra actualizado 31/12/20</t>
  </si>
  <si>
    <t>Compras 2021</t>
  </si>
  <si>
    <t>Seña semirremolque</t>
  </si>
  <si>
    <t>Maquinaria</t>
  </si>
  <si>
    <t>Segadora</t>
  </si>
  <si>
    <t>Electrodos corporales</t>
  </si>
  <si>
    <t>Mesas y banquetas</t>
  </si>
  <si>
    <t>Muebles</t>
  </si>
  <si>
    <t>Motosierra</t>
  </si>
  <si>
    <t>REI impositivo 2021</t>
  </si>
  <si>
    <t>REI impositivo 2019 (3 de 6)</t>
  </si>
  <si>
    <t>REI impositivo 2020 (2 de 6)</t>
  </si>
  <si>
    <t>Total PN</t>
  </si>
  <si>
    <t>RETENCION GANANC 2022</t>
  </si>
  <si>
    <t>exento</t>
  </si>
  <si>
    <t>No Remunerativo</t>
  </si>
  <si>
    <t xml:space="preserve">contr solidaria </t>
  </si>
  <si>
    <t>seg sepelio</t>
  </si>
  <si>
    <t>Impuestos al 31/12/22</t>
  </si>
  <si>
    <t>Ganancias</t>
  </si>
  <si>
    <t>a favor</t>
  </si>
  <si>
    <t>Anticipos ganancias 2022</t>
  </si>
  <si>
    <t>deuda</t>
  </si>
  <si>
    <t>Planes de pago al 31/12/22</t>
  </si>
  <si>
    <t>saldo 31/12/22</t>
  </si>
  <si>
    <t>P829439</t>
  </si>
  <si>
    <t>Q604075</t>
  </si>
  <si>
    <t>Q960488</t>
  </si>
  <si>
    <t>Pagos realizados</t>
  </si>
  <si>
    <t>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</si>
</sst>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#,##0.0000"/>
    <numFmt numFmtId="166" formatCode="0.000000"/>
    <numFmt numFmtId="167" formatCode="0.00000000"/>
    <numFmt numFmtId="168" formatCode="#,##0.000000"/>
  </numFmts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b/>
      <u/>
      <sz val="1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9"/>
      <color indexed="81"/>
      <name val="Tahoma"/>
      <family val="2"/>
    </font>
    <font>
      <b/>
      <sz val="15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0.5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.5"/>
      <color theme="1"/>
      <name val="Calibri"/>
      <family val="2"/>
    </font>
    <font>
      <sz val="9.5"/>
      <color rgb="FFFF0000"/>
      <name val="Calibri"/>
      <family val="2"/>
    </font>
    <font>
      <sz val="9.5"/>
      <color theme="1"/>
      <name val="Calibri"/>
      <family val="2"/>
    </font>
    <font>
      <b/>
      <sz val="9.5"/>
      <color rgb="FFFF0000"/>
      <name val="Calibri"/>
      <family val="2"/>
    </font>
    <font>
      <b/>
      <sz val="9.5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rgb="FF00B05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"/>
      <color indexed="81"/>
      <name val="Tahoma"/>
      <family val="2"/>
    </font>
    <font>
      <sz val="9"/>
      <color rgb="FF00B050"/>
      <name val="Calibri"/>
      <family val="2"/>
      <scheme val="minor"/>
    </font>
    <font>
      <b/>
      <sz val="10.5"/>
      <color rgb="FFFF0000"/>
      <name val="Calibri"/>
      <family val="2"/>
    </font>
    <font>
      <u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.5"/>
      <color rgb="FFFF0000"/>
      <name val="Calibri"/>
      <family val="2"/>
      <scheme val="minor"/>
    </font>
    <font>
      <sz val="9"/>
      <color rgb="FFFF0000"/>
      <name val="Arial"/>
      <family val="2"/>
    </font>
    <font>
      <b/>
      <u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31">
    <xf numFmtId="0" fontId="0" fillId="0" borderId="0" xfId="0"/>
    <xf numFmtId="4" fontId="0" fillId="0" borderId="1" xfId="0" applyNumberFormat="1" applyBorder="1"/>
    <xf numFmtId="4" fontId="0" fillId="0" borderId="4" xfId="0" applyNumberFormat="1" applyBorder="1"/>
    <xf numFmtId="4" fontId="0" fillId="0" borderId="12" xfId="0" applyNumberFormat="1" applyBorder="1"/>
    <xf numFmtId="4" fontId="0" fillId="0" borderId="0" xfId="0" applyNumberFormat="1"/>
    <xf numFmtId="4" fontId="1" fillId="0" borderId="16" xfId="0" applyNumberFormat="1" applyFont="1" applyBorder="1"/>
    <xf numFmtId="0" fontId="1" fillId="0" borderId="16" xfId="0" applyFont="1" applyBorder="1"/>
    <xf numFmtId="4" fontId="1" fillId="0" borderId="17" xfId="0" applyNumberFormat="1" applyFont="1" applyBorder="1"/>
    <xf numFmtId="4" fontId="0" fillId="0" borderId="3" xfId="0" applyNumberFormat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4" fontId="6" fillId="0" borderId="1" xfId="0" applyNumberFormat="1" applyFont="1" applyBorder="1"/>
    <xf numFmtId="0" fontId="1" fillId="3" borderId="0" xfId="0" applyFont="1" applyFill="1" applyAlignment="1">
      <alignment horizontal="right"/>
    </xf>
    <xf numFmtId="4" fontId="1" fillId="3" borderId="0" xfId="0" applyNumberFormat="1" applyFont="1" applyFill="1"/>
    <xf numFmtId="0" fontId="6" fillId="0" borderId="0" xfId="0" applyFont="1"/>
    <xf numFmtId="0" fontId="2" fillId="0" borderId="0" xfId="0" applyFont="1"/>
    <xf numFmtId="4" fontId="6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4" fontId="2" fillId="0" borderId="0" xfId="0" applyNumberFormat="1" applyFont="1"/>
    <xf numFmtId="0" fontId="1" fillId="0" borderId="0" xfId="0" applyFont="1" applyAlignment="1">
      <alignment horizontal="right"/>
    </xf>
    <xf numFmtId="4" fontId="1" fillId="0" borderId="0" xfId="0" applyNumberFormat="1" applyFont="1"/>
    <xf numFmtId="164" fontId="10" fillId="0" borderId="0" xfId="1" applyNumberFormat="1" applyFont="1"/>
    <xf numFmtId="4" fontId="0" fillId="0" borderId="0" xfId="0" applyNumberFormat="1" applyAlignment="1">
      <alignment horizontal="right" wrapText="1"/>
    </xf>
    <xf numFmtId="0" fontId="5" fillId="0" borderId="11" xfId="0" applyFont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4" fontId="11" fillId="0" borderId="18" xfId="0" applyNumberFormat="1" applyFont="1" applyBorder="1" applyAlignment="1">
      <alignment horizontal="right" vertical="center" wrapText="1"/>
    </xf>
    <xf numFmtId="17" fontId="1" fillId="0" borderId="0" xfId="0" applyNumberFormat="1" applyFont="1" applyAlignment="1">
      <alignment horizontal="center"/>
    </xf>
    <xf numFmtId="17" fontId="1" fillId="5" borderId="2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4" borderId="6" xfId="0" applyFont="1" applyFill="1" applyBorder="1"/>
    <xf numFmtId="0" fontId="0" fillId="4" borderId="6" xfId="0" applyFill="1" applyBorder="1"/>
    <xf numFmtId="0" fontId="0" fillId="4" borderId="11" xfId="0" applyFill="1" applyBorder="1"/>
    <xf numFmtId="0" fontId="5" fillId="8" borderId="6" xfId="0" applyFont="1" applyFill="1" applyBorder="1"/>
    <xf numFmtId="0" fontId="5" fillId="8" borderId="0" xfId="0" applyFont="1" applyFill="1"/>
    <xf numFmtId="0" fontId="5" fillId="8" borderId="9" xfId="0" applyFont="1" applyFill="1" applyBorder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12" fillId="0" borderId="0" xfId="0" applyFont="1"/>
    <xf numFmtId="4" fontId="6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14" fillId="0" borderId="0" xfId="0" applyFont="1"/>
    <xf numFmtId="17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5" fillId="7" borderId="0" xfId="0" applyFont="1" applyFill="1"/>
    <xf numFmtId="0" fontId="15" fillId="6" borderId="0" xfId="0" applyFont="1" applyFill="1"/>
    <xf numFmtId="0" fontId="16" fillId="0" borderId="0" xfId="0" applyFont="1" applyAlignment="1">
      <alignment horizontal="left" vertical="center"/>
    </xf>
    <xf numFmtId="4" fontId="15" fillId="0" borderId="0" xfId="0" applyNumberFormat="1" applyFont="1" applyAlignment="1">
      <alignment horizontal="center"/>
    </xf>
    <xf numFmtId="4" fontId="15" fillId="0" borderId="0" xfId="0" applyNumberFormat="1" applyFont="1"/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4" fontId="14" fillId="0" borderId="0" xfId="0" applyNumberFormat="1" applyFont="1" applyAlignment="1">
      <alignment horizontal="center"/>
    </xf>
    <xf numFmtId="4" fontId="14" fillId="0" borderId="0" xfId="0" applyNumberFormat="1" applyFont="1"/>
    <xf numFmtId="0" fontId="17" fillId="0" borderId="0" xfId="0" applyFo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9" fillId="8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17" fontId="20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right"/>
    </xf>
    <xf numFmtId="4" fontId="6" fillId="0" borderId="5" xfId="0" applyNumberFormat="1" applyFont="1" applyBorder="1" applyAlignment="1">
      <alignment horizontal="right"/>
    </xf>
    <xf numFmtId="0" fontId="6" fillId="0" borderId="11" xfId="0" applyFont="1" applyBorder="1"/>
    <xf numFmtId="4" fontId="6" fillId="0" borderId="11" xfId="0" applyNumberFormat="1" applyFont="1" applyBorder="1" applyAlignment="1">
      <alignment horizontal="right"/>
    </xf>
    <xf numFmtId="4" fontId="5" fillId="4" borderId="11" xfId="0" applyNumberFormat="1" applyFont="1" applyFill="1" applyBorder="1"/>
    <xf numFmtId="4" fontId="5" fillId="4" borderId="12" xfId="0" applyNumberFormat="1" applyFont="1" applyFill="1" applyBorder="1"/>
    <xf numFmtId="4" fontId="5" fillId="4" borderId="1" xfId="0" applyNumberFormat="1" applyFont="1" applyFill="1" applyBorder="1"/>
    <xf numFmtId="4" fontId="0" fillId="4" borderId="0" xfId="0" applyNumberFormat="1" applyFill="1"/>
    <xf numFmtId="4" fontId="0" fillId="4" borderId="8" xfId="0" applyNumberFormat="1" applyFill="1" applyBorder="1"/>
    <xf numFmtId="4" fontId="6" fillId="0" borderId="2" xfId="0" applyNumberFormat="1" applyFont="1" applyBorder="1"/>
    <xf numFmtId="4" fontId="6" fillId="0" borderId="5" xfId="0" applyNumberFormat="1" applyFont="1" applyBorder="1"/>
    <xf numFmtId="4" fontId="5" fillId="0" borderId="11" xfId="0" applyNumberFormat="1" applyFont="1" applyBorder="1"/>
    <xf numFmtId="4" fontId="5" fillId="0" borderId="0" xfId="0" applyNumberFormat="1" applyFont="1"/>
    <xf numFmtId="4" fontId="4" fillId="0" borderId="0" xfId="0" applyNumberFormat="1" applyFont="1"/>
    <xf numFmtId="4" fontId="6" fillId="0" borderId="12" xfId="0" applyNumberFormat="1" applyFont="1" applyBorder="1" applyAlignment="1">
      <alignment horizontal="right"/>
    </xf>
    <xf numFmtId="0" fontId="4" fillId="0" borderId="12" xfId="0" applyFont="1" applyBorder="1"/>
    <xf numFmtId="4" fontId="0" fillId="4" borderId="6" xfId="0" applyNumberFormat="1" applyFill="1" applyBorder="1"/>
    <xf numFmtId="4" fontId="5" fillId="4" borderId="9" xfId="0" applyNumberFormat="1" applyFont="1" applyFill="1" applyBorder="1"/>
    <xf numFmtId="4" fontId="5" fillId="4" borderId="10" xfId="0" applyNumberFormat="1" applyFont="1" applyFill="1" applyBorder="1"/>
    <xf numFmtId="4" fontId="14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4" fontId="15" fillId="0" borderId="0" xfId="0" applyNumberFormat="1" applyFont="1" applyAlignment="1">
      <alignment horizontal="center" vertical="center" wrapText="1"/>
    </xf>
    <xf numFmtId="4" fontId="15" fillId="0" borderId="0" xfId="0" applyNumberFormat="1" applyFont="1" applyAlignment="1">
      <alignment horizontal="right" vertical="center" wrapText="1"/>
    </xf>
    <xf numFmtId="0" fontId="15" fillId="0" borderId="0" xfId="0" applyFont="1" applyAlignment="1">
      <alignment horizontal="center" vertical="center" wrapText="1"/>
    </xf>
    <xf numFmtId="4" fontId="6" fillId="0" borderId="0" xfId="0" applyNumberFormat="1" applyFont="1" applyAlignment="1">
      <alignment horizontal="right" vertical="center" wrapText="1"/>
    </xf>
    <xf numFmtId="4" fontId="9" fillId="0" borderId="18" xfId="0" applyNumberFormat="1" applyFont="1" applyBorder="1" applyAlignment="1">
      <alignment horizontal="right" vertical="center" wrapText="1"/>
    </xf>
    <xf numFmtId="0" fontId="2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23" fillId="0" borderId="1" xfId="0" applyFont="1" applyBorder="1" applyAlignment="1">
      <alignment horizontal="right" vertical="center" wrapText="1"/>
    </xf>
    <xf numFmtId="4" fontId="23" fillId="3" borderId="1" xfId="0" applyNumberFormat="1" applyFont="1" applyFill="1" applyBorder="1" applyAlignment="1">
      <alignment horizontal="right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vertical="center" wrapText="1"/>
    </xf>
    <xf numFmtId="4" fontId="23" fillId="3" borderId="1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7" borderId="0" xfId="0" applyFont="1" applyFill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16" fillId="0" borderId="2" xfId="0" applyFont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4" fontId="25" fillId="0" borderId="0" xfId="0" applyNumberFormat="1" applyFont="1" applyAlignment="1">
      <alignment horizontal="right" vertical="center" wrapText="1"/>
    </xf>
    <xf numFmtId="4" fontId="25" fillId="0" borderId="20" xfId="0" applyNumberFormat="1" applyFont="1" applyBorder="1" applyAlignment="1">
      <alignment horizontal="right" vertical="center" wrapText="1"/>
    </xf>
    <xf numFmtId="4" fontId="26" fillId="0" borderId="0" xfId="0" applyNumberFormat="1" applyFont="1" applyAlignment="1">
      <alignment horizontal="right" vertical="center" wrapText="1"/>
    </xf>
    <xf numFmtId="4" fontId="26" fillId="0" borderId="20" xfId="0" applyNumberFormat="1" applyFont="1" applyBorder="1" applyAlignment="1">
      <alignment horizontal="right" vertical="center" wrapText="1"/>
    </xf>
    <xf numFmtId="4" fontId="27" fillId="0" borderId="18" xfId="0" applyNumberFormat="1" applyFont="1" applyBorder="1" applyAlignment="1">
      <alignment horizontal="right" vertical="center" wrapText="1"/>
    </xf>
    <xf numFmtId="4" fontId="26" fillId="0" borderId="21" xfId="0" applyNumberFormat="1" applyFont="1" applyBorder="1" applyAlignment="1">
      <alignment horizontal="right" vertical="center" wrapText="1"/>
    </xf>
    <xf numFmtId="0" fontId="26" fillId="0" borderId="22" xfId="0" applyFont="1" applyBorder="1" applyAlignment="1">
      <alignment horizontal="right" vertical="center" wrapText="1"/>
    </xf>
    <xf numFmtId="4" fontId="26" fillId="0" borderId="22" xfId="0" applyNumberFormat="1" applyFont="1" applyBorder="1" applyAlignment="1">
      <alignment horizontal="right" vertical="center" wrapText="1"/>
    </xf>
    <xf numFmtId="0" fontId="26" fillId="0" borderId="21" xfId="0" applyFont="1" applyBorder="1" applyAlignment="1">
      <alignment horizontal="right" vertical="center" wrapText="1"/>
    </xf>
    <xf numFmtId="4" fontId="28" fillId="0" borderId="18" xfId="0" applyNumberFormat="1" applyFont="1" applyBorder="1" applyAlignment="1">
      <alignment horizontal="right" vertical="center" wrapText="1"/>
    </xf>
    <xf numFmtId="0" fontId="28" fillId="0" borderId="18" xfId="0" applyFont="1" applyBorder="1" applyAlignment="1">
      <alignment horizontal="right" vertical="center" wrapText="1"/>
    </xf>
    <xf numFmtId="0" fontId="6" fillId="7" borderId="0" xfId="0" applyFont="1" applyFill="1" applyAlignment="1">
      <alignment horizontal="left"/>
    </xf>
    <xf numFmtId="4" fontId="29" fillId="0" borderId="23" xfId="0" applyNumberFormat="1" applyFont="1" applyBorder="1" applyAlignment="1">
      <alignment horizontal="right" vertical="center" wrapText="1"/>
    </xf>
    <xf numFmtId="0" fontId="29" fillId="0" borderId="23" xfId="0" applyFont="1" applyBorder="1" applyAlignment="1">
      <alignment horizontal="center" vertical="center" wrapText="1"/>
    </xf>
    <xf numFmtId="4" fontId="29" fillId="0" borderId="24" xfId="0" applyNumberFormat="1" applyFont="1" applyBorder="1" applyAlignment="1">
      <alignment horizontal="right" vertical="center" wrapText="1"/>
    </xf>
    <xf numFmtId="0" fontId="29" fillId="0" borderId="25" xfId="0" applyFont="1" applyBorder="1" applyAlignment="1">
      <alignment horizontal="center" vertical="center" wrapText="1"/>
    </xf>
    <xf numFmtId="4" fontId="31" fillId="11" borderId="25" xfId="0" applyNumberFormat="1" applyFont="1" applyFill="1" applyBorder="1" applyAlignment="1">
      <alignment horizontal="right" vertical="center" wrapText="1"/>
    </xf>
    <xf numFmtId="0" fontId="31" fillId="11" borderId="25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4" fontId="29" fillId="0" borderId="18" xfId="0" applyNumberFormat="1" applyFont="1" applyBorder="1" applyAlignment="1">
      <alignment horizontal="right" vertical="center" wrapText="1"/>
    </xf>
    <xf numFmtId="4" fontId="31" fillId="11" borderId="26" xfId="0" applyNumberFormat="1" applyFont="1" applyFill="1" applyBorder="1" applyAlignment="1">
      <alignment horizontal="right" vertical="center" wrapText="1"/>
    </xf>
    <xf numFmtId="0" fontId="31" fillId="11" borderId="26" xfId="0" applyFont="1" applyFill="1" applyBorder="1" applyAlignment="1">
      <alignment horizontal="center" vertical="center" wrapText="1"/>
    </xf>
    <xf numFmtId="4" fontId="32" fillId="11" borderId="27" xfId="0" applyNumberFormat="1" applyFont="1" applyFill="1" applyBorder="1" applyAlignment="1">
      <alignment horizontal="right" vertical="center" wrapText="1"/>
    </xf>
    <xf numFmtId="4" fontId="28" fillId="0" borderId="28" xfId="0" applyNumberFormat="1" applyFont="1" applyBorder="1" applyAlignment="1">
      <alignment horizontal="right" vertical="center" wrapText="1"/>
    </xf>
    <xf numFmtId="4" fontId="28" fillId="0" borderId="29" xfId="0" applyNumberFormat="1" applyFont="1" applyBorder="1" applyAlignment="1">
      <alignment horizontal="right" vertical="center" wrapText="1"/>
    </xf>
    <xf numFmtId="0" fontId="33" fillId="0" borderId="17" xfId="0" applyFont="1" applyBorder="1" applyAlignment="1">
      <alignment vertical="center" wrapText="1"/>
    </xf>
    <xf numFmtId="4" fontId="34" fillId="0" borderId="31" xfId="0" applyNumberFormat="1" applyFont="1" applyBorder="1" applyAlignment="1">
      <alignment horizontal="right" vertical="center" wrapText="1"/>
    </xf>
    <xf numFmtId="0" fontId="34" fillId="0" borderId="31" xfId="0" applyFont="1" applyBorder="1" applyAlignment="1">
      <alignment horizontal="center" vertical="center" wrapText="1"/>
    </xf>
    <xf numFmtId="0" fontId="30" fillId="11" borderId="17" xfId="0" applyFont="1" applyFill="1" applyBorder="1" applyAlignment="1">
      <alignment vertical="center" wrapText="1"/>
    </xf>
    <xf numFmtId="4" fontId="36" fillId="11" borderId="31" xfId="0" applyNumberFormat="1" applyFont="1" applyFill="1" applyBorder="1" applyAlignment="1">
      <alignment horizontal="right" vertical="center" wrapText="1"/>
    </xf>
    <xf numFmtId="0" fontId="38" fillId="11" borderId="30" xfId="0" applyFont="1" applyFill="1" applyBorder="1" applyAlignment="1">
      <alignment horizontal="center" vertical="center" wrapText="1"/>
    </xf>
    <xf numFmtId="0" fontId="39" fillId="11" borderId="31" xfId="0" applyFont="1" applyFill="1" applyBorder="1" applyAlignment="1">
      <alignment horizontal="center" vertical="center" wrapText="1"/>
    </xf>
    <xf numFmtId="0" fontId="38" fillId="11" borderId="31" xfId="0" applyFont="1" applyFill="1" applyBorder="1" applyAlignment="1">
      <alignment horizontal="center" vertical="center" wrapText="1"/>
    </xf>
    <xf numFmtId="0" fontId="35" fillId="11" borderId="31" xfId="0" applyFont="1" applyFill="1" applyBorder="1" applyAlignment="1">
      <alignment horizontal="center" vertical="center" wrapText="1"/>
    </xf>
    <xf numFmtId="14" fontId="40" fillId="11" borderId="31" xfId="0" applyNumberFormat="1" applyFont="1" applyFill="1" applyBorder="1" applyAlignment="1">
      <alignment horizontal="center" vertical="center" wrapText="1"/>
    </xf>
    <xf numFmtId="14" fontId="41" fillId="11" borderId="31" xfId="0" applyNumberFormat="1" applyFont="1" applyFill="1" applyBorder="1" applyAlignment="1">
      <alignment horizontal="center" vertical="center" wrapText="1"/>
    </xf>
    <xf numFmtId="4" fontId="35" fillId="0" borderId="31" xfId="0" applyNumberFormat="1" applyFont="1" applyBorder="1" applyAlignment="1">
      <alignment horizontal="center" vertical="center" wrapText="1"/>
    </xf>
    <xf numFmtId="4" fontId="37" fillId="11" borderId="31" xfId="0" applyNumberFormat="1" applyFont="1" applyFill="1" applyBorder="1" applyAlignment="1">
      <alignment horizontal="right" vertical="center" wrapText="1"/>
    </xf>
    <xf numFmtId="4" fontId="42" fillId="11" borderId="26" xfId="0" applyNumberFormat="1" applyFont="1" applyFill="1" applyBorder="1" applyAlignment="1">
      <alignment horizontal="right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right" vertical="center" wrapText="1"/>
    </xf>
    <xf numFmtId="4" fontId="43" fillId="0" borderId="35" xfId="0" applyNumberFormat="1" applyFont="1" applyBorder="1" applyAlignment="1">
      <alignment horizontal="right" vertical="center" wrapText="1"/>
    </xf>
    <xf numFmtId="0" fontId="43" fillId="0" borderId="35" xfId="0" applyFont="1" applyBorder="1" applyAlignment="1">
      <alignment horizontal="right" vertical="center" wrapText="1"/>
    </xf>
    <xf numFmtId="0" fontId="26" fillId="11" borderId="36" xfId="0" applyFont="1" applyFill="1" applyBorder="1" applyAlignment="1">
      <alignment horizontal="right" vertical="center" wrapText="1"/>
    </xf>
    <xf numFmtId="4" fontId="44" fillId="11" borderId="37" xfId="0" applyNumberFormat="1" applyFont="1" applyFill="1" applyBorder="1" applyAlignment="1">
      <alignment horizontal="right" vertical="center" wrapText="1"/>
    </xf>
    <xf numFmtId="4" fontId="44" fillId="11" borderId="38" xfId="0" applyNumberFormat="1" applyFont="1" applyFill="1" applyBorder="1" applyAlignment="1">
      <alignment horizontal="right" vertical="center" wrapText="1"/>
    </xf>
    <xf numFmtId="4" fontId="44" fillId="11" borderId="39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vertical="center" wrapText="1"/>
    </xf>
    <xf numFmtId="4" fontId="5" fillId="0" borderId="0" xfId="0" applyNumberFormat="1" applyFont="1" applyAlignment="1">
      <alignment horizontal="right"/>
    </xf>
    <xf numFmtId="17" fontId="6" fillId="0" borderId="0" xfId="0" applyNumberFormat="1" applyFont="1"/>
    <xf numFmtId="17" fontId="20" fillId="0" borderId="1" xfId="0" applyNumberFormat="1" applyFont="1" applyBorder="1" applyAlignment="1">
      <alignment horizontal="center"/>
    </xf>
    <xf numFmtId="4" fontId="20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/>
    <xf numFmtId="4" fontId="14" fillId="0" borderId="1" xfId="0" applyNumberFormat="1" applyFont="1" applyBorder="1" applyAlignment="1">
      <alignment horizontal="righ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164" fontId="4" fillId="0" borderId="19" xfId="1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67" fontId="14" fillId="0" borderId="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/>
    </xf>
    <xf numFmtId="166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4" fontId="14" fillId="0" borderId="1" xfId="0" applyNumberFormat="1" applyFont="1" applyBorder="1" applyAlignment="1">
      <alignment horizontal="center"/>
    </xf>
    <xf numFmtId="4" fontId="14" fillId="0" borderId="4" xfId="0" applyNumberFormat="1" applyFont="1" applyBorder="1" applyAlignment="1">
      <alignment horizontal="right"/>
    </xf>
    <xf numFmtId="4" fontId="14" fillId="0" borderId="5" xfId="0" applyNumberFormat="1" applyFont="1" applyBorder="1" applyAlignment="1">
      <alignment horizontal="right"/>
    </xf>
    <xf numFmtId="4" fontId="14" fillId="0" borderId="1" xfId="0" applyNumberFormat="1" applyFont="1" applyBorder="1"/>
    <xf numFmtId="4" fontId="14" fillId="0" borderId="1" xfId="0" applyNumberFormat="1" applyFont="1" applyBorder="1" applyAlignment="1">
      <alignment horizontal="right" vertical="center"/>
    </xf>
    <xf numFmtId="4" fontId="1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" fontId="4" fillId="0" borderId="4" xfId="0" applyNumberFormat="1" applyFont="1" applyBorder="1"/>
    <xf numFmtId="4" fontId="4" fillId="0" borderId="7" xfId="0" applyNumberFormat="1" applyFont="1" applyBorder="1"/>
    <xf numFmtId="4" fontId="4" fillId="0" borderId="2" xfId="0" applyNumberFormat="1" applyFont="1" applyBorder="1"/>
    <xf numFmtId="4" fontId="4" fillId="0" borderId="8" xfId="0" applyNumberFormat="1" applyFont="1" applyBorder="1"/>
    <xf numFmtId="4" fontId="23" fillId="0" borderId="8" xfId="0" applyNumberFormat="1" applyFont="1" applyBorder="1"/>
    <xf numFmtId="0" fontId="4" fillId="0" borderId="6" xfId="0" applyFont="1" applyBorder="1"/>
    <xf numFmtId="4" fontId="4" fillId="0" borderId="5" xfId="0" applyNumberFormat="1" applyFont="1" applyBorder="1"/>
    <xf numFmtId="4" fontId="4" fillId="0" borderId="10" xfId="0" applyNumberFormat="1" applyFont="1" applyBorder="1"/>
    <xf numFmtId="0" fontId="4" fillId="0" borderId="3" xfId="0" applyFont="1" applyBorder="1"/>
    <xf numFmtId="0" fontId="5" fillId="4" borderId="0" xfId="0" applyFont="1" applyFill="1"/>
    <xf numFmtId="0" fontId="4" fillId="0" borderId="15" xfId="0" applyFont="1" applyBorder="1"/>
    <xf numFmtId="0" fontId="4" fillId="0" borderId="14" xfId="0" applyFont="1" applyBorder="1"/>
    <xf numFmtId="0" fontId="4" fillId="0" borderId="13" xfId="0" applyFont="1" applyBorder="1"/>
    <xf numFmtId="0" fontId="0" fillId="4" borderId="11" xfId="0" applyFill="1" applyBorder="1" applyAlignment="1">
      <alignment horizontal="center"/>
    </xf>
    <xf numFmtId="0" fontId="5" fillId="4" borderId="12" xfId="0" applyFont="1" applyFill="1" applyBorder="1"/>
    <xf numFmtId="4" fontId="0" fillId="4" borderId="11" xfId="0" applyNumberFormat="1" applyFill="1" applyBorder="1"/>
    <xf numFmtId="0" fontId="5" fillId="4" borderId="11" xfId="0" applyFont="1" applyFill="1" applyBorder="1"/>
    <xf numFmtId="0" fontId="0" fillId="4" borderId="9" xfId="0" applyFill="1" applyBorder="1"/>
    <xf numFmtId="4" fontId="0" fillId="4" borderId="12" xfId="0" applyNumberFormat="1" applyFill="1" applyBorder="1"/>
    <xf numFmtId="0" fontId="6" fillId="4" borderId="6" xfId="0" applyFont="1" applyFill="1" applyBorder="1"/>
    <xf numFmtId="4" fontId="6" fillId="4" borderId="11" xfId="0" applyNumberFormat="1" applyFont="1" applyFill="1" applyBorder="1"/>
    <xf numFmtId="4" fontId="8" fillId="4" borderId="11" xfId="0" applyNumberFormat="1" applyFont="1" applyFill="1" applyBorder="1"/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4" fontId="2" fillId="3" borderId="4" xfId="0" applyNumberFormat="1" applyFont="1" applyFill="1" applyBorder="1" applyAlignment="1">
      <alignment horizontal="center"/>
    </xf>
    <xf numFmtId="4" fontId="4" fillId="0" borderId="14" xfId="0" applyNumberFormat="1" applyFont="1" applyBorder="1"/>
    <xf numFmtId="4" fontId="2" fillId="3" borderId="0" xfId="0" applyNumberFormat="1" applyFont="1" applyFill="1"/>
    <xf numFmtId="0" fontId="6" fillId="2" borderId="0" xfId="0" applyFont="1" applyFill="1"/>
    <xf numFmtId="4" fontId="6" fillId="2" borderId="0" xfId="0" applyNumberFormat="1" applyFont="1" applyFill="1"/>
    <xf numFmtId="0" fontId="0" fillId="2" borderId="0" xfId="0" applyFill="1"/>
    <xf numFmtId="0" fontId="0" fillId="2" borderId="0" xfId="0" applyFill="1" applyAlignment="1">
      <alignment horizontal="left"/>
    </xf>
    <xf numFmtId="4" fontId="0" fillId="2" borderId="0" xfId="0" applyNumberFormat="1" applyFill="1" applyAlignment="1">
      <alignment horizontal="right"/>
    </xf>
    <xf numFmtId="0" fontId="0" fillId="7" borderId="0" xfId="0" applyFill="1"/>
    <xf numFmtId="4" fontId="0" fillId="7" borderId="0" xfId="0" applyNumberFormat="1" applyFill="1"/>
    <xf numFmtId="4" fontId="6" fillId="7" borderId="0" xfId="0" applyNumberFormat="1" applyFont="1" applyFill="1"/>
    <xf numFmtId="0" fontId="2" fillId="3" borderId="0" xfId="0" applyFont="1" applyFill="1" applyAlignment="1">
      <alignment horizontal="right"/>
    </xf>
    <xf numFmtId="4" fontId="6" fillId="9" borderId="0" xfId="0" applyNumberFormat="1" applyFont="1" applyFill="1"/>
    <xf numFmtId="4" fontId="6" fillId="10" borderId="0" xfId="0" applyNumberFormat="1" applyFont="1" applyFill="1"/>
    <xf numFmtId="0" fontId="6" fillId="0" borderId="0" xfId="0" applyFont="1" applyAlignment="1">
      <alignment horizontal="right"/>
    </xf>
    <xf numFmtId="4" fontId="6" fillId="0" borderId="1" xfId="0" applyNumberFormat="1" applyFont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right" vertical="center" wrapText="1"/>
    </xf>
    <xf numFmtId="165" fontId="6" fillId="0" borderId="1" xfId="0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5" fillId="0" borderId="0" xfId="0" applyFont="1" applyAlignment="1">
      <alignment horizontal="right" vertical="center" wrapText="1"/>
    </xf>
    <xf numFmtId="4" fontId="9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68" fontId="0" fillId="8" borderId="16" xfId="0" applyNumberFormat="1" applyFill="1" applyBorder="1"/>
    <xf numFmtId="4" fontId="0" fillId="0" borderId="0" xfId="0" applyNumberFormat="1" applyAlignment="1">
      <alignment horizontal="center"/>
    </xf>
    <xf numFmtId="4" fontId="43" fillId="0" borderId="41" xfId="0" applyNumberFormat="1" applyFont="1" applyBorder="1" applyAlignment="1">
      <alignment horizontal="right" vertical="center" wrapText="1"/>
    </xf>
    <xf numFmtId="0" fontId="43" fillId="0" borderId="41" xfId="0" applyFont="1" applyBorder="1" applyAlignment="1">
      <alignment horizontal="right" vertical="center" wrapText="1"/>
    </xf>
    <xf numFmtId="4" fontId="44" fillId="11" borderId="40" xfId="0" applyNumberFormat="1" applyFont="1" applyFill="1" applyBorder="1" applyAlignment="1">
      <alignment horizontal="right" vertical="center" wrapText="1"/>
    </xf>
    <xf numFmtId="4" fontId="47" fillId="11" borderId="38" xfId="0" applyNumberFormat="1" applyFont="1" applyFill="1" applyBorder="1" applyAlignment="1">
      <alignment horizontal="right" vertical="center" wrapText="1"/>
    </xf>
    <xf numFmtId="4" fontId="47" fillId="11" borderId="39" xfId="0" applyNumberFormat="1" applyFont="1" applyFill="1" applyBorder="1" applyAlignment="1">
      <alignment horizontal="right" vertical="center" wrapText="1"/>
    </xf>
    <xf numFmtId="17" fontId="2" fillId="0" borderId="1" xfId="0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4" xfId="0" applyFont="1" applyBorder="1"/>
    <xf numFmtId="4" fontId="6" fillId="0" borderId="4" xfId="0" applyNumberFormat="1" applyFont="1" applyBorder="1" applyAlignment="1">
      <alignment horizontal="right"/>
    </xf>
    <xf numFmtId="0" fontId="48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4" fontId="20" fillId="8" borderId="0" xfId="0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4" fontId="4" fillId="0" borderId="1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4" fontId="4" fillId="0" borderId="1" xfId="0" applyNumberFormat="1" applyFont="1" applyBorder="1"/>
    <xf numFmtId="4" fontId="4" fillId="0" borderId="3" xfId="0" applyNumberFormat="1" applyFont="1" applyBorder="1" applyAlignment="1">
      <alignment horizontal="right"/>
    </xf>
    <xf numFmtId="4" fontId="4" fillId="12" borderId="1" xfId="0" applyNumberFormat="1" applyFont="1" applyFill="1" applyBorder="1" applyAlignment="1">
      <alignment horizontal="right"/>
    </xf>
    <xf numFmtId="4" fontId="6" fillId="0" borderId="3" xfId="0" applyNumberFormat="1" applyFont="1" applyBorder="1" applyAlignment="1">
      <alignment horizontal="right"/>
    </xf>
    <xf numFmtId="4" fontId="6" fillId="0" borderId="13" xfId="0" applyNumberFormat="1" applyFont="1" applyBorder="1" applyAlignment="1">
      <alignment horizontal="right"/>
    </xf>
    <xf numFmtId="4" fontId="4" fillId="8" borderId="1" xfId="0" applyNumberFormat="1" applyFont="1" applyFill="1" applyBorder="1" applyAlignment="1">
      <alignment horizontal="right"/>
    </xf>
    <xf numFmtId="0" fontId="21" fillId="0" borderId="9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" fillId="0" borderId="6" xfId="0" applyFont="1" applyBorder="1" applyAlignment="1">
      <alignment horizontal="right"/>
    </xf>
    <xf numFmtId="0" fontId="6" fillId="9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4" fontId="6" fillId="9" borderId="0" xfId="0" applyNumberFormat="1" applyFont="1" applyFill="1" applyAlignment="1">
      <alignment horizontal="left"/>
    </xf>
    <xf numFmtId="0" fontId="6" fillId="10" borderId="0" xfId="0" applyFont="1" applyFill="1" applyAlignment="1">
      <alignment horizontal="left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4" fontId="14" fillId="0" borderId="1" xfId="0" applyNumberFormat="1" applyFont="1" applyBorder="1" applyAlignment="1">
      <alignment horizontal="right" vertical="center" wrapText="1"/>
    </xf>
    <xf numFmtId="2" fontId="14" fillId="0" borderId="1" xfId="0" applyNumberFormat="1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46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3" fillId="4" borderId="0" xfId="0" applyFont="1" applyFill="1" applyAlignment="1">
      <alignment horizontal="left"/>
    </xf>
    <xf numFmtId="0" fontId="16" fillId="4" borderId="9" xfId="0" applyFont="1" applyFill="1" applyBorder="1" applyAlignment="1">
      <alignment horizontal="left"/>
    </xf>
    <xf numFmtId="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24" fillId="11" borderId="32" xfId="0" applyFont="1" applyFill="1" applyBorder="1" applyAlignment="1">
      <alignment horizontal="center" vertical="center" wrapText="1"/>
    </xf>
    <xf numFmtId="0" fontId="24" fillId="11" borderId="17" xfId="0" applyFont="1" applyFill="1" applyBorder="1" applyAlignment="1">
      <alignment horizontal="center" vertical="center" wrapText="1"/>
    </xf>
    <xf numFmtId="0" fontId="24" fillId="11" borderId="34" xfId="0" applyFont="1" applyFill="1" applyBorder="1" applyAlignment="1">
      <alignment horizontal="center" vertical="center" wrapText="1"/>
    </xf>
    <xf numFmtId="0" fontId="24" fillId="11" borderId="33" xfId="0" applyFont="1" applyFill="1" applyBorder="1" applyAlignment="1">
      <alignment horizontal="center" vertical="center" wrapText="1"/>
    </xf>
    <xf numFmtId="0" fontId="24" fillId="11" borderId="30" xfId="0" applyFont="1" applyFill="1" applyBorder="1" applyAlignment="1">
      <alignment horizontal="center" vertical="center" wrapText="1"/>
    </xf>
    <xf numFmtId="0" fontId="23" fillId="0" borderId="1" xfId="0" applyFont="1" applyBorder="1"/>
    <xf numFmtId="4" fontId="23" fillId="0" borderId="1" xfId="0" applyNumberFormat="1" applyFont="1" applyBorder="1" applyAlignment="1">
      <alignment horizontal="right"/>
    </xf>
    <xf numFmtId="0" fontId="23" fillId="0" borderId="0" xfId="0" applyFont="1" applyBorder="1"/>
    <xf numFmtId="4" fontId="23" fillId="0" borderId="0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center"/>
    </xf>
    <xf numFmtId="0" fontId="2" fillId="0" borderId="0" xfId="0" applyFont="1" applyBorder="1"/>
    <xf numFmtId="4" fontId="2" fillId="0" borderId="0" xfId="0" applyNumberFormat="1" applyFont="1" applyBorder="1" applyAlignment="1">
      <alignment horizontal="right"/>
    </xf>
    <xf numFmtId="0" fontId="51" fillId="0" borderId="1" xfId="0" applyFont="1" applyBorder="1"/>
    <xf numFmtId="17" fontId="23" fillId="0" borderId="1" xfId="0" applyNumberFormat="1" applyFont="1" applyBorder="1" applyAlignment="1">
      <alignment horizontal="center"/>
    </xf>
    <xf numFmtId="0" fontId="53" fillId="0" borderId="1" xfId="0" applyFont="1" applyBorder="1" applyAlignment="1">
      <alignment horizontal="right"/>
    </xf>
    <xf numFmtId="0" fontId="5" fillId="0" borderId="3" xfId="0" applyFont="1" applyBorder="1"/>
    <xf numFmtId="0" fontId="52" fillId="0" borderId="1" xfId="0" applyFont="1" applyBorder="1" applyAlignment="1">
      <alignment horizontal="right"/>
    </xf>
    <xf numFmtId="4" fontId="7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0" fontId="54" fillId="0" borderId="1" xfId="0" applyFont="1" applyBorder="1"/>
    <xf numFmtId="0" fontId="55" fillId="0" borderId="0" xfId="0" applyFont="1" applyBorder="1"/>
    <xf numFmtId="0" fontId="8" fillId="0" borderId="0" xfId="0" applyFont="1" applyBorder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113"/>
  <sheetViews>
    <sheetView tabSelected="1" zoomScaleNormal="100" workbookViewId="0"/>
  </sheetViews>
  <sheetFormatPr baseColWidth="10" defaultColWidth="11.42578125" defaultRowHeight="15" x14ac:dyDescent="0.25"/>
  <cols>
    <col min="1" max="1" width="24.28515625" style="15" bestFit="1" customWidth="1"/>
    <col min="2" max="2" width="13.140625" style="49" customWidth="1"/>
    <col min="3" max="3" width="13" style="49" customWidth="1"/>
    <col min="4" max="7" width="12.5703125" style="49" bestFit="1" customWidth="1"/>
    <col min="8" max="9" width="13.5703125" style="49" bestFit="1" customWidth="1"/>
    <col min="10" max="13" width="12.5703125" style="49" bestFit="1" customWidth="1"/>
    <col min="14" max="14" width="14.7109375" style="15" bestFit="1" customWidth="1"/>
    <col min="15" max="15" width="11.42578125" style="15"/>
    <col min="16" max="16" width="14.140625" style="15" bestFit="1" customWidth="1"/>
    <col min="17" max="17" width="13.42578125" style="15" bestFit="1" customWidth="1"/>
    <col min="18" max="16384" width="11.42578125" style="15"/>
  </cols>
  <sheetData>
    <row r="1" spans="1:17" ht="19.5" x14ac:dyDescent="0.3">
      <c r="A1" s="73">
        <v>2022</v>
      </c>
    </row>
    <row r="2" spans="1:17" ht="14.1" customHeight="1" x14ac:dyDescent="0.3">
      <c r="A2" s="74"/>
      <c r="P2" s="75"/>
      <c r="Q2" s="25"/>
    </row>
    <row r="3" spans="1:17" ht="14.1" customHeight="1" x14ac:dyDescent="0.25">
      <c r="A3" s="255">
        <v>44531</v>
      </c>
      <c r="B3" s="20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P3" s="75"/>
      <c r="Q3" s="25"/>
    </row>
    <row r="4" spans="1:17" ht="15.95" customHeight="1" x14ac:dyDescent="0.3">
      <c r="A4" s="256"/>
      <c r="B4" s="256"/>
      <c r="C4" s="256"/>
      <c r="D4" s="256"/>
      <c r="E4" s="256"/>
      <c r="F4" s="256"/>
      <c r="G4" s="256"/>
      <c r="H4" s="256"/>
      <c r="I4" s="256"/>
      <c r="J4" s="256"/>
      <c r="K4" s="76"/>
      <c r="L4" s="76"/>
      <c r="M4" s="76"/>
      <c r="N4" s="74" t="s">
        <v>145</v>
      </c>
      <c r="P4" s="75"/>
      <c r="Q4" s="25"/>
    </row>
    <row r="5" spans="1:17" ht="15.95" customHeight="1" x14ac:dyDescent="0.3">
      <c r="A5" s="257" t="e">
        <f>$M$4/A4</f>
        <v>#DIV/0!</v>
      </c>
      <c r="B5" s="257" t="e">
        <f t="shared" ref="B5:M5" si="0">$M$4/B4</f>
        <v>#DIV/0!</v>
      </c>
      <c r="C5" s="257" t="e">
        <f t="shared" si="0"/>
        <v>#DIV/0!</v>
      </c>
      <c r="D5" s="257" t="e">
        <f t="shared" si="0"/>
        <v>#DIV/0!</v>
      </c>
      <c r="E5" s="257" t="e">
        <f t="shared" si="0"/>
        <v>#DIV/0!</v>
      </c>
      <c r="F5" s="257" t="e">
        <f t="shared" si="0"/>
        <v>#DIV/0!</v>
      </c>
      <c r="G5" s="257" t="e">
        <f t="shared" si="0"/>
        <v>#DIV/0!</v>
      </c>
      <c r="H5" s="257" t="e">
        <f t="shared" si="0"/>
        <v>#DIV/0!</v>
      </c>
      <c r="I5" s="257" t="e">
        <f t="shared" si="0"/>
        <v>#DIV/0!</v>
      </c>
      <c r="J5" s="257" t="e">
        <f t="shared" si="0"/>
        <v>#DIV/0!</v>
      </c>
      <c r="K5" s="257" t="e">
        <f t="shared" si="0"/>
        <v>#DIV/0!</v>
      </c>
      <c r="L5" s="257" t="e">
        <f t="shared" si="0"/>
        <v>#DIV/0!</v>
      </c>
      <c r="M5" s="76" t="e">
        <f t="shared" si="0"/>
        <v>#DIV/0!</v>
      </c>
      <c r="N5" s="74" t="s">
        <v>146</v>
      </c>
      <c r="P5" s="75"/>
      <c r="Q5" s="25"/>
    </row>
    <row r="6" spans="1:17" ht="14.1" customHeight="1" x14ac:dyDescent="0.3">
      <c r="A6" s="74"/>
      <c r="P6" s="75"/>
      <c r="Q6" s="25"/>
    </row>
    <row r="7" spans="1:17" ht="14.1" customHeight="1" x14ac:dyDescent="0.25">
      <c r="A7" s="279" t="s">
        <v>21</v>
      </c>
      <c r="B7" s="279"/>
      <c r="C7" s="279"/>
      <c r="P7" s="75"/>
      <c r="Q7" s="25"/>
    </row>
    <row r="8" spans="1:17" ht="14.1" customHeight="1" x14ac:dyDescent="0.25">
      <c r="A8" s="20"/>
      <c r="B8" s="20" t="s">
        <v>0</v>
      </c>
      <c r="C8" s="20" t="s">
        <v>1</v>
      </c>
      <c r="D8" s="20" t="s">
        <v>2</v>
      </c>
      <c r="E8" s="20" t="s">
        <v>3</v>
      </c>
      <c r="F8" s="20" t="s">
        <v>4</v>
      </c>
      <c r="G8" s="20" t="s">
        <v>5</v>
      </c>
      <c r="H8" s="20" t="s">
        <v>6</v>
      </c>
      <c r="I8" s="20" t="s">
        <v>7</v>
      </c>
      <c r="J8" s="20" t="s">
        <v>8</v>
      </c>
      <c r="K8" s="20" t="s">
        <v>9</v>
      </c>
      <c r="L8" s="20" t="s">
        <v>10</v>
      </c>
      <c r="M8" s="20" t="s">
        <v>11</v>
      </c>
      <c r="N8" s="20" t="s">
        <v>18</v>
      </c>
      <c r="P8" s="180" t="s">
        <v>258</v>
      </c>
      <c r="Q8" s="25" t="s">
        <v>291</v>
      </c>
    </row>
    <row r="9" spans="1:17" ht="14.1" customHeight="1" x14ac:dyDescent="0.25">
      <c r="A9" s="52" t="s">
        <v>114</v>
      </c>
      <c r="B9" s="269">
        <v>3365584.15</v>
      </c>
      <c r="C9" s="269">
        <v>2330119.15</v>
      </c>
      <c r="D9" s="269">
        <v>4308669.91</v>
      </c>
      <c r="E9" s="269">
        <v>3987027.95</v>
      </c>
      <c r="F9" s="269">
        <v>4828926.8099999996</v>
      </c>
      <c r="G9" s="269">
        <v>1527819.38</v>
      </c>
      <c r="H9" s="269">
        <v>13241726</v>
      </c>
      <c r="I9" s="269">
        <v>10219867.09</v>
      </c>
      <c r="J9" s="269">
        <v>5972981.5700000003</v>
      </c>
      <c r="K9" s="269">
        <v>6105719.7599999998</v>
      </c>
      <c r="L9" s="269">
        <v>6545127</v>
      </c>
      <c r="M9" s="269">
        <v>7173977.3799999999</v>
      </c>
      <c r="N9" s="269">
        <f>SUM(B9:M9)</f>
        <v>69607546.149999991</v>
      </c>
      <c r="O9" s="17"/>
      <c r="P9" s="181">
        <v>69775916.370000005</v>
      </c>
      <c r="Q9" s="25">
        <v>91288.85</v>
      </c>
    </row>
    <row r="10" spans="1:17" ht="14.1" customHeight="1" x14ac:dyDescent="0.25">
      <c r="A10" s="1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17"/>
      <c r="P10" s="75"/>
      <c r="Q10" s="25"/>
    </row>
    <row r="11" spans="1:17" ht="14.25" customHeight="1" x14ac:dyDescent="0.25">
      <c r="A11" s="278" t="s">
        <v>113</v>
      </c>
      <c r="B11" s="278"/>
      <c r="C11" s="278"/>
      <c r="P11" s="266">
        <f>P9-N9</f>
        <v>168370.22000001371</v>
      </c>
      <c r="Q11" s="25"/>
    </row>
    <row r="12" spans="1:17" ht="15.75" x14ac:dyDescent="0.25">
      <c r="A12" s="267" t="s">
        <v>22</v>
      </c>
      <c r="B12" s="267" t="s">
        <v>0</v>
      </c>
      <c r="C12" s="267" t="s">
        <v>1</v>
      </c>
      <c r="D12" s="267" t="s">
        <v>2</v>
      </c>
      <c r="E12" s="267" t="s">
        <v>3</v>
      </c>
      <c r="F12" s="267" t="s">
        <v>4</v>
      </c>
      <c r="G12" s="267" t="s">
        <v>5</v>
      </c>
      <c r="H12" s="267" t="s">
        <v>6</v>
      </c>
      <c r="I12" s="267" t="s">
        <v>7</v>
      </c>
      <c r="J12" s="267" t="s">
        <v>8</v>
      </c>
      <c r="K12" s="267" t="s">
        <v>9</v>
      </c>
      <c r="L12" s="267" t="s">
        <v>10</v>
      </c>
      <c r="M12" s="267" t="s">
        <v>11</v>
      </c>
      <c r="N12" s="267" t="s">
        <v>18</v>
      </c>
      <c r="P12" s="75"/>
      <c r="Q12" s="25"/>
    </row>
    <row r="13" spans="1:17" ht="15.75" x14ac:dyDescent="0.25">
      <c r="A13" s="52" t="s">
        <v>15</v>
      </c>
      <c r="B13" s="269">
        <f>13162+9561+4765+12498+12498+12498+12498+8878+12190+9373+12498+12498+5312+29314+3682+34187+16122+7361+12498+1367+2662+1029+695+10623+12498+12498+19070+12498+12498+9522+12764+3290+549+14804+19045+19898+17140+140923+35137+5127</f>
        <v>605030</v>
      </c>
      <c r="C13" s="269">
        <f>3098+2049+2381+284372+4521</f>
        <v>296421</v>
      </c>
      <c r="D13" s="269">
        <f>6099+241958+18368+219188+208776+3560+5180+4998+3340+5703+2905+2572+2572+2572+5360</f>
        <v>733151</v>
      </c>
      <c r="E13" s="277"/>
      <c r="F13" s="277"/>
      <c r="G13" s="277"/>
      <c r="H13" s="277"/>
      <c r="I13" s="51"/>
      <c r="J13" s="51"/>
      <c r="K13" s="51"/>
      <c r="L13" s="51"/>
      <c r="M13" s="275"/>
      <c r="N13" s="51">
        <f>SUM(B13:M13)</f>
        <v>1634602</v>
      </c>
      <c r="O13" s="17"/>
      <c r="P13" s="75"/>
      <c r="Q13" s="25"/>
    </row>
    <row r="14" spans="1:17" ht="15.75" x14ac:dyDescent="0.25">
      <c r="A14" s="52" t="s">
        <v>14</v>
      </c>
      <c r="B14" s="269">
        <f>3010+2186+834+2858+2858+2858+2858+2030+2787+2143+2858+2858+1215+6703+645+7817+3687+1683+2858+345+778+254+159+2429+2858+2858+4361+2858+2858+2143+2715+569+136+3332+4287+4479+3858+24861+2836+7436+898</f>
        <v>132054</v>
      </c>
      <c r="C14" s="269">
        <f>752+520+619+46366+5272+233</f>
        <v>53762</v>
      </c>
      <c r="D14" s="269">
        <f>1620+39748+4535+2920+333+31090+3547+34106+3262+502+707+635+861+553+388+388+388+1020</f>
        <v>126603</v>
      </c>
      <c r="E14" s="277"/>
      <c r="F14" s="277"/>
      <c r="G14" s="277"/>
      <c r="H14" s="277"/>
      <c r="I14" s="51"/>
      <c r="J14" s="51"/>
      <c r="K14" s="51"/>
      <c r="L14" s="51"/>
      <c r="M14" s="275"/>
      <c r="N14" s="51">
        <f t="shared" ref="N14:N26" si="1">SUM(B14:M14)</f>
        <v>312419</v>
      </c>
      <c r="P14" s="75"/>
    </row>
    <row r="15" spans="1:17" x14ac:dyDescent="0.25">
      <c r="A15" s="52" t="s">
        <v>129</v>
      </c>
      <c r="B15" s="269">
        <v>0</v>
      </c>
      <c r="C15" s="269">
        <v>0</v>
      </c>
      <c r="D15" s="269">
        <v>0</v>
      </c>
      <c r="E15" s="269">
        <v>0</v>
      </c>
      <c r="F15" s="269">
        <v>0</v>
      </c>
      <c r="G15" s="269">
        <v>0</v>
      </c>
      <c r="H15" s="269"/>
      <c r="I15" s="51"/>
      <c r="J15" s="51"/>
      <c r="K15" s="51"/>
      <c r="L15" s="51"/>
      <c r="M15" s="275"/>
      <c r="N15" s="51">
        <f t="shared" ref="N15:N21" si="2">SUM(B15:M15)</f>
        <v>0</v>
      </c>
      <c r="P15" s="179"/>
    </row>
    <row r="16" spans="1:17" x14ac:dyDescent="0.25">
      <c r="A16" s="52" t="s">
        <v>160</v>
      </c>
      <c r="B16" s="269">
        <v>0</v>
      </c>
      <c r="C16" s="269">
        <f>716+300+150+1435+143+342+3377+52+380</f>
        <v>6895</v>
      </c>
      <c r="D16" s="269">
        <f>829+94+235+2239+33+437+300+715+150</f>
        <v>5032</v>
      </c>
      <c r="E16" s="269">
        <f>150+245+2623+46+380+260+651+90+793+7+367+3083+38+300+715+437</f>
        <v>10185</v>
      </c>
      <c r="F16" s="269">
        <f>116+1015+10+170</f>
        <v>1311</v>
      </c>
      <c r="G16" s="269">
        <f>340+783+170+437+245+2079+25+652+5426+69</f>
        <v>10226</v>
      </c>
      <c r="H16" s="269">
        <f>370+888+185</f>
        <v>1443</v>
      </c>
      <c r="I16" s="51"/>
      <c r="J16" s="51"/>
      <c r="K16" s="51"/>
      <c r="L16" s="51"/>
      <c r="M16" s="275"/>
      <c r="N16" s="51">
        <f t="shared" si="2"/>
        <v>35092</v>
      </c>
      <c r="P16" s="179"/>
    </row>
    <row r="17" spans="1:14" x14ac:dyDescent="0.25">
      <c r="A17" s="52" t="s">
        <v>219</v>
      </c>
      <c r="B17" s="269">
        <v>164200</v>
      </c>
      <c r="C17" s="269">
        <f>180637+301982</f>
        <v>482619</v>
      </c>
      <c r="D17" s="269">
        <v>347312</v>
      </c>
      <c r="E17" s="269">
        <v>360500</v>
      </c>
      <c r="F17" s="269">
        <v>376024</v>
      </c>
      <c r="G17" s="269">
        <v>378422</v>
      </c>
      <c r="H17" s="269"/>
      <c r="I17" s="51"/>
      <c r="J17" s="51"/>
      <c r="K17" s="51"/>
      <c r="L17" s="51"/>
      <c r="M17" s="275"/>
      <c r="N17" s="51">
        <f t="shared" si="2"/>
        <v>2109077</v>
      </c>
    </row>
    <row r="18" spans="1:14" x14ac:dyDescent="0.25">
      <c r="A18" s="52" t="s">
        <v>226</v>
      </c>
      <c r="B18" s="269">
        <v>0</v>
      </c>
      <c r="C18" s="269">
        <v>0</v>
      </c>
      <c r="D18" s="269">
        <v>0</v>
      </c>
      <c r="E18" s="269">
        <v>0</v>
      </c>
      <c r="F18" s="269">
        <v>0</v>
      </c>
      <c r="G18" s="269">
        <v>0</v>
      </c>
      <c r="H18" s="269"/>
      <c r="I18" s="51"/>
      <c r="J18" s="51"/>
      <c r="K18" s="51"/>
      <c r="L18" s="51"/>
      <c r="M18" s="51"/>
      <c r="N18" s="51">
        <f t="shared" si="2"/>
        <v>0</v>
      </c>
    </row>
    <row r="19" spans="1:14" x14ac:dyDescent="0.25">
      <c r="A19" s="52" t="s">
        <v>218</v>
      </c>
      <c r="B19" s="269">
        <v>0</v>
      </c>
      <c r="C19" s="269">
        <f>1080.75*105.2</f>
        <v>113694.90000000001</v>
      </c>
      <c r="D19" s="269">
        <v>0</v>
      </c>
      <c r="E19" s="269">
        <v>400000</v>
      </c>
      <c r="F19" s="269">
        <f>7748*117.86</f>
        <v>913179.28</v>
      </c>
      <c r="G19" s="269">
        <v>297998</v>
      </c>
      <c r="H19" s="269">
        <f>31200+(1437*107.28)+(4031.64*119.55)</f>
        <v>667343.92200000002</v>
      </c>
      <c r="I19" s="51"/>
      <c r="J19" s="51"/>
      <c r="K19" s="51"/>
      <c r="L19" s="51"/>
      <c r="M19" s="275"/>
      <c r="N19" s="51">
        <f>SUM(B19:M19)</f>
        <v>2392216.102</v>
      </c>
    </row>
    <row r="20" spans="1:14" x14ac:dyDescent="0.25">
      <c r="A20" s="52" t="s">
        <v>161</v>
      </c>
      <c r="B20" s="269">
        <v>0</v>
      </c>
      <c r="C20" s="269">
        <v>0</v>
      </c>
      <c r="D20" s="269">
        <f>418541+9208+4185+20000</f>
        <v>451934</v>
      </c>
      <c r="E20" s="269">
        <v>0</v>
      </c>
      <c r="F20" s="269">
        <v>0</v>
      </c>
      <c r="G20" s="269">
        <v>0</v>
      </c>
      <c r="H20" s="269"/>
      <c r="I20" s="51"/>
      <c r="J20" s="51"/>
      <c r="K20" s="51"/>
      <c r="L20" s="51"/>
      <c r="M20" s="275"/>
      <c r="N20" s="51">
        <f t="shared" si="2"/>
        <v>451934</v>
      </c>
    </row>
    <row r="21" spans="1:14" x14ac:dyDescent="0.25">
      <c r="A21" s="52" t="s">
        <v>134</v>
      </c>
      <c r="B21" s="269">
        <f>100000+357035</f>
        <v>457035</v>
      </c>
      <c r="C21" s="269">
        <f>80000+148350</f>
        <v>228350</v>
      </c>
      <c r="D21" s="269">
        <f>58182+80000</f>
        <v>138182</v>
      </c>
      <c r="E21" s="269">
        <v>0</v>
      </c>
      <c r="F21" s="269">
        <v>30000</v>
      </c>
      <c r="G21" s="269">
        <v>0</v>
      </c>
      <c r="H21" s="269"/>
      <c r="I21" s="51"/>
      <c r="J21" s="51"/>
      <c r="K21" s="51"/>
      <c r="L21" s="51"/>
      <c r="M21" s="275"/>
      <c r="N21" s="51">
        <f t="shared" si="2"/>
        <v>853567</v>
      </c>
    </row>
    <row r="22" spans="1:14" x14ac:dyDescent="0.25">
      <c r="A22" s="52" t="s">
        <v>13</v>
      </c>
      <c r="B22" s="269">
        <v>13582</v>
      </c>
      <c r="C22" s="269">
        <v>0</v>
      </c>
      <c r="D22" s="269">
        <v>0</v>
      </c>
      <c r="E22" s="269">
        <v>0</v>
      </c>
      <c r="F22" s="269">
        <v>10000</v>
      </c>
      <c r="G22" s="269">
        <v>0</v>
      </c>
      <c r="H22" s="269"/>
      <c r="I22" s="51"/>
      <c r="J22" s="51"/>
      <c r="K22" s="51"/>
      <c r="L22" s="51"/>
      <c r="M22" s="275"/>
      <c r="N22" s="51">
        <f t="shared" si="1"/>
        <v>23582</v>
      </c>
    </row>
    <row r="23" spans="1:14" x14ac:dyDescent="0.25">
      <c r="A23" s="52" t="s">
        <v>12</v>
      </c>
      <c r="B23" s="269">
        <f>1645+1090+1828+655+1590+1014+552+260+1764+504+433+1063+564+1205+160+869+373+968+1045+1461+59+529+1291+1393+164+799+932+2540+667+3277+1172+791+5281+330+1679+751+420+604+300+1652+1253+5950+3541+2570+777+3385+2618+1223+2405+1066+248+1651+754+1463+6881+2369</f>
        <v>81828</v>
      </c>
      <c r="C23" s="269">
        <f>2069+4952+1898+2515+2069+833+1330+1416+1202+1238+511+2377+1280+1383+655+808+791+2264+610+355+180+449+803+1384+3815+769+2636+2764+1818+3385+1719+6115</f>
        <v>56393</v>
      </c>
      <c r="D23" s="269">
        <f>380+7851+4028+2865+3403+2083+3663+1265+3175+3852+1181+2537+1655+1247+841+1033+988+785+9520+9917+9588</f>
        <v>71857</v>
      </c>
      <c r="E23" s="277"/>
      <c r="F23" s="277"/>
      <c r="G23" s="277"/>
      <c r="H23" s="277"/>
      <c r="I23" s="51"/>
      <c r="J23" s="51"/>
      <c r="K23" s="51"/>
      <c r="L23" s="51"/>
      <c r="M23" s="275"/>
      <c r="N23" s="51">
        <f t="shared" si="1"/>
        <v>210078</v>
      </c>
    </row>
    <row r="24" spans="1:14" x14ac:dyDescent="0.25">
      <c r="A24" s="52" t="s">
        <v>16</v>
      </c>
      <c r="B24" s="269">
        <f>77446+10454+72740+43800+42964</f>
        <v>247404</v>
      </c>
      <c r="C24" s="269">
        <v>0</v>
      </c>
      <c r="D24" s="269">
        <v>479638</v>
      </c>
      <c r="E24" s="269">
        <v>72661.87</v>
      </c>
      <c r="F24" s="269">
        <v>82645</v>
      </c>
      <c r="G24" s="269">
        <v>0</v>
      </c>
      <c r="H24" s="269"/>
      <c r="I24" s="78"/>
      <c r="J24" s="51"/>
      <c r="K24" s="78"/>
      <c r="L24" s="51"/>
      <c r="M24" s="275"/>
      <c r="N24" s="51">
        <f t="shared" si="1"/>
        <v>882348.87</v>
      </c>
    </row>
    <row r="25" spans="1:14" x14ac:dyDescent="0.25">
      <c r="A25" s="52" t="s">
        <v>159</v>
      </c>
      <c r="B25" s="269">
        <v>2790</v>
      </c>
      <c r="C25" s="269">
        <v>2790</v>
      </c>
      <c r="D25" s="269">
        <v>2790</v>
      </c>
      <c r="E25" s="269">
        <v>3378</v>
      </c>
      <c r="F25" s="269">
        <v>3378</v>
      </c>
      <c r="G25" s="269">
        <v>3378</v>
      </c>
      <c r="H25" s="269">
        <v>3378</v>
      </c>
      <c r="I25" s="51"/>
      <c r="J25" s="51"/>
      <c r="K25" s="51"/>
      <c r="L25" s="51"/>
      <c r="M25" s="275"/>
      <c r="N25" s="51">
        <f t="shared" si="1"/>
        <v>21882</v>
      </c>
    </row>
    <row r="26" spans="1:14" x14ac:dyDescent="0.25">
      <c r="A26" s="52" t="s">
        <v>17</v>
      </c>
      <c r="B26" s="269">
        <f>567+104857+746+92240+27190+28214+25769-2143-2577+203754+595+6040+984+7500</f>
        <v>493736</v>
      </c>
      <c r="C26" s="269">
        <f>14876+86992+62693+13337+17543+4488+219651+553563+10029+1496</f>
        <v>984668</v>
      </c>
      <c r="D26" s="269">
        <f>985+16132+37791+29220+7410+1863</f>
        <v>93401</v>
      </c>
      <c r="E26" s="269">
        <f>1114.79+122454.84+18879.52+3115.73+27242.81+1067.65</f>
        <v>173875.34</v>
      </c>
      <c r="F26" s="269">
        <f>106036+959+42917+33058+31964</f>
        <v>214934</v>
      </c>
      <c r="G26" s="269">
        <f>6198+31964+30029+9412+4397+1331+6179</f>
        <v>89510</v>
      </c>
      <c r="H26" s="269">
        <f>15862+136941+144628+17128+29395+122755+4397+236365</f>
        <v>707471</v>
      </c>
      <c r="I26" s="51"/>
      <c r="J26" s="51"/>
      <c r="K26" s="78"/>
      <c r="L26" s="51"/>
      <c r="M26" s="275"/>
      <c r="N26" s="259">
        <f t="shared" si="1"/>
        <v>2757595.34</v>
      </c>
    </row>
    <row r="27" spans="1:14" x14ac:dyDescent="0.25">
      <c r="A27" s="258" t="s">
        <v>20</v>
      </c>
      <c r="B27" s="271">
        <f>1983+3818+119250+181836+205112+7748+19512+6225</f>
        <v>545484</v>
      </c>
      <c r="C27" s="271">
        <f>1364+18364+1191+7035+7686+57851+5207+84628</f>
        <v>183326</v>
      </c>
      <c r="D27" s="271">
        <f>18347+10578+22678+50826+3289</f>
        <v>105718</v>
      </c>
      <c r="E27" s="271">
        <f>13997+187650+2587+946512+135570+2066+436714+218357+46463</f>
        <v>1989916</v>
      </c>
      <c r="F27" s="271">
        <f>27662+29975+8768+6606+478068+10099+31837+13100+7000</f>
        <v>613115</v>
      </c>
      <c r="G27" s="271">
        <f>17500+3223+14769+119504</f>
        <v>154996</v>
      </c>
      <c r="H27" s="271">
        <f>6783+9813+12500+119504+13871+19008+9742+45289+24793</f>
        <v>261303</v>
      </c>
      <c r="I27" s="259"/>
      <c r="J27" s="259"/>
      <c r="K27" s="259"/>
      <c r="L27" s="259"/>
      <c r="M27" s="276"/>
      <c r="N27" s="259">
        <f>SUM(B27:M27)</f>
        <v>3853858</v>
      </c>
    </row>
    <row r="28" spans="1:14" s="52" customFormat="1" x14ac:dyDescent="0.25">
      <c r="A28" s="52" t="s">
        <v>265</v>
      </c>
      <c r="B28" s="269">
        <v>0</v>
      </c>
      <c r="C28" s="269">
        <v>0</v>
      </c>
      <c r="D28" s="269">
        <v>0</v>
      </c>
      <c r="E28" s="269">
        <v>0</v>
      </c>
      <c r="F28" s="269">
        <v>38678</v>
      </c>
      <c r="G28" s="269">
        <f>19835+97150</f>
        <v>116985</v>
      </c>
      <c r="H28" s="269">
        <v>178576</v>
      </c>
      <c r="I28" s="51"/>
      <c r="J28" s="51"/>
      <c r="K28" s="51"/>
      <c r="L28" s="51"/>
      <c r="M28" s="51"/>
      <c r="N28" s="51">
        <f>SUM(B28:M28)</f>
        <v>334239</v>
      </c>
    </row>
    <row r="29" spans="1:14" x14ac:dyDescent="0.25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9"/>
    </row>
    <row r="30" spans="1:14" x14ac:dyDescent="0.25">
      <c r="A30" s="268" t="s">
        <v>241</v>
      </c>
      <c r="B30" s="267" t="s">
        <v>0</v>
      </c>
      <c r="C30" s="267" t="s">
        <v>1</v>
      </c>
      <c r="D30" s="267" t="s">
        <v>2</v>
      </c>
      <c r="E30" s="267" t="s">
        <v>3</v>
      </c>
      <c r="F30" s="267" t="s">
        <v>4</v>
      </c>
      <c r="G30" s="267" t="s">
        <v>5</v>
      </c>
      <c r="H30" s="267" t="s">
        <v>6</v>
      </c>
      <c r="I30" s="267" t="s">
        <v>7</v>
      </c>
      <c r="J30" s="267" t="s">
        <v>8</v>
      </c>
      <c r="K30" s="267" t="s">
        <v>9</v>
      </c>
      <c r="L30" s="267" t="s">
        <v>10</v>
      </c>
      <c r="M30" s="267" t="s">
        <v>11</v>
      </c>
      <c r="N30" s="267" t="s">
        <v>18</v>
      </c>
    </row>
    <row r="31" spans="1:14" x14ac:dyDescent="0.25">
      <c r="A31" s="52" t="s">
        <v>240</v>
      </c>
      <c r="B31" s="51">
        <v>0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/>
      <c r="M31" s="51">
        <v>0</v>
      </c>
      <c r="N31" s="79">
        <f>SUM(B31:M31)</f>
        <v>0</v>
      </c>
    </row>
    <row r="32" spans="1:14" x14ac:dyDescent="0.25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51"/>
    </row>
    <row r="33" spans="1:16" x14ac:dyDescent="0.25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 t="s">
        <v>19</v>
      </c>
      <c r="N33" s="51">
        <f>SUM(N13:N27)</f>
        <v>15538251.311999999</v>
      </c>
    </row>
    <row r="34" spans="1:16" x14ac:dyDescent="0.25">
      <c r="A34" s="268" t="s">
        <v>115</v>
      </c>
      <c r="B34" s="267" t="s">
        <v>0</v>
      </c>
      <c r="C34" s="267" t="s">
        <v>1</v>
      </c>
      <c r="D34" s="267" t="s">
        <v>2</v>
      </c>
      <c r="E34" s="267" t="s">
        <v>3</v>
      </c>
      <c r="F34" s="267" t="s">
        <v>4</v>
      </c>
      <c r="G34" s="267" t="s">
        <v>5</v>
      </c>
      <c r="H34" s="267" t="s">
        <v>6</v>
      </c>
      <c r="I34" s="267" t="s">
        <v>7</v>
      </c>
      <c r="J34" s="267" t="s">
        <v>8</v>
      </c>
      <c r="K34" s="267" t="s">
        <v>9</v>
      </c>
      <c r="L34" s="267" t="s">
        <v>10</v>
      </c>
      <c r="M34" s="267" t="s">
        <v>11</v>
      </c>
      <c r="N34" s="267" t="s">
        <v>18</v>
      </c>
    </row>
    <row r="35" spans="1:16" x14ac:dyDescent="0.25">
      <c r="A35" s="52" t="s">
        <v>116</v>
      </c>
      <c r="B35" s="269">
        <v>257157.82</v>
      </c>
      <c r="C35" s="269">
        <v>229564.4</v>
      </c>
      <c r="D35" s="269">
        <v>252157.77</v>
      </c>
      <c r="E35" s="269">
        <v>252082.44</v>
      </c>
      <c r="F35" s="269">
        <v>290863.02</v>
      </c>
      <c r="G35" s="269">
        <v>431690.49</v>
      </c>
      <c r="H35" s="51"/>
      <c r="I35" s="51"/>
      <c r="J35" s="51"/>
      <c r="K35" s="51"/>
      <c r="L35" s="51"/>
      <c r="M35" s="51"/>
      <c r="N35" s="79">
        <f>SUM(B35:M35)</f>
        <v>1713515.94</v>
      </c>
    </row>
    <row r="36" spans="1:16" x14ac:dyDescent="0.25">
      <c r="A36" s="52" t="s">
        <v>292</v>
      </c>
      <c r="B36" s="269">
        <f>6649.68+6681.26+6663.22</f>
        <v>19994.16</v>
      </c>
      <c r="C36" s="269">
        <f>24094.85+24058.76+24072.29</f>
        <v>72225.899999999994</v>
      </c>
      <c r="D36" s="269">
        <f>25216.13+25260.57+25275.38</f>
        <v>75752.08</v>
      </c>
      <c r="E36" s="269">
        <f>25191.45+25230.94+25255.63</f>
        <v>75678.02</v>
      </c>
      <c r="F36" s="269">
        <f>27249.66+27181.53+27215.59</f>
        <v>81646.78</v>
      </c>
      <c r="G36" s="269">
        <f>15278.04+15204.24+15261.1</f>
        <v>45743.38</v>
      </c>
      <c r="H36" s="51"/>
      <c r="I36" s="51"/>
      <c r="J36" s="51"/>
      <c r="K36" s="51"/>
      <c r="L36" s="51"/>
      <c r="M36" s="51"/>
      <c r="N36" s="79">
        <f>SUM(B36:M36)</f>
        <v>371040.32000000007</v>
      </c>
    </row>
    <row r="37" spans="1:16" x14ac:dyDescent="0.25">
      <c r="A37" s="52" t="s">
        <v>259</v>
      </c>
      <c r="B37" s="269">
        <f>7714.73+3857.37</f>
        <v>11572.099999999999</v>
      </c>
      <c r="C37" s="269">
        <f>6886.93+3443.47</f>
        <v>10330.4</v>
      </c>
      <c r="D37" s="269">
        <f>7564.73+3782.37</f>
        <v>11347.099999999999</v>
      </c>
      <c r="E37" s="269">
        <f>7584.1+3792.05</f>
        <v>11376.150000000001</v>
      </c>
      <c r="F37" s="269">
        <f>8725.89+4362.95</f>
        <v>13088.84</v>
      </c>
      <c r="G37" s="269">
        <f>12950.71+6475.36</f>
        <v>19426.07</v>
      </c>
      <c r="H37" s="51"/>
      <c r="I37" s="51"/>
      <c r="J37" s="51"/>
      <c r="K37" s="51"/>
      <c r="L37" s="51"/>
      <c r="M37" s="51"/>
      <c r="N37" s="79">
        <f>SUM(B37:M37)</f>
        <v>77140.66</v>
      </c>
    </row>
    <row r="38" spans="1:16" x14ac:dyDescent="0.25">
      <c r="A38" s="52" t="s">
        <v>117</v>
      </c>
      <c r="B38" s="269">
        <f>37159.31+6557.53</f>
        <v>43716.84</v>
      </c>
      <c r="C38" s="269">
        <f>33172.05+5853.89</f>
        <v>39025.94</v>
      </c>
      <c r="D38" s="269">
        <f>36436.8+6430.02</f>
        <v>42866.820000000007</v>
      </c>
      <c r="E38" s="269">
        <f>36425.92+6428.11</f>
        <v>42854.03</v>
      </c>
      <c r="F38" s="269">
        <f>42029.7+7417.01</f>
        <v>49446.71</v>
      </c>
      <c r="G38" s="269">
        <f>62379.28+11008.11</f>
        <v>73387.39</v>
      </c>
      <c r="H38" s="51"/>
      <c r="I38" s="51"/>
      <c r="J38" s="51"/>
      <c r="K38" s="51"/>
      <c r="L38" s="51"/>
      <c r="M38" s="51"/>
      <c r="N38" s="51">
        <f t="shared" ref="N38:N42" si="3">SUM(B38:M38)</f>
        <v>291297.73</v>
      </c>
    </row>
    <row r="39" spans="1:16" x14ac:dyDescent="0.25">
      <c r="A39" s="52" t="s">
        <v>118</v>
      </c>
      <c r="B39" s="269">
        <f>(B35-B37-B38+B36)</f>
        <v>221863.04000000001</v>
      </c>
      <c r="C39" s="269">
        <f t="shared" ref="C39:M39" si="4">(C35-C37-C38+C36)</f>
        <v>252433.96</v>
      </c>
      <c r="D39" s="269">
        <f t="shared" si="4"/>
        <v>273695.93</v>
      </c>
      <c r="E39" s="269">
        <f t="shared" si="4"/>
        <v>273530.28000000003</v>
      </c>
      <c r="F39" s="269">
        <f t="shared" si="4"/>
        <v>309974.25</v>
      </c>
      <c r="G39" s="269">
        <f t="shared" si="4"/>
        <v>384620.41</v>
      </c>
      <c r="H39" s="51">
        <f t="shared" si="4"/>
        <v>0</v>
      </c>
      <c r="I39" s="51">
        <f t="shared" si="4"/>
        <v>0</v>
      </c>
      <c r="J39" s="51">
        <f t="shared" si="4"/>
        <v>0</v>
      </c>
      <c r="K39" s="51">
        <f t="shared" si="4"/>
        <v>0</v>
      </c>
      <c r="L39" s="51">
        <f t="shared" si="4"/>
        <v>0</v>
      </c>
      <c r="M39" s="51">
        <f t="shared" si="4"/>
        <v>0</v>
      </c>
      <c r="N39" s="51">
        <f t="shared" si="3"/>
        <v>1716117.8699999999</v>
      </c>
    </row>
    <row r="40" spans="1:16" x14ac:dyDescent="0.25">
      <c r="A40" s="52" t="s">
        <v>260</v>
      </c>
      <c r="B40" s="269">
        <v>3383.43</v>
      </c>
      <c r="C40" s="269">
        <v>3383.43</v>
      </c>
      <c r="D40" s="269">
        <v>3702.62</v>
      </c>
      <c r="E40" s="269">
        <v>3702.62</v>
      </c>
      <c r="F40" s="269">
        <v>4258.01</v>
      </c>
      <c r="G40" s="269">
        <v>4258.01</v>
      </c>
      <c r="H40" s="51">
        <v>0</v>
      </c>
      <c r="I40" s="51">
        <v>0</v>
      </c>
      <c r="J40" s="51">
        <v>0</v>
      </c>
      <c r="K40" s="51">
        <v>0</v>
      </c>
      <c r="L40" s="51"/>
      <c r="M40" s="51"/>
      <c r="N40" s="51">
        <f t="shared" si="3"/>
        <v>22688.120000000003</v>
      </c>
      <c r="P40" s="17">
        <f>SUM(B40:L41)-SUM(B43:L43)</f>
        <v>349875.12</v>
      </c>
    </row>
    <row r="41" spans="1:16" x14ac:dyDescent="0.25">
      <c r="A41" s="52" t="s">
        <v>73</v>
      </c>
      <c r="B41" s="269">
        <f>37903.43+10321.07+15729.47+73.05</f>
        <v>64027.020000000004</v>
      </c>
      <c r="C41" s="269">
        <f>33692.36+9304.03+14073.86+73.05</f>
        <v>57143.3</v>
      </c>
      <c r="D41" s="269">
        <f>32371.02+8834.94+15429.47+111.63</f>
        <v>56747.06</v>
      </c>
      <c r="E41" s="269">
        <f>32638.11+8908.14+15460.2+111.63</f>
        <v>57118.079999999994</v>
      </c>
      <c r="F41" s="269">
        <f>39483.71+10608.91+17787.03+111.63</f>
        <v>67991.28</v>
      </c>
      <c r="G41" s="269">
        <f>72618.23+19320.5+26236.68+111.63</f>
        <v>118287.04000000001</v>
      </c>
      <c r="H41" s="51"/>
      <c r="I41" s="51"/>
      <c r="J41" s="51"/>
      <c r="K41" s="51"/>
      <c r="L41" s="51"/>
      <c r="M41" s="51"/>
      <c r="N41" s="51">
        <f t="shared" si="3"/>
        <v>421313.78</v>
      </c>
    </row>
    <row r="42" spans="1:16" x14ac:dyDescent="0.25">
      <c r="A42" s="52" t="s">
        <v>122</v>
      </c>
      <c r="B42" s="269">
        <v>13054.55</v>
      </c>
      <c r="C42" s="269">
        <v>11108.36</v>
      </c>
      <c r="D42" s="269">
        <v>18773.07</v>
      </c>
      <c r="E42" s="269">
        <v>18413.189999999999</v>
      </c>
      <c r="F42" s="269">
        <v>19949.78</v>
      </c>
      <c r="G42" s="269">
        <v>12827.83</v>
      </c>
      <c r="H42" s="51"/>
      <c r="I42" s="51"/>
      <c r="J42" s="51"/>
      <c r="K42" s="51"/>
      <c r="L42" s="51"/>
      <c r="M42" s="51"/>
      <c r="N42" s="51">
        <f t="shared" si="3"/>
        <v>94126.78</v>
      </c>
      <c r="O42" s="17"/>
    </row>
    <row r="43" spans="1:16" x14ac:dyDescent="0.25">
      <c r="A43" s="52" t="s">
        <v>209</v>
      </c>
      <c r="B43" s="269">
        <v>13054.55</v>
      </c>
      <c r="C43" s="269">
        <v>11108.36</v>
      </c>
      <c r="D43" s="269">
        <v>18773.07</v>
      </c>
      <c r="E43" s="269">
        <f>E42</f>
        <v>18413.189999999999</v>
      </c>
      <c r="F43" s="269">
        <f>F42</f>
        <v>19949.78</v>
      </c>
      <c r="G43" s="269">
        <f>G42</f>
        <v>12827.83</v>
      </c>
      <c r="H43" s="51"/>
      <c r="I43" s="51"/>
      <c r="J43" s="51"/>
      <c r="K43" s="51"/>
      <c r="L43" s="51"/>
      <c r="M43" s="51"/>
      <c r="N43" s="51">
        <f>SUM(B43:M43)</f>
        <v>94126.78</v>
      </c>
      <c r="O43" s="17"/>
    </row>
    <row r="44" spans="1:16" x14ac:dyDescent="0.25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17"/>
    </row>
    <row r="45" spans="1:16" x14ac:dyDescent="0.25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</row>
    <row r="46" spans="1:16" x14ac:dyDescent="0.25">
      <c r="A46" s="268" t="s">
        <v>119</v>
      </c>
      <c r="B46" s="267" t="s">
        <v>0</v>
      </c>
      <c r="C46" s="267" t="s">
        <v>1</v>
      </c>
      <c r="D46" s="267" t="s">
        <v>2</v>
      </c>
      <c r="E46" s="267" t="s">
        <v>3</v>
      </c>
      <c r="F46" s="267" t="s">
        <v>4</v>
      </c>
      <c r="G46" s="267" t="s">
        <v>5</v>
      </c>
      <c r="H46" s="267" t="s">
        <v>6</v>
      </c>
      <c r="I46" s="267" t="s">
        <v>7</v>
      </c>
      <c r="J46" s="267" t="s">
        <v>8</v>
      </c>
      <c r="K46" s="267" t="s">
        <v>9</v>
      </c>
      <c r="L46" s="267" t="s">
        <v>10</v>
      </c>
      <c r="M46" s="267" t="s">
        <v>11</v>
      </c>
      <c r="N46" s="267" t="s">
        <v>18</v>
      </c>
    </row>
    <row r="47" spans="1:16" x14ac:dyDescent="0.25">
      <c r="A47" s="52" t="s">
        <v>120</v>
      </c>
      <c r="B47" s="269">
        <v>791591.44</v>
      </c>
      <c r="C47" s="269">
        <v>485067.45</v>
      </c>
      <c r="D47" s="269">
        <v>913458.43</v>
      </c>
      <c r="E47" s="269">
        <v>895450.82</v>
      </c>
      <c r="F47" s="269">
        <v>1025778.42</v>
      </c>
      <c r="G47" s="269">
        <v>733182.4</v>
      </c>
      <c r="H47" s="269">
        <v>3622776.02</v>
      </c>
      <c r="I47" s="269">
        <v>2149366.91</v>
      </c>
      <c r="J47" s="269">
        <v>1635638.96</v>
      </c>
      <c r="K47" s="269">
        <v>1283765.1000000001</v>
      </c>
      <c r="L47" s="269">
        <v>1441476.79</v>
      </c>
      <c r="M47" s="273">
        <v>2010311.56</v>
      </c>
      <c r="N47" s="270">
        <f>SUM(B47:M47)</f>
        <v>16987864.300000001</v>
      </c>
    </row>
    <row r="48" spans="1:16" x14ac:dyDescent="0.25">
      <c r="A48" s="52" t="s">
        <v>121</v>
      </c>
      <c r="B48" s="269">
        <v>551618.25</v>
      </c>
      <c r="C48" s="269">
        <v>425278.06</v>
      </c>
      <c r="D48" s="269">
        <v>463168.23</v>
      </c>
      <c r="E48" s="269">
        <v>970295</v>
      </c>
      <c r="F48" s="269">
        <v>1216199.72</v>
      </c>
      <c r="G48" s="269">
        <v>879299.61</v>
      </c>
      <c r="H48" s="269">
        <v>1654908.21</v>
      </c>
      <c r="I48" s="269">
        <v>1842425.86</v>
      </c>
      <c r="J48" s="269">
        <v>1481839.92</v>
      </c>
      <c r="K48" s="269">
        <v>1290810.79</v>
      </c>
      <c r="L48" s="269">
        <v>909006.41</v>
      </c>
      <c r="M48" s="273">
        <v>1471988</v>
      </c>
      <c r="N48" s="269">
        <f t="shared" ref="N48:N50" si="5">SUM(B48:M48)</f>
        <v>13156838.059999999</v>
      </c>
    </row>
    <row r="49" spans="1:16" x14ac:dyDescent="0.25">
      <c r="A49" s="52" t="s">
        <v>122</v>
      </c>
      <c r="B49" s="269">
        <f>209895.6-41585.43</f>
        <v>168310.17</v>
      </c>
      <c r="C49" s="269">
        <f>203791.59-33332.4</f>
        <v>170459.19</v>
      </c>
      <c r="D49" s="269">
        <f>210441.94</f>
        <v>210441.94</v>
      </c>
      <c r="E49" s="269">
        <v>302543.18</v>
      </c>
      <c r="F49" s="269">
        <v>135434.01999999999</v>
      </c>
      <c r="G49" s="269">
        <f>144053.28-336813.19</f>
        <v>-192759.91</v>
      </c>
      <c r="H49" s="269">
        <v>97783.56</v>
      </c>
      <c r="I49" s="269">
        <v>132741.19</v>
      </c>
      <c r="J49" s="269">
        <f>270150.7-122879.56</f>
        <v>147271.14000000001</v>
      </c>
      <c r="K49" s="269">
        <f>271436.55-224321.2</f>
        <v>47115.349999999977</v>
      </c>
      <c r="L49" s="269">
        <v>495765.48</v>
      </c>
      <c r="M49" s="269">
        <v>797181.76</v>
      </c>
      <c r="N49" s="269">
        <f t="shared" si="5"/>
        <v>2512287.0700000003</v>
      </c>
    </row>
    <row r="50" spans="1:16" x14ac:dyDescent="0.25">
      <c r="A50" s="52" t="s">
        <v>123</v>
      </c>
      <c r="B50" s="269">
        <v>332.08</v>
      </c>
      <c r="C50" s="269">
        <v>19660.849999999999</v>
      </c>
      <c r="D50" s="269">
        <v>1830.92</v>
      </c>
      <c r="E50" s="269">
        <v>7594.38</v>
      </c>
      <c r="F50" s="269">
        <v>812.47</v>
      </c>
      <c r="G50" s="269">
        <v>3375.96</v>
      </c>
      <c r="H50" s="269">
        <v>1764.4</v>
      </c>
      <c r="I50" s="269">
        <v>68919.259999999995</v>
      </c>
      <c r="J50" s="269">
        <v>13105.21</v>
      </c>
      <c r="K50" s="269">
        <v>4002.99</v>
      </c>
      <c r="L50" s="269">
        <v>7032.77</v>
      </c>
      <c r="M50" s="273">
        <v>16083.12</v>
      </c>
      <c r="N50" s="269">
        <f t="shared" si="5"/>
        <v>144514.41</v>
      </c>
    </row>
    <row r="51" spans="1:16" x14ac:dyDescent="0.25">
      <c r="A51" s="52" t="s">
        <v>127</v>
      </c>
      <c r="B51" s="269">
        <f>204434.23+575868.48</f>
        <v>780302.71</v>
      </c>
      <c r="C51" s="269">
        <v>708971.77</v>
      </c>
      <c r="D51" s="269">
        <v>839302.42</v>
      </c>
      <c r="E51" s="269">
        <v>601285.07999999996</v>
      </c>
      <c r="F51" s="269">
        <v>986266.82</v>
      </c>
      <c r="G51" s="274">
        <v>935311.48</v>
      </c>
      <c r="H51" s="269">
        <v>892044.74</v>
      </c>
      <c r="I51" s="269">
        <v>0</v>
      </c>
      <c r="J51" s="269">
        <v>0</v>
      </c>
      <c r="K51" s="269">
        <v>6577.31</v>
      </c>
      <c r="L51" s="269">
        <v>64741.34</v>
      </c>
      <c r="M51" s="273">
        <v>35069.21</v>
      </c>
      <c r="N51" s="269"/>
    </row>
    <row r="52" spans="1:16" x14ac:dyDescent="0.25">
      <c r="A52" s="52" t="s">
        <v>124</v>
      </c>
      <c r="B52" s="269">
        <f>B47-B48-B49-B50-B51</f>
        <v>-708971.77</v>
      </c>
      <c r="C52" s="269">
        <f t="shared" ref="C52:M52" si="6">C47-C48-C49-C50-C51</f>
        <v>-839302.42</v>
      </c>
      <c r="D52" s="269">
        <f t="shared" si="6"/>
        <v>-601285.07999999996</v>
      </c>
      <c r="E52" s="269">
        <f t="shared" si="6"/>
        <v>-986266.82000000007</v>
      </c>
      <c r="F52" s="269">
        <f t="shared" si="6"/>
        <v>-1312934.6099999999</v>
      </c>
      <c r="G52" s="269">
        <f t="shared" si="6"/>
        <v>-892044.74</v>
      </c>
      <c r="H52" s="269">
        <f t="shared" si="6"/>
        <v>976275.1100000001</v>
      </c>
      <c r="I52" s="269">
        <f t="shared" si="6"/>
        <v>105280.60000000005</v>
      </c>
      <c r="J52" s="269">
        <f t="shared" si="6"/>
        <v>-6577.3099999999758</v>
      </c>
      <c r="K52" s="269">
        <f t="shared" si="6"/>
        <v>-64741.339999999916</v>
      </c>
      <c r="L52" s="269">
        <f t="shared" si="6"/>
        <v>-35069.209999999977</v>
      </c>
      <c r="M52" s="269">
        <f t="shared" si="6"/>
        <v>-310010.52999999997</v>
      </c>
      <c r="N52" s="269"/>
      <c r="P52" s="17"/>
    </row>
    <row r="53" spans="1:16" x14ac:dyDescent="0.25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</row>
    <row r="54" spans="1:16" x14ac:dyDescent="0.25">
      <c r="A54" s="268" t="s">
        <v>80</v>
      </c>
      <c r="B54" s="267" t="s">
        <v>0</v>
      </c>
      <c r="C54" s="267" t="s">
        <v>1</v>
      </c>
      <c r="D54" s="267" t="s">
        <v>2</v>
      </c>
      <c r="E54" s="267" t="s">
        <v>3</v>
      </c>
      <c r="F54" s="267" t="s">
        <v>4</v>
      </c>
      <c r="G54" s="267" t="s">
        <v>5</v>
      </c>
      <c r="H54" s="267" t="s">
        <v>6</v>
      </c>
      <c r="I54" s="267" t="s">
        <v>7</v>
      </c>
      <c r="J54" s="267" t="s">
        <v>8</v>
      </c>
      <c r="K54" s="267" t="s">
        <v>9</v>
      </c>
      <c r="L54" s="267" t="s">
        <v>10</v>
      </c>
      <c r="M54" s="267" t="s">
        <v>11</v>
      </c>
      <c r="N54" s="267" t="s">
        <v>18</v>
      </c>
    </row>
    <row r="55" spans="1:16" x14ac:dyDescent="0.25">
      <c r="A55" s="52" t="s">
        <v>125</v>
      </c>
      <c r="B55" s="269">
        <v>67311.679999999993</v>
      </c>
      <c r="C55" s="269">
        <v>46602.38</v>
      </c>
      <c r="D55" s="269">
        <v>86173.4</v>
      </c>
      <c r="E55" s="269">
        <v>79740.56</v>
      </c>
      <c r="F55" s="269">
        <v>96578.54</v>
      </c>
      <c r="G55" s="269">
        <v>30556.39</v>
      </c>
      <c r="H55" s="269">
        <v>562495.9</v>
      </c>
      <c r="I55" s="269">
        <v>368349.23</v>
      </c>
      <c r="J55" s="269">
        <v>119459.63</v>
      </c>
      <c r="K55" s="269">
        <v>122114.4</v>
      </c>
      <c r="L55" s="269">
        <v>130902.54</v>
      </c>
      <c r="M55" s="269">
        <v>143479.53</v>
      </c>
      <c r="N55" s="270">
        <f>SUM(B55:M55)</f>
        <v>1853764.18</v>
      </c>
    </row>
    <row r="56" spans="1:16" x14ac:dyDescent="0.25">
      <c r="A56" s="52" t="s">
        <v>122</v>
      </c>
      <c r="B56" s="269">
        <v>41254.75</v>
      </c>
      <c r="C56" s="269">
        <v>36056.44</v>
      </c>
      <c r="D56" s="269">
        <v>53201.19</v>
      </c>
      <c r="E56" s="269">
        <v>72469.41</v>
      </c>
      <c r="F56" s="269">
        <v>125275.49</v>
      </c>
      <c r="G56" s="269">
        <v>42215.76</v>
      </c>
      <c r="H56" s="269">
        <v>31849.22</v>
      </c>
      <c r="I56" s="269">
        <v>123178.98</v>
      </c>
      <c r="J56" s="269">
        <v>97443.92</v>
      </c>
      <c r="K56" s="269">
        <v>74238.61</v>
      </c>
      <c r="L56" s="269">
        <v>87126.96</v>
      </c>
      <c r="M56" s="269">
        <v>293175.09000000003</v>
      </c>
      <c r="N56" s="270">
        <f t="shared" ref="N56:N59" si="7">SUM(B56:M56)</f>
        <v>1077485.82</v>
      </c>
    </row>
    <row r="57" spans="1:16" x14ac:dyDescent="0.25">
      <c r="A57" s="52" t="s">
        <v>123</v>
      </c>
      <c r="B57" s="269">
        <v>21226.23</v>
      </c>
      <c r="C57" s="269">
        <v>41715.040000000001</v>
      </c>
      <c r="D57" s="269">
        <v>463.58</v>
      </c>
      <c r="E57" s="269">
        <v>1847.71</v>
      </c>
      <c r="F57" s="269">
        <v>61727.82</v>
      </c>
      <c r="G57" s="269">
        <v>487.12</v>
      </c>
      <c r="H57" s="269">
        <v>2283.2399999999998</v>
      </c>
      <c r="I57" s="269">
        <v>37362.99</v>
      </c>
      <c r="J57" s="269">
        <v>14914.35</v>
      </c>
      <c r="K57" s="269">
        <v>18295.349999999999</v>
      </c>
      <c r="L57" s="269">
        <v>17886.169999999998</v>
      </c>
      <c r="M57" s="269">
        <v>17762.71</v>
      </c>
      <c r="N57" s="270">
        <f>SUM(B57:M57)</f>
        <v>235972.31000000003</v>
      </c>
    </row>
    <row r="58" spans="1:16" x14ac:dyDescent="0.25">
      <c r="A58" s="52" t="s">
        <v>126</v>
      </c>
      <c r="B58" s="269">
        <v>0</v>
      </c>
      <c r="C58" s="269">
        <v>0</v>
      </c>
      <c r="D58" s="269">
        <v>0</v>
      </c>
      <c r="E58" s="269">
        <v>111158.79</v>
      </c>
      <c r="F58" s="269">
        <v>127321.17</v>
      </c>
      <c r="G58" s="269">
        <v>173803.91</v>
      </c>
      <c r="H58" s="269">
        <v>0</v>
      </c>
      <c r="I58" s="269">
        <v>0</v>
      </c>
      <c r="J58" s="269">
        <v>0</v>
      </c>
      <c r="K58" s="269">
        <v>43366.46</v>
      </c>
      <c r="L58" s="269">
        <v>65703.75</v>
      </c>
      <c r="M58" s="269">
        <v>127742.63</v>
      </c>
      <c r="N58" s="270">
        <f t="shared" si="7"/>
        <v>649096.71</v>
      </c>
    </row>
    <row r="59" spans="1:16" x14ac:dyDescent="0.25">
      <c r="A59" s="258" t="s">
        <v>127</v>
      </c>
      <c r="B59" s="271">
        <v>4005.52</v>
      </c>
      <c r="C59" s="271">
        <v>0</v>
      </c>
      <c r="D59" s="271">
        <v>31169.1</v>
      </c>
      <c r="E59" s="271">
        <v>0</v>
      </c>
      <c r="F59" s="271">
        <v>105735.35</v>
      </c>
      <c r="G59" s="271">
        <v>323481.28999999998</v>
      </c>
      <c r="H59" s="271">
        <v>509431.69</v>
      </c>
      <c r="I59" s="271">
        <v>0</v>
      </c>
      <c r="J59" s="271">
        <v>0</v>
      </c>
      <c r="K59" s="271">
        <v>0</v>
      </c>
      <c r="L59" s="271">
        <v>13786.02</v>
      </c>
      <c r="M59" s="271">
        <v>53600.36</v>
      </c>
      <c r="N59" s="271">
        <f t="shared" si="7"/>
        <v>1041209.33</v>
      </c>
    </row>
    <row r="60" spans="1:16" x14ac:dyDescent="0.25">
      <c r="A60" s="258" t="s">
        <v>124</v>
      </c>
      <c r="B60" s="271">
        <f>(B55-B56-B57-B58-B59)</f>
        <v>825.17999999999347</v>
      </c>
      <c r="C60" s="271">
        <f t="shared" ref="C60:M60" si="8">(C55-C56-C57-C58-C59)</f>
        <v>-31169.100000000006</v>
      </c>
      <c r="D60" s="271">
        <f t="shared" si="8"/>
        <v>1339.5299999999916</v>
      </c>
      <c r="E60" s="271">
        <f t="shared" si="8"/>
        <v>-105735.35</v>
      </c>
      <c r="F60" s="271">
        <f t="shared" si="8"/>
        <v>-323481.29000000004</v>
      </c>
      <c r="G60" s="271">
        <f t="shared" si="8"/>
        <v>-509431.68999999994</v>
      </c>
      <c r="H60" s="271">
        <f t="shared" si="8"/>
        <v>18931.750000000058</v>
      </c>
      <c r="I60" s="271">
        <f t="shared" si="8"/>
        <v>207807.26</v>
      </c>
      <c r="J60" s="271">
        <f t="shared" si="8"/>
        <v>7101.360000000006</v>
      </c>
      <c r="K60" s="271">
        <f t="shared" si="8"/>
        <v>-13786.020000000004</v>
      </c>
      <c r="L60" s="271">
        <f t="shared" si="8"/>
        <v>-53600.360000000015</v>
      </c>
      <c r="M60" s="271">
        <f t="shared" si="8"/>
        <v>-348801.26</v>
      </c>
      <c r="N60" s="271"/>
    </row>
    <row r="61" spans="1:16" x14ac:dyDescent="0.25">
      <c r="A61" s="80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</row>
    <row r="62" spans="1:16" x14ac:dyDescent="0.25">
      <c r="A62" s="268" t="s">
        <v>212</v>
      </c>
      <c r="B62" s="267" t="s">
        <v>0</v>
      </c>
      <c r="C62" s="267" t="s">
        <v>1</v>
      </c>
      <c r="D62" s="267" t="s">
        <v>2</v>
      </c>
      <c r="E62" s="267" t="s">
        <v>3</v>
      </c>
      <c r="F62" s="267" t="s">
        <v>4</v>
      </c>
      <c r="G62" s="267" t="s">
        <v>5</v>
      </c>
      <c r="H62" s="267" t="s">
        <v>6</v>
      </c>
      <c r="I62" s="267" t="s">
        <v>7</v>
      </c>
      <c r="J62" s="267" t="s">
        <v>8</v>
      </c>
      <c r="K62" s="267" t="s">
        <v>9</v>
      </c>
      <c r="L62" s="267" t="s">
        <v>10</v>
      </c>
      <c r="M62" s="267" t="s">
        <v>11</v>
      </c>
      <c r="N62" s="267" t="s">
        <v>18</v>
      </c>
    </row>
    <row r="63" spans="1:16" x14ac:dyDescent="0.25">
      <c r="A63" s="52" t="s">
        <v>131</v>
      </c>
      <c r="B63" s="269">
        <f>1300+120+180</f>
        <v>1600</v>
      </c>
      <c r="C63" s="269">
        <f>1690+120+100</f>
        <v>1910</v>
      </c>
      <c r="D63" s="269">
        <f>1690+120+4+180+4+600+400</f>
        <v>2998</v>
      </c>
      <c r="E63" s="269">
        <f>1690+120+369.26+180+470.18</f>
        <v>2829.44</v>
      </c>
      <c r="F63" s="269">
        <f>1690+120+18000+15000</f>
        <v>34810</v>
      </c>
      <c r="G63" s="269">
        <f>1690+120+180+1200+405.37</f>
        <v>3595.37</v>
      </c>
      <c r="H63" s="269">
        <f>1690+120+180+120</f>
        <v>2110</v>
      </c>
      <c r="I63" s="269">
        <f>2500+120+3750+215+580+45000</f>
        <v>52165</v>
      </c>
      <c r="J63" s="269">
        <f>2500+120+360</f>
        <v>2980</v>
      </c>
      <c r="K63" s="269">
        <f>2500+120+360</f>
        <v>2980</v>
      </c>
      <c r="L63" s="269">
        <f>2500</f>
        <v>2500</v>
      </c>
      <c r="M63" s="269">
        <f>2500+360</f>
        <v>2860</v>
      </c>
      <c r="N63" s="272">
        <f>SUM(B63:M63)</f>
        <v>113337.81</v>
      </c>
    </row>
    <row r="64" spans="1:16" x14ac:dyDescent="0.25">
      <c r="A64" s="52" t="s">
        <v>261</v>
      </c>
      <c r="B64" s="269">
        <f>629.91+1894.48</f>
        <v>2524.39</v>
      </c>
      <c r="C64" s="269">
        <v>0</v>
      </c>
      <c r="D64" s="269">
        <f>1526.05+6453.29</f>
        <v>7979.34</v>
      </c>
      <c r="E64" s="269">
        <v>52.88</v>
      </c>
      <c r="F64" s="269">
        <v>146.36000000000001</v>
      </c>
      <c r="G64" s="269">
        <v>28.52</v>
      </c>
      <c r="H64" s="269">
        <v>0</v>
      </c>
      <c r="I64" s="269">
        <v>737.59</v>
      </c>
      <c r="J64" s="269">
        <v>6629.9</v>
      </c>
      <c r="K64" s="269">
        <v>799.12</v>
      </c>
      <c r="L64" s="269">
        <v>306.42</v>
      </c>
      <c r="M64" s="269">
        <v>1852.27</v>
      </c>
      <c r="N64" s="272">
        <f t="shared" ref="N64:N66" si="9">SUM(B64:M64)</f>
        <v>21056.789999999997</v>
      </c>
    </row>
    <row r="65" spans="1:14" x14ac:dyDescent="0.25">
      <c r="A65" s="52" t="s">
        <v>130</v>
      </c>
      <c r="B65" s="269">
        <v>21488.97</v>
      </c>
      <c r="C65" s="269">
        <v>7995.37</v>
      </c>
      <c r="D65" s="269">
        <v>39472.28</v>
      </c>
      <c r="E65" s="269">
        <v>12082.92</v>
      </c>
      <c r="F65" s="269">
        <f>22808.55-78-10.14-1-2.13-53.8-1800-90-30-108-561.6-18.9-2.7-11.2-1500-3000-6000-214.2-57-240-800-4.8</f>
        <v>8225.0799999999981</v>
      </c>
      <c r="G65" s="269">
        <v>29927.89</v>
      </c>
      <c r="H65" s="269">
        <v>24937.72</v>
      </c>
      <c r="I65" s="269">
        <v>48447.92</v>
      </c>
      <c r="J65" s="269">
        <v>29744.77</v>
      </c>
      <c r="K65" s="269">
        <v>20135.86</v>
      </c>
      <c r="L65" s="269">
        <v>23761.02</v>
      </c>
      <c r="M65" s="269">
        <v>44774.38</v>
      </c>
      <c r="N65" s="272">
        <f t="shared" si="9"/>
        <v>310994.18</v>
      </c>
    </row>
    <row r="66" spans="1:14" x14ac:dyDescent="0.25">
      <c r="A66" s="52" t="s">
        <v>126</v>
      </c>
      <c r="B66" s="269">
        <v>0</v>
      </c>
      <c r="C66" s="269">
        <v>0</v>
      </c>
      <c r="D66" s="269">
        <v>0</v>
      </c>
      <c r="E66" s="269">
        <v>11354.41</v>
      </c>
      <c r="F66" s="269">
        <v>9968.9599999999991</v>
      </c>
      <c r="G66" s="269">
        <v>39633.15</v>
      </c>
      <c r="H66" s="269">
        <v>0</v>
      </c>
      <c r="I66" s="269">
        <v>0</v>
      </c>
      <c r="J66" s="269">
        <v>0</v>
      </c>
      <c r="K66" s="269">
        <v>12105</v>
      </c>
      <c r="L66" s="269">
        <v>11253.65</v>
      </c>
      <c r="M66" s="269">
        <v>24951.52</v>
      </c>
      <c r="N66" s="272">
        <f t="shared" si="9"/>
        <v>109266.69</v>
      </c>
    </row>
    <row r="67" spans="1:14" x14ac:dyDescent="0.25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17"/>
    </row>
    <row r="68" spans="1:14" x14ac:dyDescent="0.25">
      <c r="A68" s="268" t="s">
        <v>213</v>
      </c>
      <c r="B68" s="267" t="s">
        <v>0</v>
      </c>
      <c r="C68" s="267" t="s">
        <v>1</v>
      </c>
      <c r="D68" s="267" t="s">
        <v>2</v>
      </c>
      <c r="E68" s="267" t="s">
        <v>3</v>
      </c>
      <c r="F68" s="267" t="s">
        <v>4</v>
      </c>
      <c r="G68" s="267" t="s">
        <v>5</v>
      </c>
      <c r="H68" s="267" t="s">
        <v>6</v>
      </c>
      <c r="I68" s="267" t="s">
        <v>7</v>
      </c>
      <c r="J68" s="267" t="s">
        <v>8</v>
      </c>
      <c r="K68" s="267" t="s">
        <v>9</v>
      </c>
      <c r="L68" s="267" t="s">
        <v>10</v>
      </c>
      <c r="M68" s="267" t="s">
        <v>11</v>
      </c>
      <c r="N68" s="267" t="s">
        <v>18</v>
      </c>
    </row>
    <row r="69" spans="1:14" x14ac:dyDescent="0.25">
      <c r="A69" s="52" t="s">
        <v>263</v>
      </c>
      <c r="B69" s="269">
        <f>170+170+402</f>
        <v>742</v>
      </c>
      <c r="C69" s="269">
        <f>170+170</f>
        <v>340</v>
      </c>
      <c r="D69" s="269">
        <f>402+402+170+170+30+402</f>
        <v>1576</v>
      </c>
      <c r="E69" s="269">
        <f>402+60</f>
        <v>462</v>
      </c>
      <c r="F69" s="269">
        <f>215+120+120+402</f>
        <v>857</v>
      </c>
      <c r="G69" s="269">
        <f>215+402</f>
        <v>617</v>
      </c>
      <c r="H69" s="269">
        <f>215+402</f>
        <v>617</v>
      </c>
      <c r="I69" s="269">
        <f>215+215+215+804</f>
        <v>1449</v>
      </c>
      <c r="J69" s="269">
        <f>215+804+215</f>
        <v>1234</v>
      </c>
      <c r="K69" s="269">
        <f>215+804+215</f>
        <v>1234</v>
      </c>
      <c r="L69" s="269">
        <f>290+804+290</f>
        <v>1384</v>
      </c>
      <c r="M69" s="269">
        <f>804+290+162+290</f>
        <v>1546</v>
      </c>
      <c r="N69" s="272">
        <f>SUM(B69:M69)</f>
        <v>12058</v>
      </c>
    </row>
    <row r="70" spans="1:14" x14ac:dyDescent="0.25">
      <c r="A70" s="52" t="s">
        <v>262</v>
      </c>
      <c r="B70" s="269">
        <v>0</v>
      </c>
      <c r="C70" s="269">
        <v>0</v>
      </c>
      <c r="D70" s="269">
        <v>0</v>
      </c>
      <c r="E70" s="269">
        <v>0</v>
      </c>
      <c r="F70" s="269">
        <v>0</v>
      </c>
      <c r="G70" s="269">
        <v>0</v>
      </c>
      <c r="H70" s="269">
        <v>0</v>
      </c>
      <c r="I70" s="269">
        <v>0</v>
      </c>
      <c r="J70" s="269">
        <v>0</v>
      </c>
      <c r="K70" s="269">
        <v>0</v>
      </c>
      <c r="L70" s="269">
        <v>0</v>
      </c>
      <c r="M70" s="269">
        <v>0</v>
      </c>
      <c r="N70" s="272">
        <f t="shared" ref="N70:N72" si="10">SUM(B70:M70)</f>
        <v>0</v>
      </c>
    </row>
    <row r="71" spans="1:14" x14ac:dyDescent="0.25">
      <c r="A71" s="52" t="s">
        <v>130</v>
      </c>
      <c r="B71" s="269">
        <v>24047.85</v>
      </c>
      <c r="C71" s="269">
        <v>2287.75</v>
      </c>
      <c r="D71" s="269">
        <v>3412.99</v>
      </c>
      <c r="E71" s="269">
        <v>3178.53</v>
      </c>
      <c r="F71" s="269">
        <f>4372.87-101-127-121-30-70-36-52-301-552-22-18-16-146-30-153-699-121-699</f>
        <v>1078.8699999999999</v>
      </c>
      <c r="G71" s="269">
        <v>3667.52</v>
      </c>
      <c r="H71" s="269">
        <v>6044.83</v>
      </c>
      <c r="I71" s="269">
        <v>4528.0200000000004</v>
      </c>
      <c r="J71" s="269">
        <v>4598.45</v>
      </c>
      <c r="K71" s="269">
        <v>5614.12</v>
      </c>
      <c r="L71" s="269">
        <v>7094.36</v>
      </c>
      <c r="M71" s="269">
        <v>28884.99</v>
      </c>
      <c r="N71" s="272">
        <f t="shared" si="10"/>
        <v>94438.28</v>
      </c>
    </row>
    <row r="72" spans="1:14" x14ac:dyDescent="0.25">
      <c r="A72" s="52" t="s">
        <v>126</v>
      </c>
      <c r="B72" s="269">
        <v>0</v>
      </c>
      <c r="C72" s="269">
        <v>0</v>
      </c>
      <c r="D72" s="269">
        <v>0</v>
      </c>
      <c r="E72" s="269">
        <v>97804.38</v>
      </c>
      <c r="F72" s="269">
        <v>117352.21</v>
      </c>
      <c r="G72" s="269">
        <v>134170.76</v>
      </c>
      <c r="H72" s="269">
        <v>0</v>
      </c>
      <c r="I72" s="269">
        <v>0</v>
      </c>
      <c r="J72" s="269">
        <v>0</v>
      </c>
      <c r="K72" s="269">
        <v>31261.46</v>
      </c>
      <c r="L72" s="269">
        <v>54450.1</v>
      </c>
      <c r="M72" s="269">
        <v>102791.11</v>
      </c>
      <c r="N72" s="272">
        <f t="shared" si="10"/>
        <v>537830.02</v>
      </c>
    </row>
    <row r="73" spans="1:14" x14ac:dyDescent="0.25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17"/>
    </row>
    <row r="74" spans="1:14" x14ac:dyDescent="0.25">
      <c r="A74" s="268" t="s">
        <v>210</v>
      </c>
      <c r="B74" s="267" t="s">
        <v>0</v>
      </c>
      <c r="C74" s="267" t="s">
        <v>1</v>
      </c>
      <c r="D74" s="267" t="s">
        <v>2</v>
      </c>
      <c r="E74" s="267" t="s">
        <v>3</v>
      </c>
      <c r="F74" s="267" t="s">
        <v>4</v>
      </c>
      <c r="G74" s="267" t="s">
        <v>5</v>
      </c>
      <c r="H74" s="267" t="s">
        <v>6</v>
      </c>
      <c r="I74" s="267" t="s">
        <v>7</v>
      </c>
      <c r="J74" s="267" t="s">
        <v>8</v>
      </c>
      <c r="K74" s="267" t="s">
        <v>9</v>
      </c>
      <c r="L74" s="267" t="s">
        <v>10</v>
      </c>
      <c r="M74" s="267" t="s">
        <v>11</v>
      </c>
      <c r="N74" s="267" t="s">
        <v>18</v>
      </c>
    </row>
    <row r="75" spans="1:14" x14ac:dyDescent="0.25">
      <c r="A75" s="52" t="s">
        <v>131</v>
      </c>
      <c r="B75" s="269">
        <v>4400</v>
      </c>
      <c r="C75" s="269">
        <f>100+550+1315+100+100+4000</f>
        <v>6165</v>
      </c>
      <c r="D75" s="269">
        <f>100+2500+2500+100+2000+100+100+100+4000</f>
        <v>11500</v>
      </c>
      <c r="E75" s="269">
        <f>200+100+100+4000</f>
        <v>4400</v>
      </c>
      <c r="F75" s="269">
        <f>200+4000</f>
        <v>4200</v>
      </c>
      <c r="G75" s="269">
        <v>4200</v>
      </c>
      <c r="H75" s="269">
        <f>100+100+100+100+4000+100</f>
        <v>4500</v>
      </c>
      <c r="I75" s="269">
        <f>200+100+100+4500</f>
        <v>4900</v>
      </c>
      <c r="J75" s="269">
        <f>4800</f>
        <v>4800</v>
      </c>
      <c r="K75" s="269">
        <f>100+100+100+4500</f>
        <v>4800</v>
      </c>
      <c r="L75" s="269">
        <v>5300</v>
      </c>
      <c r="M75" s="269">
        <f>6500+100+5000</f>
        <v>11600</v>
      </c>
      <c r="N75" s="272">
        <f>SUM(B75:M75)</f>
        <v>70765</v>
      </c>
    </row>
    <row r="76" spans="1:14" x14ac:dyDescent="0.25">
      <c r="A76" s="52" t="s">
        <v>130</v>
      </c>
      <c r="B76" s="269">
        <v>1076.57</v>
      </c>
      <c r="C76" s="269">
        <v>7123.29</v>
      </c>
      <c r="D76" s="269">
        <v>13953.82</v>
      </c>
      <c r="E76" s="269">
        <v>5236.17</v>
      </c>
      <c r="F76" s="269">
        <f>2043.22-422.1-0.73</f>
        <v>1620.3899999999999</v>
      </c>
      <c r="G76" s="269">
        <v>903.73</v>
      </c>
      <c r="H76" s="269">
        <v>3755.93</v>
      </c>
      <c r="I76" s="269">
        <v>2755.6</v>
      </c>
      <c r="J76" s="269">
        <v>2334.87</v>
      </c>
      <c r="K76" s="269">
        <v>1301.78</v>
      </c>
      <c r="L76" s="269">
        <v>2629.71</v>
      </c>
      <c r="M76" s="269">
        <v>2956.42</v>
      </c>
      <c r="N76" s="272">
        <f>SUM(B76:M76)</f>
        <v>45648.279999999992</v>
      </c>
    </row>
    <row r="77" spans="1:14" x14ac:dyDescent="0.25">
      <c r="A77" s="52" t="s">
        <v>126</v>
      </c>
      <c r="B77" s="269">
        <v>0</v>
      </c>
      <c r="C77" s="269">
        <v>0</v>
      </c>
      <c r="D77" s="269">
        <v>0</v>
      </c>
      <c r="E77" s="269">
        <v>2000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72">
        <f>SUM(B77:M77)</f>
        <v>2000</v>
      </c>
    </row>
    <row r="78" spans="1:14" x14ac:dyDescent="0.25">
      <c r="A78" s="52" t="s">
        <v>216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272">
        <f>SUM(B78:M78)</f>
        <v>0</v>
      </c>
    </row>
    <row r="79" spans="1:14" x14ac:dyDescent="0.25">
      <c r="A79" s="52" t="s">
        <v>217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272">
        <f>SUM(B79:M79)</f>
        <v>0</v>
      </c>
    </row>
    <row r="82" spans="1:14" x14ac:dyDescent="0.25">
      <c r="A82" s="76" t="s">
        <v>151</v>
      </c>
      <c r="B82" s="265" t="s">
        <v>0</v>
      </c>
      <c r="C82" s="20" t="s">
        <v>1</v>
      </c>
      <c r="D82" s="20" t="s">
        <v>2</v>
      </c>
      <c r="E82" s="20" t="s">
        <v>3</v>
      </c>
      <c r="F82" s="20" t="s">
        <v>4</v>
      </c>
      <c r="G82" s="20" t="s">
        <v>5</v>
      </c>
      <c r="H82" s="20" t="s">
        <v>6</v>
      </c>
      <c r="I82" s="20" t="s">
        <v>7</v>
      </c>
      <c r="J82" s="20" t="s">
        <v>8</v>
      </c>
      <c r="K82" s="20" t="s">
        <v>9</v>
      </c>
      <c r="L82" s="20" t="s">
        <v>10</v>
      </c>
      <c r="M82" s="20" t="s">
        <v>11</v>
      </c>
      <c r="N82" s="20" t="s">
        <v>18</v>
      </c>
    </row>
    <row r="83" spans="1:14" x14ac:dyDescent="0.25">
      <c r="A83" s="76" t="s">
        <v>214</v>
      </c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>
        <f>SUM(B83:M83)</f>
        <v>0</v>
      </c>
    </row>
    <row r="84" spans="1:14" x14ac:dyDescent="0.25">
      <c r="A84" s="76" t="s">
        <v>215</v>
      </c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>
        <f>SUM(B84:M84)</f>
        <v>0</v>
      </c>
    </row>
    <row r="85" spans="1:14" x14ac:dyDescent="0.25">
      <c r="A85" s="52" t="s">
        <v>163</v>
      </c>
      <c r="B85" s="92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>
        <f>SUM(B85:M85)</f>
        <v>0</v>
      </c>
    </row>
    <row r="86" spans="1:14" x14ac:dyDescent="0.25">
      <c r="A86" s="52" t="s">
        <v>164</v>
      </c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51">
        <f>SUM(B86:M86)</f>
        <v>0</v>
      </c>
    </row>
    <row r="87" spans="1:14" x14ac:dyDescent="0.25">
      <c r="A87" s="52" t="s">
        <v>211</v>
      </c>
      <c r="B87" s="92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>
        <f>SUM(B87:M87)</f>
        <v>0</v>
      </c>
    </row>
    <row r="88" spans="1:14" x14ac:dyDescent="0.25">
      <c r="B88" s="280" t="s">
        <v>227</v>
      </c>
      <c r="C88" s="280"/>
      <c r="D88" s="280"/>
      <c r="E88" s="280"/>
      <c r="F88" s="280"/>
      <c r="G88" s="280"/>
      <c r="H88" s="280"/>
      <c r="I88" s="280"/>
      <c r="J88" s="280"/>
      <c r="K88" s="280"/>
      <c r="L88" s="280"/>
      <c r="M88" s="280"/>
      <c r="N88" s="22">
        <f>N85+N86+N87</f>
        <v>0</v>
      </c>
    </row>
    <row r="89" spans="1:14" x14ac:dyDescent="0.2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17"/>
    </row>
    <row r="90" spans="1:14" x14ac:dyDescent="0.25">
      <c r="A90" s="314" t="s">
        <v>290</v>
      </c>
      <c r="B90" s="315">
        <v>1147926.94</v>
      </c>
      <c r="C90" s="77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17"/>
    </row>
    <row r="91" spans="1:14" x14ac:dyDescent="0.25">
      <c r="A91" s="314" t="s">
        <v>298</v>
      </c>
      <c r="B91" s="315">
        <v>171900</v>
      </c>
      <c r="C91" s="77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17"/>
    </row>
    <row r="92" spans="1:14" x14ac:dyDescent="0.25">
      <c r="A92" s="316"/>
      <c r="B92" s="317"/>
      <c r="C92" s="77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17"/>
    </row>
    <row r="93" spans="1:14" x14ac:dyDescent="0.25">
      <c r="A93" s="329" t="s">
        <v>295</v>
      </c>
      <c r="B93" s="320"/>
      <c r="C93" s="77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17"/>
    </row>
    <row r="94" spans="1:14" x14ac:dyDescent="0.25">
      <c r="A94" s="321" t="s">
        <v>119</v>
      </c>
      <c r="B94" s="315">
        <v>310010.53000000003</v>
      </c>
      <c r="C94" s="318" t="s">
        <v>297</v>
      </c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17"/>
    </row>
    <row r="95" spans="1:14" x14ac:dyDescent="0.25">
      <c r="A95" s="330"/>
      <c r="B95" s="320"/>
      <c r="C95" s="77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17"/>
    </row>
    <row r="96" spans="1:14" x14ac:dyDescent="0.25">
      <c r="A96" s="329" t="s">
        <v>296</v>
      </c>
      <c r="B96" s="320"/>
      <c r="C96" s="77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17"/>
    </row>
    <row r="97" spans="1:14" x14ac:dyDescent="0.25">
      <c r="A97" s="319"/>
      <c r="B97" s="320"/>
      <c r="C97" s="77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17"/>
    </row>
    <row r="98" spans="1:14" x14ac:dyDescent="0.25">
      <c r="A98" s="321" t="s">
        <v>73</v>
      </c>
      <c r="B98" s="317"/>
      <c r="C98" s="77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17"/>
    </row>
    <row r="99" spans="1:14" x14ac:dyDescent="0.25">
      <c r="A99" s="322">
        <v>44896</v>
      </c>
      <c r="B99" s="315">
        <v>271146.11</v>
      </c>
      <c r="C99" s="318" t="s">
        <v>299</v>
      </c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17"/>
    </row>
    <row r="100" spans="1:14" x14ac:dyDescent="0.25">
      <c r="A100" s="316"/>
      <c r="B100" s="317"/>
      <c r="C100" s="77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17"/>
    </row>
    <row r="101" spans="1:14" x14ac:dyDescent="0.25">
      <c r="A101" s="314" t="s">
        <v>80</v>
      </c>
      <c r="B101" s="315">
        <v>348801.26</v>
      </c>
      <c r="C101" s="318" t="s">
        <v>297</v>
      </c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17"/>
    </row>
    <row r="102" spans="1:14" x14ac:dyDescent="0.25">
      <c r="A102" s="316"/>
      <c r="B102" s="317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17"/>
    </row>
    <row r="103" spans="1:14" x14ac:dyDescent="0.25"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17"/>
    </row>
    <row r="104" spans="1:14" x14ac:dyDescent="0.25">
      <c r="A104" s="260" t="s">
        <v>300</v>
      </c>
      <c r="B104" s="178"/>
      <c r="C104" s="178"/>
      <c r="D104" s="178"/>
      <c r="E104" s="78"/>
      <c r="F104" s="78"/>
      <c r="G104" s="78"/>
      <c r="H104" s="78"/>
      <c r="I104" s="78"/>
      <c r="J104" s="78"/>
      <c r="K104" s="78"/>
      <c r="L104" s="78"/>
      <c r="M104" s="78"/>
      <c r="N104" s="17"/>
    </row>
    <row r="105" spans="1:14" x14ac:dyDescent="0.25">
      <c r="A105" s="261" t="s">
        <v>258</v>
      </c>
      <c r="B105" s="262"/>
      <c r="C105" s="262"/>
      <c r="D105" s="262"/>
      <c r="E105" s="123"/>
      <c r="F105" s="123"/>
      <c r="G105" s="123"/>
      <c r="H105" s="123"/>
      <c r="I105" s="123"/>
      <c r="J105" s="123"/>
      <c r="K105" s="123"/>
      <c r="L105" s="123"/>
      <c r="M105" s="123"/>
      <c r="N105" s="22"/>
    </row>
    <row r="106" spans="1:14" x14ac:dyDescent="0.25">
      <c r="A106" s="10"/>
      <c r="B106" s="263" t="s">
        <v>301</v>
      </c>
      <c r="C106" s="323" t="s">
        <v>305</v>
      </c>
      <c r="D106" s="325" t="s">
        <v>306</v>
      </c>
      <c r="E106" s="123"/>
      <c r="F106" s="123"/>
      <c r="G106" s="123"/>
      <c r="H106" s="123"/>
      <c r="I106" s="123"/>
      <c r="J106" s="123"/>
      <c r="K106" s="123"/>
      <c r="L106" s="123"/>
      <c r="M106" s="123"/>
      <c r="N106" s="22"/>
    </row>
    <row r="107" spans="1:14" x14ac:dyDescent="0.25">
      <c r="A107" s="324" t="s">
        <v>264</v>
      </c>
      <c r="B107" s="264"/>
      <c r="C107" s="264"/>
      <c r="D107" s="327"/>
    </row>
    <row r="108" spans="1:14" x14ac:dyDescent="0.25">
      <c r="A108" s="328" t="s">
        <v>302</v>
      </c>
      <c r="B108" s="326"/>
      <c r="C108" s="326"/>
      <c r="D108" s="327"/>
    </row>
    <row r="109" spans="1:14" x14ac:dyDescent="0.25">
      <c r="A109" s="328" t="s">
        <v>303</v>
      </c>
      <c r="B109" s="326"/>
      <c r="C109" s="326"/>
      <c r="D109" s="327"/>
    </row>
    <row r="110" spans="1:14" x14ac:dyDescent="0.25">
      <c r="A110" s="328" t="s">
        <v>304</v>
      </c>
      <c r="B110" s="326"/>
      <c r="C110" s="326"/>
      <c r="D110" s="327"/>
    </row>
    <row r="111" spans="1:14" x14ac:dyDescent="0.25">
      <c r="B111" s="57"/>
      <c r="C111" s="57"/>
    </row>
    <row r="112" spans="1:14" x14ac:dyDescent="0.25">
      <c r="B112" s="57"/>
      <c r="C112" s="57"/>
    </row>
    <row r="113" spans="2:3" x14ac:dyDescent="0.25">
      <c r="B113" s="57"/>
      <c r="C113" s="57"/>
    </row>
  </sheetData>
  <mergeCells count="3">
    <mergeCell ref="A11:C11"/>
    <mergeCell ref="A7:C7"/>
    <mergeCell ref="B88:M8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M298"/>
  <sheetViews>
    <sheetView topLeftCell="A224" zoomScale="80" zoomScaleNormal="80" workbookViewId="0">
      <selection activeCell="D209" sqref="D209"/>
    </sheetView>
  </sheetViews>
  <sheetFormatPr baseColWidth="10" defaultRowHeight="15" x14ac:dyDescent="0.25"/>
  <cols>
    <col min="1" max="1" width="11.42578125" style="19"/>
    <col min="2" max="2" width="37.85546875" style="10" bestFit="1" customWidth="1"/>
    <col min="3" max="4" width="14.5703125" style="10" bestFit="1" customWidth="1"/>
    <col min="5" max="5" width="13.28515625" customWidth="1"/>
    <col min="6" max="6" width="13.5703125" bestFit="1" customWidth="1"/>
    <col min="7" max="7" width="4.7109375" customWidth="1"/>
    <col min="8" max="8" width="30.7109375" customWidth="1"/>
    <col min="9" max="9" width="13.7109375" bestFit="1" customWidth="1"/>
    <col min="10" max="10" width="13.5703125" bestFit="1" customWidth="1"/>
    <col min="11" max="11" width="37.85546875" bestFit="1" customWidth="1"/>
    <col min="12" max="12" width="13.5703125" bestFit="1" customWidth="1"/>
  </cols>
  <sheetData>
    <row r="2" spans="1:11" x14ac:dyDescent="0.25">
      <c r="A2" s="18" t="s">
        <v>40</v>
      </c>
      <c r="B2" s="225" t="s">
        <v>41</v>
      </c>
      <c r="C2" s="226" t="s">
        <v>42</v>
      </c>
      <c r="D2" s="226" t="s">
        <v>43</v>
      </c>
    </row>
    <row r="3" spans="1:11" x14ac:dyDescent="0.25">
      <c r="A3" s="33" t="s">
        <v>158</v>
      </c>
      <c r="B3" s="183" t="s">
        <v>76</v>
      </c>
      <c r="C3" s="202">
        <v>282692.31</v>
      </c>
      <c r="D3" s="203"/>
    </row>
    <row r="4" spans="1:11" x14ac:dyDescent="0.25">
      <c r="A4" s="224"/>
      <c r="B4" s="183" t="s">
        <v>220</v>
      </c>
      <c r="C4" s="204">
        <v>194635.73</v>
      </c>
      <c r="D4" s="205"/>
    </row>
    <row r="5" spans="1:11" x14ac:dyDescent="0.25">
      <c r="A5" s="224"/>
      <c r="B5" s="183" t="s">
        <v>171</v>
      </c>
      <c r="C5" s="204">
        <v>1183.74</v>
      </c>
      <c r="D5" s="205"/>
    </row>
    <row r="6" spans="1:11" x14ac:dyDescent="0.25">
      <c r="A6" s="224"/>
      <c r="B6" s="183" t="s">
        <v>224</v>
      </c>
      <c r="C6" s="204"/>
      <c r="D6" s="205">
        <v>639000</v>
      </c>
    </row>
    <row r="7" spans="1:11" x14ac:dyDescent="0.25">
      <c r="A7" s="224"/>
      <c r="B7" s="183" t="s">
        <v>240</v>
      </c>
      <c r="C7" s="204">
        <v>1755523.49</v>
      </c>
      <c r="D7" s="205"/>
    </row>
    <row r="8" spans="1:11" x14ac:dyDescent="0.25">
      <c r="A8" s="224"/>
      <c r="B8" s="183" t="s">
        <v>223</v>
      </c>
      <c r="C8" s="204"/>
      <c r="D8" s="205">
        <v>53938.95</v>
      </c>
    </row>
    <row r="9" spans="1:11" x14ac:dyDescent="0.25">
      <c r="A9" s="224"/>
      <c r="B9" s="183" t="s">
        <v>242</v>
      </c>
      <c r="C9" s="204"/>
      <c r="D9" s="205">
        <v>75666.64</v>
      </c>
    </row>
    <row r="10" spans="1:11" x14ac:dyDescent="0.25">
      <c r="A10" s="224"/>
      <c r="B10" s="183" t="s">
        <v>243</v>
      </c>
      <c r="C10" s="204"/>
      <c r="D10" s="205">
        <v>39425.870000000003</v>
      </c>
    </row>
    <row r="11" spans="1:11" x14ac:dyDescent="0.25">
      <c r="A11" s="31"/>
      <c r="B11" s="183" t="s">
        <v>92</v>
      </c>
      <c r="C11" s="204"/>
      <c r="D11" s="205">
        <v>46055.48</v>
      </c>
    </row>
    <row r="12" spans="1:11" x14ac:dyDescent="0.25">
      <c r="A12" s="31"/>
      <c r="B12" s="183" t="s">
        <v>162</v>
      </c>
      <c r="C12" s="204"/>
      <c r="D12" s="205">
        <v>8792.18</v>
      </c>
    </row>
    <row r="13" spans="1:11" x14ac:dyDescent="0.25">
      <c r="A13" s="32"/>
      <c r="B13" s="183" t="s">
        <v>132</v>
      </c>
      <c r="C13" s="204"/>
      <c r="D13" s="204">
        <v>683213.5</v>
      </c>
    </row>
    <row r="14" spans="1:11" x14ac:dyDescent="0.25">
      <c r="A14" s="30"/>
      <c r="B14" s="183" t="s">
        <v>83</v>
      </c>
      <c r="C14" s="204">
        <v>1704.26</v>
      </c>
      <c r="D14" s="206"/>
    </row>
    <row r="15" spans="1:11" x14ac:dyDescent="0.25">
      <c r="A15" s="30"/>
      <c r="B15" s="183" t="s">
        <v>44</v>
      </c>
      <c r="C15" s="204"/>
      <c r="D15" s="205"/>
    </row>
    <row r="16" spans="1:11" x14ac:dyDescent="0.25">
      <c r="A16" s="21"/>
      <c r="B16" s="183" t="s">
        <v>45</v>
      </c>
      <c r="C16" s="204">
        <v>145907.91</v>
      </c>
      <c r="D16" s="205"/>
      <c r="F16" s="9"/>
      <c r="K16" s="45" t="s">
        <v>240</v>
      </c>
    </row>
    <row r="17" spans="1:11" x14ac:dyDescent="0.25">
      <c r="A17" s="21"/>
      <c r="B17" s="183" t="s">
        <v>239</v>
      </c>
      <c r="C17" s="204">
        <v>1460289.31</v>
      </c>
      <c r="D17" s="205"/>
      <c r="F17" s="9"/>
      <c r="K17" s="46" t="s">
        <v>52</v>
      </c>
    </row>
    <row r="18" spans="1:11" x14ac:dyDescent="0.25">
      <c r="A18" s="21"/>
      <c r="B18" s="9" t="s">
        <v>78</v>
      </c>
      <c r="C18" s="204"/>
      <c r="D18" s="205">
        <v>3070231.36</v>
      </c>
      <c r="F18" s="9"/>
      <c r="K18" s="46" t="s">
        <v>221</v>
      </c>
    </row>
    <row r="19" spans="1:11" x14ac:dyDescent="0.25">
      <c r="A19" s="21"/>
      <c r="B19" s="207" t="s">
        <v>110</v>
      </c>
      <c r="C19" s="204"/>
      <c r="D19" s="205">
        <v>66280.92</v>
      </c>
      <c r="F19" s="9"/>
      <c r="K19" s="46" t="s">
        <v>272</v>
      </c>
    </row>
    <row r="20" spans="1:11" x14ac:dyDescent="0.25">
      <c r="A20" s="21"/>
      <c r="B20" s="207" t="s">
        <v>48</v>
      </c>
      <c r="C20" s="204">
        <v>3616642.57</v>
      </c>
      <c r="D20" s="205"/>
      <c r="F20" s="9"/>
      <c r="K20" s="46" t="s">
        <v>273</v>
      </c>
    </row>
    <row r="21" spans="1:11" x14ac:dyDescent="0.25">
      <c r="A21" s="21"/>
      <c r="B21" s="207" t="s">
        <v>49</v>
      </c>
      <c r="C21" s="204">
        <v>244493.59</v>
      </c>
      <c r="D21" s="205"/>
      <c r="F21" s="9"/>
      <c r="H21" s="4"/>
      <c r="K21" s="46" t="s">
        <v>144</v>
      </c>
    </row>
    <row r="22" spans="1:11" x14ac:dyDescent="0.25">
      <c r="A22" s="21"/>
      <c r="B22" s="207" t="s">
        <v>32</v>
      </c>
      <c r="C22" s="204">
        <v>15275025.09</v>
      </c>
      <c r="D22" s="205"/>
      <c r="F22" s="9"/>
      <c r="K22" s="46" t="s">
        <v>53</v>
      </c>
    </row>
    <row r="23" spans="1:11" x14ac:dyDescent="0.25">
      <c r="A23" s="21"/>
      <c r="B23" s="207" t="s">
        <v>50</v>
      </c>
      <c r="C23" s="204">
        <v>596801.29</v>
      </c>
      <c r="D23" s="205"/>
      <c r="F23" s="9"/>
      <c r="K23" s="46" t="s">
        <v>83</v>
      </c>
    </row>
    <row r="24" spans="1:11" x14ac:dyDescent="0.25">
      <c r="A24" s="21"/>
      <c r="B24" s="207" t="s">
        <v>51</v>
      </c>
      <c r="C24" s="204"/>
      <c r="D24" s="205">
        <v>7673166.29</v>
      </c>
      <c r="F24" s="9"/>
      <c r="K24" s="46" t="s">
        <v>220</v>
      </c>
    </row>
    <row r="25" spans="1:11" x14ac:dyDescent="0.25">
      <c r="A25" s="21"/>
      <c r="B25" s="207" t="s">
        <v>52</v>
      </c>
      <c r="C25" s="204"/>
      <c r="D25" s="205">
        <v>4154199.68</v>
      </c>
      <c r="F25" s="9"/>
      <c r="K25" s="46" t="s">
        <v>45</v>
      </c>
    </row>
    <row r="26" spans="1:11" x14ac:dyDescent="0.25">
      <c r="A26" s="21"/>
      <c r="B26" s="207" t="s">
        <v>77</v>
      </c>
      <c r="C26" s="204">
        <v>488896.53</v>
      </c>
      <c r="D26" s="205"/>
      <c r="F26" s="9"/>
      <c r="K26" s="46" t="s">
        <v>44</v>
      </c>
    </row>
    <row r="27" spans="1:11" x14ac:dyDescent="0.25">
      <c r="A27" s="21"/>
      <c r="B27" s="207" t="s">
        <v>53</v>
      </c>
      <c r="C27" s="204"/>
      <c r="D27" s="205">
        <v>15298.36</v>
      </c>
      <c r="F27" s="9"/>
      <c r="K27" s="46" t="s">
        <v>61</v>
      </c>
    </row>
    <row r="28" spans="1:11" x14ac:dyDescent="0.25">
      <c r="A28" s="21"/>
      <c r="B28" s="207" t="s">
        <v>54</v>
      </c>
      <c r="C28" s="204"/>
      <c r="D28" s="205">
        <v>11543.47</v>
      </c>
      <c r="F28" s="91"/>
      <c r="K28" s="46" t="s">
        <v>78</v>
      </c>
    </row>
    <row r="29" spans="1:11" x14ac:dyDescent="0.25">
      <c r="A29" s="21"/>
      <c r="B29" s="207" t="s">
        <v>55</v>
      </c>
      <c r="C29" s="204"/>
      <c r="D29" s="205">
        <v>69692.42</v>
      </c>
      <c r="F29" s="9"/>
      <c r="K29" s="46" t="s">
        <v>65</v>
      </c>
    </row>
    <row r="30" spans="1:11" x14ac:dyDescent="0.25">
      <c r="A30" s="21"/>
      <c r="B30" s="207" t="s">
        <v>56</v>
      </c>
      <c r="C30" s="204"/>
      <c r="D30" s="205">
        <v>740577.17</v>
      </c>
      <c r="F30" s="9"/>
      <c r="K30" s="46" t="s">
        <v>73</v>
      </c>
    </row>
    <row r="31" spans="1:11" x14ac:dyDescent="0.25">
      <c r="A31" s="30"/>
      <c r="B31" s="183" t="s">
        <v>57</v>
      </c>
      <c r="C31" s="204"/>
      <c r="D31" s="205">
        <v>444916.74</v>
      </c>
      <c r="F31" s="9"/>
      <c r="K31" s="46" t="s">
        <v>54</v>
      </c>
    </row>
    <row r="32" spans="1:11" x14ac:dyDescent="0.25">
      <c r="A32" s="30"/>
      <c r="B32" s="183" t="s">
        <v>58</v>
      </c>
      <c r="C32" s="204"/>
      <c r="D32" s="205">
        <v>95421.78</v>
      </c>
      <c r="F32" s="9"/>
      <c r="K32" s="46" t="s">
        <v>152</v>
      </c>
    </row>
    <row r="33" spans="1:11" x14ac:dyDescent="0.25">
      <c r="B33" s="183" t="s">
        <v>59</v>
      </c>
      <c r="C33" s="204"/>
      <c r="D33" s="205">
        <v>5882973.4100000001</v>
      </c>
      <c r="F33" s="9"/>
      <c r="K33" s="46" t="s">
        <v>58</v>
      </c>
    </row>
    <row r="34" spans="1:11" x14ac:dyDescent="0.25">
      <c r="B34" s="183" t="s">
        <v>60</v>
      </c>
      <c r="C34" s="204"/>
      <c r="D34" s="205">
        <v>96272.25</v>
      </c>
      <c r="F34" s="9"/>
      <c r="K34" s="46" t="s">
        <v>60</v>
      </c>
    </row>
    <row r="35" spans="1:11" x14ac:dyDescent="0.25">
      <c r="A35" s="39"/>
      <c r="B35" s="184" t="s">
        <v>61</v>
      </c>
      <c r="C35" s="208"/>
      <c r="D35" s="209">
        <v>197129.35</v>
      </c>
      <c r="F35" s="91"/>
      <c r="K35" s="46" t="s">
        <v>59</v>
      </c>
    </row>
    <row r="36" spans="1:11" x14ac:dyDescent="0.25">
      <c r="A36" s="215"/>
      <c r="B36" s="44"/>
      <c r="C36" s="85"/>
      <c r="D36" s="85"/>
      <c r="F36" s="9"/>
      <c r="K36" s="47" t="s">
        <v>57</v>
      </c>
    </row>
    <row r="37" spans="1:11" x14ac:dyDescent="0.25">
      <c r="A37" s="40" t="s">
        <v>266</v>
      </c>
      <c r="B37" s="9" t="s">
        <v>45</v>
      </c>
      <c r="C37" s="202">
        <f>D44+D45-C43-C42-C41-C40-C39-C38</f>
        <v>32897218.319999997</v>
      </c>
      <c r="D37" s="202"/>
      <c r="F37" s="9"/>
      <c r="K37" s="46" t="s">
        <v>92</v>
      </c>
    </row>
    <row r="38" spans="1:11" x14ac:dyDescent="0.25">
      <c r="A38" s="39"/>
      <c r="B38" s="183" t="s">
        <v>83</v>
      </c>
      <c r="C38" s="204">
        <v>10341.73</v>
      </c>
      <c r="D38" s="204"/>
      <c r="F38" s="9"/>
      <c r="K38" s="46" t="s">
        <v>94</v>
      </c>
    </row>
    <row r="39" spans="1:11" x14ac:dyDescent="0.25">
      <c r="A39" s="39"/>
      <c r="B39" s="183" t="s">
        <v>220</v>
      </c>
      <c r="C39" s="204">
        <v>4910256</v>
      </c>
      <c r="D39" s="204"/>
      <c r="F39" s="9"/>
      <c r="K39" s="46" t="s">
        <v>96</v>
      </c>
    </row>
    <row r="40" spans="1:11" x14ac:dyDescent="0.25">
      <c r="A40" s="30"/>
      <c r="B40" s="183" t="s">
        <v>47</v>
      </c>
      <c r="C40" s="204">
        <v>405353.75</v>
      </c>
      <c r="D40" s="204"/>
      <c r="F40" s="9"/>
      <c r="K40" s="46" t="s">
        <v>93</v>
      </c>
    </row>
    <row r="41" spans="1:11" x14ac:dyDescent="0.25">
      <c r="A41" s="21"/>
      <c r="B41" s="207" t="s">
        <v>171</v>
      </c>
      <c r="C41" s="204">
        <v>165401.37999999998</v>
      </c>
      <c r="D41" s="204"/>
      <c r="F41" s="9"/>
      <c r="K41" s="46" t="s">
        <v>97</v>
      </c>
    </row>
    <row r="42" spans="1:11" x14ac:dyDescent="0.25">
      <c r="A42" s="21"/>
      <c r="B42" s="207" t="s">
        <v>62</v>
      </c>
      <c r="C42" s="204">
        <v>403218.23000000004</v>
      </c>
      <c r="D42" s="205"/>
      <c r="F42" s="9"/>
      <c r="K42" s="45" t="s">
        <v>95</v>
      </c>
    </row>
    <row r="43" spans="1:11" x14ac:dyDescent="0.25">
      <c r="A43" s="21"/>
      <c r="B43" s="207" t="s">
        <v>82</v>
      </c>
      <c r="C43" s="204">
        <v>1430925.2500000002</v>
      </c>
      <c r="D43" s="205"/>
      <c r="F43" s="9"/>
      <c r="K43" s="46" t="s">
        <v>49</v>
      </c>
    </row>
    <row r="44" spans="1:11" x14ac:dyDescent="0.25">
      <c r="A44" s="21"/>
      <c r="B44" s="207" t="s">
        <v>63</v>
      </c>
      <c r="C44" s="204"/>
      <c r="D44" s="205">
        <v>32894430.049999997</v>
      </c>
      <c r="F44" s="9"/>
      <c r="K44" s="46" t="s">
        <v>168</v>
      </c>
    </row>
    <row r="45" spans="1:11" x14ac:dyDescent="0.25">
      <c r="A45" s="28"/>
      <c r="B45" s="207" t="s">
        <v>64</v>
      </c>
      <c r="C45" s="208"/>
      <c r="D45" s="209">
        <v>7328284.6100000003</v>
      </c>
      <c r="F45" s="9"/>
      <c r="K45" s="46" t="s">
        <v>133</v>
      </c>
    </row>
    <row r="46" spans="1:11" x14ac:dyDescent="0.25">
      <c r="A46" s="41"/>
      <c r="B46" s="42"/>
      <c r="C46" s="82"/>
      <c r="D46" s="83"/>
      <c r="F46" s="9"/>
      <c r="K46" s="46" t="s">
        <v>165</v>
      </c>
    </row>
    <row r="47" spans="1:11" x14ac:dyDescent="0.25">
      <c r="A47" s="29"/>
      <c r="B47" s="207" t="s">
        <v>65</v>
      </c>
      <c r="C47" s="202">
        <f>8490981.59+100000</f>
        <v>8590981.5899999999</v>
      </c>
      <c r="D47" s="203"/>
      <c r="F47" s="9"/>
      <c r="K47" s="46" t="s">
        <v>270</v>
      </c>
    </row>
    <row r="48" spans="1:11" x14ac:dyDescent="0.25">
      <c r="A48" s="21"/>
      <c r="B48" s="207" t="s">
        <v>74</v>
      </c>
      <c r="C48" s="204">
        <v>2874067.9699999997</v>
      </c>
      <c r="D48" s="205"/>
      <c r="F48" s="9"/>
      <c r="K48" s="46" t="s">
        <v>269</v>
      </c>
    </row>
    <row r="49" spans="1:11" x14ac:dyDescent="0.25">
      <c r="A49" s="21"/>
      <c r="B49" s="207" t="s">
        <v>269</v>
      </c>
      <c r="C49" s="204">
        <f>4038111.85+90000</f>
        <v>4128111.85</v>
      </c>
      <c r="D49" s="205"/>
      <c r="F49" s="9"/>
      <c r="K49" s="46" t="s">
        <v>70</v>
      </c>
    </row>
    <row r="50" spans="1:11" x14ac:dyDescent="0.25">
      <c r="A50" s="21"/>
      <c r="B50" s="207" t="s">
        <v>66</v>
      </c>
      <c r="C50" s="204">
        <v>1842959</v>
      </c>
      <c r="D50" s="205"/>
      <c r="F50" s="9"/>
      <c r="K50" s="46" t="s">
        <v>74</v>
      </c>
    </row>
    <row r="51" spans="1:11" x14ac:dyDescent="0.25">
      <c r="A51" s="21"/>
      <c r="B51" s="207" t="s">
        <v>129</v>
      </c>
      <c r="C51" s="204">
        <v>95587.19</v>
      </c>
      <c r="D51" s="205"/>
      <c r="F51" s="9"/>
      <c r="K51" s="46" t="s">
        <v>68</v>
      </c>
    </row>
    <row r="52" spans="1:11" x14ac:dyDescent="0.25">
      <c r="A52" s="21"/>
      <c r="B52" s="207" t="s">
        <v>134</v>
      </c>
      <c r="C52" s="204">
        <v>1291575</v>
      </c>
      <c r="D52" s="205"/>
      <c r="F52" s="9"/>
      <c r="K52" s="46" t="s">
        <v>66</v>
      </c>
    </row>
    <row r="53" spans="1:11" x14ac:dyDescent="0.25">
      <c r="A53" s="21"/>
      <c r="B53" s="207" t="s">
        <v>165</v>
      </c>
      <c r="C53" s="204">
        <v>19200.25</v>
      </c>
      <c r="D53" s="205"/>
      <c r="F53" s="9"/>
      <c r="K53" s="46" t="s">
        <v>134</v>
      </c>
    </row>
    <row r="54" spans="1:11" x14ac:dyDescent="0.25">
      <c r="A54" s="21"/>
      <c r="B54" s="207" t="s">
        <v>222</v>
      </c>
      <c r="C54" s="204">
        <v>3917444.5564000001</v>
      </c>
      <c r="D54" s="205"/>
      <c r="F54" s="9"/>
      <c r="K54" s="46" t="s">
        <v>77</v>
      </c>
    </row>
    <row r="55" spans="1:11" x14ac:dyDescent="0.25">
      <c r="A55" s="21"/>
      <c r="B55" s="207" t="s">
        <v>167</v>
      </c>
      <c r="C55" s="204">
        <v>748597.07000000007</v>
      </c>
      <c r="D55" s="205"/>
      <c r="F55" s="9"/>
      <c r="K55" s="46" t="s">
        <v>110</v>
      </c>
    </row>
    <row r="56" spans="1:11" x14ac:dyDescent="0.25">
      <c r="A56" s="21"/>
      <c r="B56" s="207" t="s">
        <v>168</v>
      </c>
      <c r="C56" s="204">
        <v>28710</v>
      </c>
      <c r="D56" s="205"/>
      <c r="F56" s="9"/>
      <c r="K56" s="46" t="s">
        <v>69</v>
      </c>
    </row>
    <row r="57" spans="1:11" x14ac:dyDescent="0.25">
      <c r="A57" s="21"/>
      <c r="B57" s="207" t="s">
        <v>84</v>
      </c>
      <c r="C57" s="204">
        <v>39452.57</v>
      </c>
      <c r="D57" s="205"/>
      <c r="F57" s="9"/>
      <c r="K57" s="46" t="s">
        <v>225</v>
      </c>
    </row>
    <row r="58" spans="1:11" x14ac:dyDescent="0.25">
      <c r="A58" s="21"/>
      <c r="B58" s="207" t="s">
        <v>170</v>
      </c>
      <c r="C58" s="204">
        <v>138209.37</v>
      </c>
      <c r="D58" s="205"/>
      <c r="F58" s="9"/>
      <c r="K58" s="46" t="s">
        <v>242</v>
      </c>
    </row>
    <row r="59" spans="1:11" x14ac:dyDescent="0.25">
      <c r="A59" s="21"/>
      <c r="B59" s="207" t="s">
        <v>67</v>
      </c>
      <c r="C59" s="204">
        <v>95104.889999999985</v>
      </c>
      <c r="D59" s="205"/>
      <c r="F59" s="9"/>
      <c r="K59" s="46" t="s">
        <v>111</v>
      </c>
    </row>
    <row r="60" spans="1:11" x14ac:dyDescent="0.25">
      <c r="A60" s="21"/>
      <c r="B60" s="207" t="s">
        <v>68</v>
      </c>
      <c r="C60" s="204">
        <v>1376642.6199999999</v>
      </c>
      <c r="D60" s="205"/>
      <c r="F60" s="9"/>
      <c r="K60" s="46" t="s">
        <v>80</v>
      </c>
    </row>
    <row r="61" spans="1:11" x14ac:dyDescent="0.25">
      <c r="A61" s="21"/>
      <c r="B61" s="207" t="s">
        <v>270</v>
      </c>
      <c r="C61" s="204">
        <v>2559499.423</v>
      </c>
      <c r="D61" s="205"/>
      <c r="F61" s="9"/>
      <c r="K61" s="46" t="s">
        <v>50</v>
      </c>
    </row>
    <row r="62" spans="1:11" x14ac:dyDescent="0.25">
      <c r="A62" s="21"/>
      <c r="B62" s="207" t="s">
        <v>221</v>
      </c>
      <c r="C62" s="204">
        <v>1422828.33</v>
      </c>
      <c r="D62" s="205"/>
      <c r="F62" s="9"/>
      <c r="K62" s="45" t="s">
        <v>129</v>
      </c>
    </row>
    <row r="63" spans="1:11" x14ac:dyDescent="0.25">
      <c r="A63" s="21"/>
      <c r="B63" s="207" t="s">
        <v>225</v>
      </c>
      <c r="C63" s="204">
        <v>251627.2</v>
      </c>
      <c r="D63" s="205"/>
      <c r="F63" s="9"/>
      <c r="K63" s="46" t="s">
        <v>46</v>
      </c>
    </row>
    <row r="64" spans="1:11" x14ac:dyDescent="0.25">
      <c r="A64" s="21"/>
      <c r="B64" s="207" t="s">
        <v>71</v>
      </c>
      <c r="C64" s="204">
        <v>6670564.879999999</v>
      </c>
      <c r="D64" s="205"/>
      <c r="F64" s="9"/>
      <c r="K64" s="46" t="s">
        <v>81</v>
      </c>
    </row>
    <row r="65" spans="1:11" x14ac:dyDescent="0.25">
      <c r="A65" s="21"/>
      <c r="B65" s="207" t="s">
        <v>242</v>
      </c>
      <c r="C65" s="204"/>
      <c r="D65" s="205">
        <v>251627.2</v>
      </c>
      <c r="F65" s="9"/>
      <c r="K65" s="46" t="s">
        <v>71</v>
      </c>
    </row>
    <row r="66" spans="1:11" x14ac:dyDescent="0.25">
      <c r="A66" s="21"/>
      <c r="B66" s="207" t="s">
        <v>78</v>
      </c>
      <c r="C66" s="204"/>
      <c r="D66" s="205">
        <v>4515953.03</v>
      </c>
      <c r="F66" s="9"/>
      <c r="K66" s="46" t="s">
        <v>64</v>
      </c>
    </row>
    <row r="67" spans="1:11" x14ac:dyDescent="0.25">
      <c r="A67" s="21"/>
      <c r="B67" s="207" t="s">
        <v>52</v>
      </c>
      <c r="C67" s="204"/>
      <c r="D67" s="205">
        <f>2606610.56-900000+190000</f>
        <v>1896610.56</v>
      </c>
      <c r="F67" s="9"/>
      <c r="K67" s="46" t="s">
        <v>67</v>
      </c>
    </row>
    <row r="68" spans="1:11" x14ac:dyDescent="0.25">
      <c r="A68" s="21"/>
      <c r="B68" s="207" t="s">
        <v>272</v>
      </c>
      <c r="C68" s="204"/>
      <c r="D68" s="205">
        <v>628557.80000000005</v>
      </c>
      <c r="F68" s="9"/>
      <c r="K68" s="46" t="s">
        <v>48</v>
      </c>
    </row>
    <row r="69" spans="1:11" x14ac:dyDescent="0.25">
      <c r="A69" s="21"/>
      <c r="B69" s="207" t="s">
        <v>45</v>
      </c>
      <c r="C69" s="204"/>
      <c r="D69" s="205">
        <f>SUM(C47:C64)-D65-D66-D67-D68-D70-D71</f>
        <v>25531383.619399998</v>
      </c>
      <c r="F69" s="9"/>
      <c r="K69" s="46" t="s">
        <v>76</v>
      </c>
    </row>
    <row r="70" spans="1:11" x14ac:dyDescent="0.25">
      <c r="A70" s="21"/>
      <c r="B70" s="207" t="s">
        <v>83</v>
      </c>
      <c r="C70" s="204"/>
      <c r="D70" s="205">
        <v>0</v>
      </c>
      <c r="F70" s="9"/>
      <c r="K70" s="46" t="s">
        <v>170</v>
      </c>
    </row>
    <row r="71" spans="1:11" x14ac:dyDescent="0.25">
      <c r="A71" s="28"/>
      <c r="B71" s="207" t="s">
        <v>220</v>
      </c>
      <c r="C71" s="208"/>
      <c r="D71" s="209">
        <f>3110815+156216.55</f>
        <v>3267031.55</v>
      </c>
      <c r="F71" s="9"/>
      <c r="K71" s="46" t="s">
        <v>169</v>
      </c>
    </row>
    <row r="72" spans="1:11" x14ac:dyDescent="0.25">
      <c r="A72" s="41"/>
      <c r="B72" s="42"/>
      <c r="C72" s="82"/>
      <c r="D72" s="83"/>
      <c r="F72" s="9"/>
      <c r="K72" s="46" t="s">
        <v>84</v>
      </c>
    </row>
    <row r="73" spans="1:11" x14ac:dyDescent="0.25">
      <c r="A73" s="29"/>
      <c r="B73" s="207" t="s">
        <v>81</v>
      </c>
      <c r="C73" s="202">
        <v>0</v>
      </c>
      <c r="D73" s="203"/>
      <c r="F73" s="9"/>
      <c r="K73" s="46" t="s">
        <v>223</v>
      </c>
    </row>
    <row r="74" spans="1:11" x14ac:dyDescent="0.25">
      <c r="A74" s="21"/>
      <c r="B74" s="207" t="s">
        <v>53</v>
      </c>
      <c r="C74" s="204">
        <v>15298.36</v>
      </c>
      <c r="D74" s="205"/>
      <c r="F74" s="9"/>
      <c r="K74" s="46" t="s">
        <v>224</v>
      </c>
    </row>
    <row r="75" spans="1:11" x14ac:dyDescent="0.25">
      <c r="A75" s="21"/>
      <c r="B75" s="207" t="s">
        <v>54</v>
      </c>
      <c r="C75" s="204">
        <v>11543.47</v>
      </c>
      <c r="D75" s="205"/>
      <c r="F75" s="9"/>
      <c r="K75" s="46" t="s">
        <v>271</v>
      </c>
    </row>
    <row r="76" spans="1:11" x14ac:dyDescent="0.25">
      <c r="A76" s="21"/>
      <c r="B76" s="207" t="s">
        <v>55</v>
      </c>
      <c r="C76" s="204">
        <v>69692.42</v>
      </c>
      <c r="D76" s="205"/>
      <c r="F76" s="9"/>
      <c r="K76" s="46" t="s">
        <v>75</v>
      </c>
    </row>
    <row r="77" spans="1:11" x14ac:dyDescent="0.25">
      <c r="A77" s="21"/>
      <c r="B77" s="207" t="s">
        <v>110</v>
      </c>
      <c r="C77" s="204">
        <v>0</v>
      </c>
      <c r="D77" s="205"/>
      <c r="F77" s="9"/>
      <c r="K77" s="46" t="s">
        <v>153</v>
      </c>
    </row>
    <row r="78" spans="1:11" x14ac:dyDescent="0.25">
      <c r="A78" s="21"/>
      <c r="B78" s="207" t="s">
        <v>45</v>
      </c>
      <c r="C78" s="208"/>
      <c r="D78" s="205">
        <f>C73+C74+C75+C76+C77</f>
        <v>96534.25</v>
      </c>
      <c r="F78" s="9"/>
      <c r="K78" s="46" t="s">
        <v>51</v>
      </c>
    </row>
    <row r="79" spans="1:11" x14ac:dyDescent="0.25">
      <c r="A79" s="215"/>
      <c r="B79" s="216"/>
      <c r="C79" s="84"/>
      <c r="D79" s="84"/>
      <c r="F79" s="93"/>
      <c r="K79" s="46" t="s">
        <v>243</v>
      </c>
    </row>
    <row r="80" spans="1:11" x14ac:dyDescent="0.25">
      <c r="A80" s="21"/>
      <c r="B80" s="9" t="s">
        <v>72</v>
      </c>
      <c r="C80" s="204">
        <v>2007207.25</v>
      </c>
      <c r="D80" s="205"/>
      <c r="F80" s="9"/>
      <c r="K80" s="46" t="s">
        <v>47</v>
      </c>
    </row>
    <row r="81" spans="1:11" x14ac:dyDescent="0.25">
      <c r="A81" s="21"/>
      <c r="B81" s="207" t="s">
        <v>171</v>
      </c>
      <c r="C81" s="204"/>
      <c r="D81" s="205">
        <v>166585.11999999997</v>
      </c>
      <c r="F81" s="9"/>
      <c r="K81" s="46" t="s">
        <v>62</v>
      </c>
    </row>
    <row r="82" spans="1:11" ht="14.25" customHeight="1" x14ac:dyDescent="0.25">
      <c r="A82" s="21"/>
      <c r="B82" s="207" t="s">
        <v>73</v>
      </c>
      <c r="C82" s="204">
        <f>6766.86+610108.83</f>
        <v>616875.68999999994</v>
      </c>
      <c r="D82" s="205"/>
      <c r="F82" s="9"/>
      <c r="K82" s="46" t="s">
        <v>171</v>
      </c>
    </row>
    <row r="83" spans="1:11" x14ac:dyDescent="0.25">
      <c r="A83" s="21"/>
      <c r="B83" s="207" t="s">
        <v>53</v>
      </c>
      <c r="C83" s="204"/>
      <c r="D83" s="205">
        <f>25825.01+350423.03</f>
        <v>376248.04000000004</v>
      </c>
      <c r="F83" s="9"/>
      <c r="K83" s="46" t="s">
        <v>82</v>
      </c>
    </row>
    <row r="84" spans="1:11" x14ac:dyDescent="0.25">
      <c r="A84" s="21"/>
      <c r="B84" s="207" t="s">
        <v>54</v>
      </c>
      <c r="C84" s="204"/>
      <c r="D84" s="205">
        <f>C82-D81</f>
        <v>450290.56999999995</v>
      </c>
      <c r="F84" s="9"/>
      <c r="K84" s="46" t="s">
        <v>32</v>
      </c>
    </row>
    <row r="85" spans="1:11" x14ac:dyDescent="0.25">
      <c r="A85" s="28"/>
      <c r="B85" s="207" t="s">
        <v>55</v>
      </c>
      <c r="C85" s="208"/>
      <c r="D85" s="209">
        <v>1630959.21</v>
      </c>
      <c r="F85" s="9"/>
      <c r="K85" s="46" t="s">
        <v>109</v>
      </c>
    </row>
    <row r="86" spans="1:11" x14ac:dyDescent="0.25">
      <c r="A86" s="41"/>
      <c r="B86" s="43"/>
      <c r="C86" s="85"/>
      <c r="D86" s="86"/>
      <c r="F86" s="9"/>
      <c r="K86" s="46" t="s">
        <v>167</v>
      </c>
    </row>
    <row r="87" spans="1:11" x14ac:dyDescent="0.25">
      <c r="B87" s="210" t="s">
        <v>53</v>
      </c>
      <c r="C87" s="202">
        <v>302235.92</v>
      </c>
      <c r="D87" s="203"/>
      <c r="F87" s="9"/>
      <c r="K87" s="46" t="s">
        <v>239</v>
      </c>
    </row>
    <row r="88" spans="1:11" x14ac:dyDescent="0.25">
      <c r="B88" s="210" t="s">
        <v>54</v>
      </c>
      <c r="C88" s="204">
        <v>361617.07000000012</v>
      </c>
      <c r="D88" s="205"/>
      <c r="F88" s="9"/>
      <c r="K88" s="46" t="s">
        <v>166</v>
      </c>
    </row>
    <row r="89" spans="1:11" x14ac:dyDescent="0.25">
      <c r="B89" s="210" t="s">
        <v>55</v>
      </c>
      <c r="C89" s="204">
        <v>1360728.86</v>
      </c>
      <c r="D89" s="205"/>
      <c r="E89" t="s">
        <v>192</v>
      </c>
      <c r="F89" s="9"/>
      <c r="K89" s="46" t="s">
        <v>222</v>
      </c>
    </row>
    <row r="90" spans="1:11" x14ac:dyDescent="0.25">
      <c r="B90" s="210" t="s">
        <v>45</v>
      </c>
      <c r="C90" s="208"/>
      <c r="D90" s="205">
        <f>C87+C88+C89</f>
        <v>2024581.85</v>
      </c>
      <c r="F90" s="9"/>
      <c r="K90" s="46" t="s">
        <v>132</v>
      </c>
    </row>
    <row r="91" spans="1:11" x14ac:dyDescent="0.25">
      <c r="A91" s="41"/>
      <c r="B91" s="42"/>
      <c r="C91" s="82"/>
      <c r="D91" s="83"/>
      <c r="F91" s="9"/>
      <c r="K91" s="46" t="s">
        <v>56</v>
      </c>
    </row>
    <row r="92" spans="1:11" x14ac:dyDescent="0.25">
      <c r="A92" s="29"/>
      <c r="B92" s="207" t="s">
        <v>80</v>
      </c>
      <c r="C92" s="202">
        <v>657877.79999999993</v>
      </c>
      <c r="D92" s="203"/>
      <c r="F92" s="9"/>
      <c r="K92" s="46" t="s">
        <v>72</v>
      </c>
    </row>
    <row r="93" spans="1:11" x14ac:dyDescent="0.25">
      <c r="A93" s="21"/>
      <c r="B93" s="207" t="s">
        <v>75</v>
      </c>
      <c r="C93" s="204"/>
      <c r="D93" s="204">
        <v>135877.04</v>
      </c>
      <c r="F93" s="9"/>
      <c r="K93" s="46" t="s">
        <v>55</v>
      </c>
    </row>
    <row r="94" spans="1:11" x14ac:dyDescent="0.25">
      <c r="A94" s="21"/>
      <c r="B94" s="207" t="s">
        <v>170</v>
      </c>
      <c r="C94" s="204"/>
      <c r="D94" s="204">
        <v>138209.37</v>
      </c>
      <c r="F94" s="9"/>
      <c r="K94" s="46" t="s">
        <v>63</v>
      </c>
    </row>
    <row r="95" spans="1:11" x14ac:dyDescent="0.25">
      <c r="A95" s="21"/>
      <c r="B95" s="207" t="s">
        <v>62</v>
      </c>
      <c r="C95" s="204"/>
      <c r="D95" s="204">
        <v>403218.23000000004</v>
      </c>
      <c r="F95" s="9"/>
      <c r="K95" s="10"/>
    </row>
    <row r="96" spans="1:11" x14ac:dyDescent="0.25">
      <c r="A96" s="21"/>
      <c r="B96" s="207" t="s">
        <v>77</v>
      </c>
      <c r="C96" s="204">
        <f>D93+D94+D95-C92</f>
        <v>19426.8400000002</v>
      </c>
      <c r="D96" s="205"/>
      <c r="F96" s="9"/>
      <c r="K96" s="10"/>
    </row>
    <row r="97" spans="1:11" x14ac:dyDescent="0.25">
      <c r="A97" s="215"/>
      <c r="B97" s="43"/>
      <c r="C97" s="94"/>
      <c r="D97" s="94"/>
      <c r="F97" s="9"/>
      <c r="K97" s="10"/>
    </row>
    <row r="98" spans="1:11" x14ac:dyDescent="0.25">
      <c r="B98" s="183" t="s">
        <v>242</v>
      </c>
      <c r="C98" s="203">
        <v>251627.2</v>
      </c>
      <c r="D98" s="202"/>
      <c r="F98" s="9"/>
      <c r="K98" s="10"/>
    </row>
    <row r="99" spans="1:11" x14ac:dyDescent="0.25">
      <c r="B99" s="183" t="s">
        <v>132</v>
      </c>
      <c r="C99" s="205">
        <v>15900</v>
      </c>
      <c r="D99" s="204"/>
      <c r="F99" s="9"/>
      <c r="K99" s="10"/>
    </row>
    <row r="100" spans="1:11" x14ac:dyDescent="0.25">
      <c r="B100" s="183" t="s">
        <v>77</v>
      </c>
      <c r="C100" s="209"/>
      <c r="D100" s="208">
        <f>C98+C99</f>
        <v>267527.2</v>
      </c>
      <c r="F100" s="9"/>
      <c r="K100" s="10"/>
    </row>
    <row r="101" spans="1:11" x14ac:dyDescent="0.25">
      <c r="A101" s="41"/>
      <c r="B101" s="211"/>
      <c r="C101" s="95"/>
      <c r="D101" s="96"/>
      <c r="F101" s="9"/>
      <c r="K101" s="10"/>
    </row>
    <row r="102" spans="1:11" x14ac:dyDescent="0.25">
      <c r="A102" s="29"/>
      <c r="B102" s="207" t="s">
        <v>64</v>
      </c>
      <c r="C102" s="202">
        <v>7328284.6100000003</v>
      </c>
      <c r="D102" s="202"/>
      <c r="F102" s="9"/>
      <c r="K102" s="10"/>
    </row>
    <row r="103" spans="1:11" x14ac:dyDescent="0.25">
      <c r="A103" s="21"/>
      <c r="B103" s="207" t="s">
        <v>84</v>
      </c>
      <c r="C103" s="204"/>
      <c r="D103" s="204">
        <v>39452.57</v>
      </c>
      <c r="F103" s="9"/>
      <c r="K103" s="10"/>
    </row>
    <row r="104" spans="1:11" x14ac:dyDescent="0.25">
      <c r="A104" s="21"/>
      <c r="B104" s="207" t="s">
        <v>81</v>
      </c>
      <c r="C104" s="204"/>
      <c r="D104" s="204">
        <v>77276.259999999995</v>
      </c>
      <c r="F104" s="9"/>
    </row>
    <row r="105" spans="1:11" x14ac:dyDescent="0.25">
      <c r="A105" s="21"/>
      <c r="B105" s="207" t="s">
        <v>46</v>
      </c>
      <c r="C105" s="204">
        <f>D103+D104+D106+D107-C102</f>
        <v>889934.3499999987</v>
      </c>
      <c r="D105" s="204"/>
      <c r="F105" s="9"/>
    </row>
    <row r="106" spans="1:11" x14ac:dyDescent="0.25">
      <c r="A106" s="21"/>
      <c r="B106" s="207" t="s">
        <v>71</v>
      </c>
      <c r="C106" s="204"/>
      <c r="D106" s="204">
        <v>6670564.879999999</v>
      </c>
      <c r="F106" s="9"/>
    </row>
    <row r="107" spans="1:11" x14ac:dyDescent="0.25">
      <c r="A107" s="21"/>
      <c r="B107" s="207" t="s">
        <v>82</v>
      </c>
      <c r="C107" s="204"/>
      <c r="D107" s="204">
        <v>1430925.2500000002</v>
      </c>
      <c r="F107" s="9"/>
    </row>
    <row r="108" spans="1:11" x14ac:dyDescent="0.25">
      <c r="A108" s="215"/>
      <c r="B108" s="218"/>
      <c r="C108" s="82"/>
      <c r="D108" s="82"/>
      <c r="F108" s="9"/>
    </row>
    <row r="109" spans="1:11" x14ac:dyDescent="0.25">
      <c r="B109" s="212" t="s">
        <v>81</v>
      </c>
      <c r="C109" s="204">
        <v>50808.97</v>
      </c>
      <c r="D109" s="204"/>
      <c r="F109" s="9"/>
    </row>
    <row r="110" spans="1:11" x14ac:dyDescent="0.25">
      <c r="B110" s="213" t="s">
        <v>129</v>
      </c>
      <c r="C110" s="204">
        <f>D111-C109</f>
        <v>4713.7999999999956</v>
      </c>
      <c r="D110" s="204"/>
      <c r="F110" s="9"/>
    </row>
    <row r="111" spans="1:11" x14ac:dyDescent="0.25">
      <c r="B111" s="214" t="s">
        <v>223</v>
      </c>
      <c r="C111" s="204"/>
      <c r="D111" s="204">
        <v>55522.77</v>
      </c>
      <c r="F111" s="9"/>
    </row>
    <row r="112" spans="1:11" x14ac:dyDescent="0.25">
      <c r="A112" s="215"/>
      <c r="B112" s="44"/>
      <c r="C112" s="217"/>
      <c r="D112" s="217"/>
    </row>
    <row r="113" spans="1:6" x14ac:dyDescent="0.25">
      <c r="B113" s="212" t="s">
        <v>223</v>
      </c>
      <c r="C113" s="204">
        <v>60205.03</v>
      </c>
      <c r="D113" s="204"/>
    </row>
    <row r="114" spans="1:6" x14ac:dyDescent="0.25">
      <c r="B114" s="212" t="s">
        <v>129</v>
      </c>
      <c r="C114" s="204">
        <v>9558.43</v>
      </c>
      <c r="D114" s="204"/>
    </row>
    <row r="115" spans="1:6" x14ac:dyDescent="0.25">
      <c r="B115" s="212" t="s">
        <v>45</v>
      </c>
      <c r="C115" s="204"/>
      <c r="D115" s="204">
        <f>C113+C114</f>
        <v>69763.459999999992</v>
      </c>
    </row>
    <row r="116" spans="1:6" x14ac:dyDescent="0.25">
      <c r="A116" s="215"/>
      <c r="B116" s="219"/>
      <c r="C116" s="217"/>
      <c r="D116" s="220"/>
    </row>
    <row r="117" spans="1:6" x14ac:dyDescent="0.25">
      <c r="B117" s="212" t="s">
        <v>48</v>
      </c>
      <c r="C117" s="204">
        <v>7058305.79</v>
      </c>
      <c r="D117" s="204"/>
      <c r="F117" s="9"/>
    </row>
    <row r="118" spans="1:6" x14ac:dyDescent="0.25">
      <c r="B118" s="210" t="s">
        <v>76</v>
      </c>
      <c r="C118" s="204">
        <v>590406.44999999995</v>
      </c>
      <c r="D118" s="204"/>
      <c r="F118" s="9"/>
    </row>
    <row r="119" spans="1:6" x14ac:dyDescent="0.25">
      <c r="B119" s="210" t="s">
        <v>49</v>
      </c>
      <c r="C119" s="204">
        <v>47302.5</v>
      </c>
      <c r="D119" s="204"/>
      <c r="F119" s="9"/>
    </row>
    <row r="120" spans="1:6" x14ac:dyDescent="0.25">
      <c r="B120" s="210" t="s">
        <v>273</v>
      </c>
      <c r="C120" s="204">
        <v>483195.95</v>
      </c>
      <c r="D120" s="204"/>
      <c r="F120" s="9"/>
    </row>
    <row r="121" spans="1:6" x14ac:dyDescent="0.25">
      <c r="B121" s="210" t="s">
        <v>45</v>
      </c>
      <c r="C121" s="204"/>
      <c r="D121" s="204">
        <f>C117+C118+C119+C120-D123-D122-D124</f>
        <v>382943.84999999986</v>
      </c>
      <c r="F121" s="9"/>
    </row>
    <row r="122" spans="1:6" x14ac:dyDescent="0.25">
      <c r="B122" s="210" t="s">
        <v>52</v>
      </c>
      <c r="C122" s="204"/>
      <c r="D122" s="204">
        <v>1998351.75</v>
      </c>
      <c r="F122" s="9"/>
    </row>
    <row r="123" spans="1:6" x14ac:dyDescent="0.25">
      <c r="B123" s="210" t="s">
        <v>271</v>
      </c>
      <c r="C123" s="204"/>
      <c r="D123" s="204">
        <f>1689817.58+1499261.94+1295639.62</f>
        <v>4484719.1400000006</v>
      </c>
      <c r="F123" s="9"/>
    </row>
    <row r="124" spans="1:6" x14ac:dyDescent="0.25">
      <c r="B124" s="210" t="s">
        <v>78</v>
      </c>
      <c r="C124" s="204"/>
      <c r="D124" s="204">
        <f>483195.95+830000</f>
        <v>1313195.95</v>
      </c>
      <c r="F124" s="9"/>
    </row>
    <row r="125" spans="1:6" x14ac:dyDescent="0.25">
      <c r="A125" s="215"/>
      <c r="B125" s="43"/>
      <c r="C125" s="217"/>
      <c r="D125" s="217"/>
      <c r="F125" s="9"/>
    </row>
    <row r="126" spans="1:6" x14ac:dyDescent="0.25">
      <c r="B126" s="214" t="s">
        <v>69</v>
      </c>
      <c r="C126" s="204">
        <v>361723.77</v>
      </c>
      <c r="D126" s="204"/>
      <c r="F126" s="9"/>
    </row>
    <row r="127" spans="1:6" x14ac:dyDescent="0.25">
      <c r="B127" s="214" t="s">
        <v>70</v>
      </c>
      <c r="C127" s="204">
        <v>122202.3</v>
      </c>
      <c r="D127" s="204"/>
      <c r="F127" s="9"/>
    </row>
    <row r="128" spans="1:6" x14ac:dyDescent="0.25">
      <c r="B128" s="214" t="s">
        <v>75</v>
      </c>
      <c r="C128" s="204">
        <v>135877.04</v>
      </c>
      <c r="D128" s="204"/>
      <c r="F128" s="9"/>
    </row>
    <row r="129" spans="1:6" x14ac:dyDescent="0.25">
      <c r="B129" s="214" t="s">
        <v>129</v>
      </c>
      <c r="C129" s="204">
        <v>6846.8</v>
      </c>
      <c r="D129" s="204"/>
      <c r="F129" s="9"/>
    </row>
    <row r="130" spans="1:6" x14ac:dyDescent="0.25">
      <c r="B130" s="214" t="s">
        <v>45</v>
      </c>
      <c r="C130" s="204"/>
      <c r="D130" s="204">
        <f>248610.68+280376.78</f>
        <v>528987.46</v>
      </c>
      <c r="F130" s="9"/>
    </row>
    <row r="131" spans="1:6" x14ac:dyDescent="0.25">
      <c r="B131" s="214" t="s">
        <v>83</v>
      </c>
      <c r="C131" s="204"/>
      <c r="D131" s="204">
        <v>30682.240000000002</v>
      </c>
      <c r="F131" s="9"/>
    </row>
    <row r="132" spans="1:6" x14ac:dyDescent="0.25">
      <c r="B132" s="214" t="s">
        <v>220</v>
      </c>
      <c r="C132" s="204"/>
      <c r="D132" s="204">
        <v>66980.210000000006</v>
      </c>
      <c r="F132" s="9"/>
    </row>
    <row r="133" spans="1:6" x14ac:dyDescent="0.25">
      <c r="A133" s="215"/>
      <c r="B133" s="221"/>
      <c r="C133" s="82"/>
      <c r="D133" s="82"/>
      <c r="F133" s="9"/>
    </row>
    <row r="134" spans="1:6" x14ac:dyDescent="0.25">
      <c r="B134" s="214" t="s">
        <v>78</v>
      </c>
      <c r="C134" s="204">
        <v>3070231.36</v>
      </c>
      <c r="D134" s="204"/>
      <c r="F134" s="9"/>
    </row>
    <row r="135" spans="1:6" x14ac:dyDescent="0.25">
      <c r="B135" s="214" t="s">
        <v>224</v>
      </c>
      <c r="C135" s="204">
        <v>419763</v>
      </c>
      <c r="D135" s="204"/>
      <c r="F135" s="9"/>
    </row>
    <row r="136" spans="1:6" x14ac:dyDescent="0.25">
      <c r="B136" s="214" t="s">
        <v>45</v>
      </c>
      <c r="C136" s="204"/>
      <c r="D136" s="204">
        <f>C134+C135</f>
        <v>3489994.36</v>
      </c>
      <c r="F136" s="9"/>
    </row>
    <row r="137" spans="1:6" x14ac:dyDescent="0.25">
      <c r="A137" s="215"/>
      <c r="B137" s="221"/>
      <c r="C137" s="82"/>
      <c r="D137" s="82"/>
      <c r="F137" s="9"/>
    </row>
    <row r="138" spans="1:6" x14ac:dyDescent="0.25">
      <c r="B138" s="214" t="s">
        <v>222</v>
      </c>
      <c r="C138" s="204">
        <v>0</v>
      </c>
      <c r="D138" s="204"/>
      <c r="F138" s="9"/>
    </row>
    <row r="139" spans="1:6" x14ac:dyDescent="0.25">
      <c r="B139" s="214" t="s">
        <v>166</v>
      </c>
      <c r="C139" s="204"/>
      <c r="D139" s="204">
        <v>0</v>
      </c>
      <c r="F139" s="9"/>
    </row>
    <row r="140" spans="1:6" x14ac:dyDescent="0.25">
      <c r="A140" s="215"/>
      <c r="B140" s="221"/>
      <c r="C140" s="222"/>
      <c r="D140" s="222"/>
      <c r="F140" s="9"/>
    </row>
    <row r="141" spans="1:6" x14ac:dyDescent="0.25">
      <c r="B141" s="214" t="s">
        <v>45</v>
      </c>
      <c r="C141" s="204">
        <v>1200000</v>
      </c>
      <c r="D141" s="204"/>
      <c r="F141" s="9"/>
    </row>
    <row r="142" spans="1:6" x14ac:dyDescent="0.25">
      <c r="B142" s="214" t="s">
        <v>132</v>
      </c>
      <c r="C142" s="204"/>
      <c r="D142" s="204">
        <v>600000</v>
      </c>
      <c r="F142" s="9"/>
    </row>
    <row r="143" spans="1:6" x14ac:dyDescent="0.25">
      <c r="B143" s="214" t="s">
        <v>56</v>
      </c>
      <c r="C143" s="204"/>
      <c r="D143" s="204">
        <v>600000</v>
      </c>
      <c r="F143" s="9"/>
    </row>
    <row r="144" spans="1:6" x14ac:dyDescent="0.25">
      <c r="A144" s="215"/>
      <c r="B144" s="44"/>
      <c r="C144" s="222"/>
      <c r="D144" s="222"/>
      <c r="F144" s="9"/>
    </row>
    <row r="145" spans="1:6" x14ac:dyDescent="0.25">
      <c r="B145" s="214" t="s">
        <v>239</v>
      </c>
      <c r="C145" s="204">
        <f>3917444.5564+188556.62</f>
        <v>4106001.1764000002</v>
      </c>
      <c r="D145" s="204"/>
      <c r="F145" s="9"/>
    </row>
    <row r="146" spans="1:6" x14ac:dyDescent="0.25">
      <c r="B146" s="214" t="s">
        <v>222</v>
      </c>
      <c r="C146" s="204"/>
      <c r="D146" s="204">
        <v>4106001.1764000002</v>
      </c>
      <c r="F146" s="9"/>
    </row>
    <row r="147" spans="1:6" x14ac:dyDescent="0.25">
      <c r="A147" s="215"/>
      <c r="B147" s="43"/>
      <c r="C147" s="222"/>
      <c r="D147" s="222"/>
      <c r="F147" s="9"/>
    </row>
    <row r="148" spans="1:6" x14ac:dyDescent="0.25">
      <c r="B148" s="214" t="s">
        <v>51</v>
      </c>
      <c r="C148" s="204">
        <v>0</v>
      </c>
      <c r="D148" s="204"/>
      <c r="F148" s="9"/>
    </row>
    <row r="149" spans="1:6" x14ac:dyDescent="0.25">
      <c r="B149" s="214" t="s">
        <v>243</v>
      </c>
      <c r="C149" s="204"/>
      <c r="D149" s="204">
        <v>0</v>
      </c>
      <c r="F149" s="9"/>
    </row>
    <row r="150" spans="1:6" x14ac:dyDescent="0.25">
      <c r="A150" s="215"/>
      <c r="B150" s="216"/>
      <c r="C150" s="223"/>
      <c r="D150" s="223"/>
      <c r="F150" s="9"/>
    </row>
    <row r="151" spans="1:6" ht="15" customHeight="1" x14ac:dyDescent="0.25">
      <c r="B151" s="210" t="s">
        <v>93</v>
      </c>
      <c r="C151" s="227">
        <v>701048.64410497923</v>
      </c>
      <c r="D151" s="204"/>
      <c r="F151" s="91"/>
    </row>
    <row r="152" spans="1:6" ht="15" customHeight="1" x14ac:dyDescent="0.25">
      <c r="B152" s="210" t="s">
        <v>94</v>
      </c>
      <c r="C152" s="227">
        <v>58600.950301020908</v>
      </c>
      <c r="D152" s="204"/>
      <c r="F152" s="91"/>
    </row>
    <row r="153" spans="1:6" ht="15" customHeight="1" x14ac:dyDescent="0.25">
      <c r="B153" s="210" t="s">
        <v>95</v>
      </c>
      <c r="C153" s="227">
        <v>4270185.5484454222</v>
      </c>
      <c r="D153" s="204"/>
      <c r="F153" s="91"/>
    </row>
    <row r="154" spans="1:6" ht="15" customHeight="1" x14ac:dyDescent="0.25">
      <c r="B154" s="210" t="s">
        <v>96</v>
      </c>
      <c r="C154" s="227">
        <v>64963.519165706661</v>
      </c>
      <c r="D154" s="204"/>
      <c r="F154" s="91"/>
    </row>
    <row r="155" spans="1:6" ht="15" customHeight="1" x14ac:dyDescent="0.25">
      <c r="B155" s="210" t="s">
        <v>97</v>
      </c>
      <c r="C155" s="227">
        <v>79191.729925218067</v>
      </c>
      <c r="D155" s="204"/>
      <c r="F155" s="91"/>
    </row>
    <row r="156" spans="1:6" ht="15" customHeight="1" x14ac:dyDescent="0.25">
      <c r="B156" s="210" t="s">
        <v>57</v>
      </c>
      <c r="C156" s="227"/>
      <c r="D156" s="204">
        <v>701048.64410497923</v>
      </c>
    </row>
    <row r="157" spans="1:6" ht="15" customHeight="1" x14ac:dyDescent="0.25">
      <c r="B157" s="210" t="s">
        <v>58</v>
      </c>
      <c r="C157" s="227"/>
      <c r="D157" s="204">
        <v>58600.950301020908</v>
      </c>
    </row>
    <row r="158" spans="1:6" ht="15" customHeight="1" x14ac:dyDescent="0.25">
      <c r="B158" s="210" t="s">
        <v>59</v>
      </c>
      <c r="C158" s="227"/>
      <c r="D158" s="204">
        <v>4270185.5484454222</v>
      </c>
    </row>
    <row r="159" spans="1:6" ht="15" customHeight="1" x14ac:dyDescent="0.25">
      <c r="B159" s="210" t="s">
        <v>60</v>
      </c>
      <c r="C159" s="227"/>
      <c r="D159" s="204">
        <v>64963.519165706661</v>
      </c>
    </row>
    <row r="160" spans="1:6" ht="15" customHeight="1" x14ac:dyDescent="0.25">
      <c r="B160" s="210" t="s">
        <v>92</v>
      </c>
      <c r="C160" s="227"/>
      <c r="D160" s="208">
        <v>79191.729925218067</v>
      </c>
    </row>
    <row r="161" spans="1:6" ht="15" customHeight="1" x14ac:dyDescent="0.25">
      <c r="A161" s="215"/>
      <c r="B161" s="218"/>
      <c r="C161" s="82"/>
      <c r="D161" s="82"/>
    </row>
    <row r="162" spans="1:6" ht="15" customHeight="1" x14ac:dyDescent="0.25">
      <c r="B162" s="210" t="s">
        <v>220</v>
      </c>
      <c r="C162" s="227">
        <v>0</v>
      </c>
      <c r="D162" s="204"/>
    </row>
    <row r="163" spans="1:6" ht="15" customHeight="1" x14ac:dyDescent="0.25">
      <c r="B163" s="210" t="s">
        <v>83</v>
      </c>
      <c r="C163" s="204">
        <v>0</v>
      </c>
      <c r="D163" s="204"/>
    </row>
    <row r="164" spans="1:6" ht="15" customHeight="1" x14ac:dyDescent="0.25">
      <c r="B164" s="210" t="s">
        <v>45</v>
      </c>
      <c r="C164" s="204"/>
      <c r="D164" s="204">
        <v>0</v>
      </c>
    </row>
    <row r="165" spans="1:6" ht="15" customHeight="1" x14ac:dyDescent="0.25">
      <c r="A165" s="215"/>
      <c r="B165" s="218"/>
      <c r="C165" s="82"/>
      <c r="D165" s="82"/>
    </row>
    <row r="166" spans="1:6" ht="15" customHeight="1" x14ac:dyDescent="0.25">
      <c r="B166" s="210" t="s">
        <v>152</v>
      </c>
      <c r="C166" s="204">
        <v>361723.77</v>
      </c>
      <c r="D166" s="204"/>
    </row>
    <row r="167" spans="1:6" ht="15" customHeight="1" x14ac:dyDescent="0.25">
      <c r="B167" s="214" t="s">
        <v>69</v>
      </c>
      <c r="C167" s="204"/>
      <c r="D167" s="204">
        <v>361723.77</v>
      </c>
    </row>
    <row r="168" spans="1:6" ht="15" customHeight="1" x14ac:dyDescent="0.25">
      <c r="B168" s="27"/>
      <c r="C168" s="89"/>
      <c r="D168" s="89"/>
    </row>
    <row r="169" spans="1:6" ht="15" customHeight="1" x14ac:dyDescent="0.25">
      <c r="B169" s="27"/>
      <c r="C169" s="89"/>
      <c r="D169" s="89"/>
    </row>
    <row r="170" spans="1:6" ht="15" customHeight="1" x14ac:dyDescent="0.25">
      <c r="B170" s="48" t="s">
        <v>65</v>
      </c>
      <c r="C170" s="87">
        <v>1662417.41</v>
      </c>
      <c r="D170" s="87"/>
      <c r="E170" s="286" t="s">
        <v>191</v>
      </c>
      <c r="F170" s="287"/>
    </row>
    <row r="171" spans="1:6" ht="15" customHeight="1" x14ac:dyDescent="0.25">
      <c r="B171" s="48" t="s">
        <v>66</v>
      </c>
      <c r="C171" s="87">
        <v>350026.65</v>
      </c>
      <c r="D171" s="87"/>
      <c r="E171" s="288"/>
      <c r="F171" s="289"/>
    </row>
    <row r="172" spans="1:6" ht="15" customHeight="1" x14ac:dyDescent="0.25">
      <c r="B172" s="48" t="s">
        <v>165</v>
      </c>
      <c r="C172" s="87">
        <v>2437.81</v>
      </c>
      <c r="D172" s="87"/>
      <c r="E172" s="288"/>
      <c r="F172" s="289"/>
    </row>
    <row r="173" spans="1:6" ht="15" customHeight="1" x14ac:dyDescent="0.25">
      <c r="B173" s="48" t="s">
        <v>129</v>
      </c>
      <c r="C173" s="87">
        <v>37919.120000000003</v>
      </c>
      <c r="D173" s="87"/>
      <c r="E173" s="288"/>
      <c r="F173" s="289"/>
    </row>
    <row r="174" spans="1:6" ht="15" customHeight="1" x14ac:dyDescent="0.25">
      <c r="B174" s="48" t="s">
        <v>67</v>
      </c>
      <c r="C174" s="87">
        <v>14430.59</v>
      </c>
      <c r="D174" s="87"/>
      <c r="E174" s="288"/>
      <c r="F174" s="289"/>
    </row>
    <row r="175" spans="1:6" ht="15" customHeight="1" x14ac:dyDescent="0.25">
      <c r="B175" s="48" t="s">
        <v>68</v>
      </c>
      <c r="C175" s="87">
        <v>241028.7</v>
      </c>
      <c r="D175" s="87"/>
      <c r="E175" s="288"/>
      <c r="F175" s="289"/>
    </row>
    <row r="176" spans="1:6" ht="15" customHeight="1" x14ac:dyDescent="0.25">
      <c r="B176" s="48" t="s">
        <v>76</v>
      </c>
      <c r="C176" s="87">
        <v>258462.13</v>
      </c>
      <c r="D176" s="87"/>
      <c r="E176" s="288"/>
      <c r="F176" s="289"/>
    </row>
    <row r="177" spans="2:6" ht="15" customHeight="1" x14ac:dyDescent="0.25">
      <c r="B177" s="48" t="s">
        <v>50</v>
      </c>
      <c r="C177" s="87">
        <v>304020.33</v>
      </c>
      <c r="D177" s="87"/>
      <c r="E177" s="288"/>
      <c r="F177" s="289"/>
    </row>
    <row r="178" spans="2:6" ht="15" customHeight="1" x14ac:dyDescent="0.25">
      <c r="B178" s="48" t="s">
        <v>49</v>
      </c>
      <c r="C178" s="87">
        <v>143498.94</v>
      </c>
      <c r="D178" s="87"/>
      <c r="E178" s="288"/>
      <c r="F178" s="289"/>
    </row>
    <row r="179" spans="2:6" ht="15" customHeight="1" x14ac:dyDescent="0.25">
      <c r="B179" s="48" t="s">
        <v>32</v>
      </c>
      <c r="C179" s="87">
        <v>7781347.2999999998</v>
      </c>
      <c r="D179" s="87"/>
      <c r="E179" s="288"/>
      <c r="F179" s="289"/>
    </row>
    <row r="180" spans="2:6" ht="15" customHeight="1" x14ac:dyDescent="0.25">
      <c r="B180" s="48" t="s">
        <v>134</v>
      </c>
      <c r="C180" s="87">
        <v>155981.93</v>
      </c>
      <c r="D180" s="87"/>
      <c r="E180" s="288"/>
      <c r="F180" s="289"/>
    </row>
    <row r="181" spans="2:6" ht="15" customHeight="1" x14ac:dyDescent="0.25">
      <c r="B181" s="48" t="s">
        <v>74</v>
      </c>
      <c r="C181" s="87">
        <v>731451.49</v>
      </c>
      <c r="D181" s="87"/>
      <c r="E181" s="288"/>
      <c r="F181" s="289"/>
    </row>
    <row r="182" spans="2:6" ht="15" customHeight="1" x14ac:dyDescent="0.25">
      <c r="B182" s="48" t="s">
        <v>269</v>
      </c>
      <c r="C182" s="87">
        <v>794575.16</v>
      </c>
      <c r="D182" s="87"/>
      <c r="E182" s="288"/>
      <c r="F182" s="289"/>
    </row>
    <row r="183" spans="2:6" ht="15" customHeight="1" x14ac:dyDescent="0.25">
      <c r="B183" s="48" t="s">
        <v>270</v>
      </c>
      <c r="C183" s="87">
        <v>303669.49</v>
      </c>
      <c r="D183" s="87"/>
      <c r="E183" s="288"/>
      <c r="F183" s="289"/>
    </row>
    <row r="184" spans="2:6" ht="15" customHeight="1" x14ac:dyDescent="0.25">
      <c r="B184" s="48" t="s">
        <v>72</v>
      </c>
      <c r="C184" s="87">
        <v>271446.07</v>
      </c>
      <c r="D184" s="87"/>
      <c r="E184" s="288"/>
      <c r="F184" s="289"/>
    </row>
    <row r="185" spans="2:6" ht="15" customHeight="1" x14ac:dyDescent="0.25">
      <c r="B185" s="48" t="s">
        <v>73</v>
      </c>
      <c r="C185" s="87">
        <v>84467.75</v>
      </c>
      <c r="D185" s="87"/>
      <c r="E185" s="288"/>
      <c r="F185" s="289"/>
    </row>
    <row r="186" spans="2:6" ht="15" customHeight="1" x14ac:dyDescent="0.25">
      <c r="B186" s="48" t="s">
        <v>80</v>
      </c>
      <c r="C186" s="87">
        <v>111775.95</v>
      </c>
      <c r="D186" s="87"/>
      <c r="E186" s="288"/>
      <c r="F186" s="289"/>
    </row>
    <row r="187" spans="2:6" ht="15" customHeight="1" x14ac:dyDescent="0.25">
      <c r="B187" s="48" t="s">
        <v>70</v>
      </c>
      <c r="C187" s="87">
        <f>7702.12+1461.56+5148.16+7737.18</f>
        <v>22049.02</v>
      </c>
      <c r="D187" s="87"/>
      <c r="E187" s="288"/>
      <c r="F187" s="289"/>
    </row>
    <row r="188" spans="2:6" ht="15" customHeight="1" x14ac:dyDescent="0.25">
      <c r="B188" s="48" t="s">
        <v>69</v>
      </c>
      <c r="C188" s="87">
        <v>0</v>
      </c>
      <c r="D188" s="87"/>
      <c r="E188" s="288"/>
      <c r="F188" s="289"/>
    </row>
    <row r="189" spans="2:6" ht="15" customHeight="1" x14ac:dyDescent="0.25">
      <c r="B189" s="48" t="s">
        <v>221</v>
      </c>
      <c r="C189" s="87">
        <v>120426.56</v>
      </c>
      <c r="D189" s="87"/>
      <c r="E189" s="288"/>
      <c r="F189" s="289"/>
    </row>
    <row r="190" spans="2:6" ht="15" customHeight="1" x14ac:dyDescent="0.25">
      <c r="B190" s="48" t="s">
        <v>225</v>
      </c>
      <c r="C190" s="87">
        <v>113402.83</v>
      </c>
      <c r="D190" s="87"/>
      <c r="E190" s="288"/>
      <c r="F190" s="289"/>
    </row>
    <row r="191" spans="2:6" ht="15" customHeight="1" x14ac:dyDescent="0.25">
      <c r="B191" s="48" t="s">
        <v>222</v>
      </c>
      <c r="C191" s="87">
        <v>188556.62</v>
      </c>
      <c r="D191" s="87"/>
      <c r="E191" s="288"/>
      <c r="F191" s="289"/>
    </row>
    <row r="192" spans="2:6" ht="15" customHeight="1" x14ac:dyDescent="0.25">
      <c r="B192" s="48" t="s">
        <v>167</v>
      </c>
      <c r="C192" s="87">
        <v>187187.02</v>
      </c>
      <c r="D192" s="87"/>
      <c r="E192" s="288"/>
      <c r="F192" s="289"/>
    </row>
    <row r="193" spans="2:10" ht="15" customHeight="1" x14ac:dyDescent="0.25">
      <c r="B193" s="48" t="s">
        <v>168</v>
      </c>
      <c r="C193" s="87">
        <v>5266.46</v>
      </c>
      <c r="D193" s="87"/>
      <c r="E193" s="288"/>
      <c r="F193" s="289"/>
    </row>
    <row r="194" spans="2:10" ht="15" customHeight="1" x14ac:dyDescent="0.25">
      <c r="B194" s="48" t="s">
        <v>48</v>
      </c>
      <c r="C194" s="87">
        <v>2309183.85</v>
      </c>
      <c r="D194" s="87"/>
      <c r="E194" s="288"/>
      <c r="F194" s="289"/>
    </row>
    <row r="195" spans="2:10" ht="15" customHeight="1" x14ac:dyDescent="0.25">
      <c r="B195" s="48" t="s">
        <v>240</v>
      </c>
      <c r="C195" s="87">
        <v>894292.34</v>
      </c>
      <c r="D195" s="87"/>
      <c r="E195" s="288"/>
      <c r="F195" s="289"/>
    </row>
    <row r="196" spans="2:10" ht="15" customHeight="1" x14ac:dyDescent="0.25">
      <c r="B196" s="48" t="s">
        <v>243</v>
      </c>
      <c r="C196" s="87"/>
      <c r="D196" s="87">
        <v>20084.18</v>
      </c>
      <c r="E196" s="288"/>
      <c r="F196" s="289"/>
    </row>
    <row r="197" spans="2:10" ht="15" customHeight="1" x14ac:dyDescent="0.25">
      <c r="B197" s="48" t="s">
        <v>57</v>
      </c>
      <c r="C197" s="87"/>
      <c r="D197" s="87">
        <v>51693.17</v>
      </c>
      <c r="E197" s="288"/>
      <c r="F197" s="289"/>
    </row>
    <row r="198" spans="2:10" ht="15" customHeight="1" x14ac:dyDescent="0.25">
      <c r="B198" s="48" t="s">
        <v>58</v>
      </c>
      <c r="C198" s="87"/>
      <c r="D198" s="87">
        <v>32931.32</v>
      </c>
      <c r="E198" s="288"/>
      <c r="F198" s="289"/>
    </row>
    <row r="199" spans="2:10" ht="15" customHeight="1" x14ac:dyDescent="0.25">
      <c r="B199" s="48" t="s">
        <v>59</v>
      </c>
      <c r="C199" s="87"/>
      <c r="D199" s="87">
        <v>1563892.05</v>
      </c>
      <c r="E199" s="288"/>
      <c r="F199" s="289"/>
    </row>
    <row r="200" spans="2:10" ht="15" customHeight="1" x14ac:dyDescent="0.25">
      <c r="B200" s="48" t="s">
        <v>60</v>
      </c>
      <c r="C200" s="87"/>
      <c r="D200" s="87">
        <v>27117.97</v>
      </c>
      <c r="E200" s="288"/>
      <c r="F200" s="289"/>
    </row>
    <row r="201" spans="2:10" ht="15" customHeight="1" x14ac:dyDescent="0.25">
      <c r="B201" s="48" t="s">
        <v>92</v>
      </c>
      <c r="C201" s="87"/>
      <c r="D201" s="87">
        <v>10156.370000000001</v>
      </c>
      <c r="E201" s="288"/>
      <c r="F201" s="289"/>
      <c r="H201" s="11" t="s">
        <v>91</v>
      </c>
    </row>
    <row r="202" spans="2:10" ht="15" customHeight="1" x14ac:dyDescent="0.25">
      <c r="B202" s="48" t="s">
        <v>51</v>
      </c>
      <c r="C202" s="87"/>
      <c r="D202" s="87">
        <v>3908836.25</v>
      </c>
      <c r="E202" s="288"/>
      <c r="F202" s="289"/>
      <c r="H202" s="285" t="str">
        <f>B297</f>
        <v xml:space="preserve">Ventas </v>
      </c>
      <c r="I202" s="285"/>
      <c r="J202" s="239">
        <f>F297</f>
        <v>38483227.739999995</v>
      </c>
    </row>
    <row r="203" spans="2:10" ht="15" customHeight="1" x14ac:dyDescent="0.25">
      <c r="B203" s="48" t="s">
        <v>61</v>
      </c>
      <c r="C203" s="87"/>
      <c r="D203" s="87">
        <v>100420.91</v>
      </c>
      <c r="E203" s="288"/>
      <c r="F203" s="289"/>
      <c r="H203" s="281" t="str">
        <f>B221</f>
        <v>Alquiler Campo</v>
      </c>
      <c r="I203" s="281"/>
      <c r="J203" s="238">
        <f>-E221</f>
        <v>-1543254.8900000001</v>
      </c>
    </row>
    <row r="204" spans="2:10" ht="15" customHeight="1" x14ac:dyDescent="0.25">
      <c r="B204" s="48" t="s">
        <v>153</v>
      </c>
      <c r="C204" s="87"/>
      <c r="D204" s="87">
        <f>SUM(C170:C205)-SUM(D170:D203)-D205</f>
        <v>5785391.6099999985</v>
      </c>
      <c r="E204" s="288"/>
      <c r="F204" s="289"/>
      <c r="H204" s="281" t="str">
        <f>B232</f>
        <v xml:space="preserve">Combustible </v>
      </c>
      <c r="I204" s="281"/>
      <c r="J204" s="238">
        <f>-E232</f>
        <v>-10253399</v>
      </c>
    </row>
    <row r="205" spans="2:10" ht="15" customHeight="1" x14ac:dyDescent="0.25">
      <c r="B205" s="48" t="s">
        <v>63</v>
      </c>
      <c r="C205" s="88"/>
      <c r="D205" s="88">
        <v>5588797.6900000004</v>
      </c>
      <c r="E205" s="290"/>
      <c r="F205" s="291"/>
      <c r="H205" s="281" t="str">
        <f>B233</f>
        <v>Contribuciones</v>
      </c>
      <c r="I205" s="281"/>
      <c r="J205" s="238">
        <f>-E233</f>
        <v>-701343.44</v>
      </c>
    </row>
    <row r="206" spans="2:10" ht="15" customHeight="1" x14ac:dyDescent="0.25">
      <c r="B206" s="48"/>
      <c r="C206" s="12"/>
      <c r="D206" s="12"/>
      <c r="H206" s="281" t="str">
        <f>B241</f>
        <v>Dep. Equip inform</v>
      </c>
      <c r="I206" s="281"/>
      <c r="J206" s="238">
        <f>-E241</f>
        <v>-58600.950301020908</v>
      </c>
    </row>
    <row r="207" spans="2:10" ht="15" customHeight="1" x14ac:dyDescent="0.25">
      <c r="B207" s="48" t="s">
        <v>111</v>
      </c>
      <c r="C207" s="87">
        <f>I276</f>
        <v>919377.98959774501</v>
      </c>
      <c r="D207" s="87"/>
      <c r="H207" s="281" t="str">
        <f t="shared" ref="H207:H210" si="0">B242</f>
        <v>Dep. instalaciones</v>
      </c>
      <c r="I207" s="281"/>
      <c r="J207" s="238">
        <f t="shared" ref="J207:J210" si="1">-E242</f>
        <v>-64963.519165706661</v>
      </c>
    </row>
    <row r="208" spans="2:10" ht="15" customHeight="1" x14ac:dyDescent="0.25">
      <c r="B208" s="48" t="s">
        <v>152</v>
      </c>
      <c r="C208" s="87"/>
      <c r="D208" s="87">
        <f>-I278</f>
        <v>361723.77</v>
      </c>
      <c r="H208" s="281" t="str">
        <f t="shared" si="0"/>
        <v>Dep. Maquinarias</v>
      </c>
      <c r="I208" s="281"/>
      <c r="J208" s="238">
        <f t="shared" si="1"/>
        <v>-701048.64410497923</v>
      </c>
    </row>
    <row r="209" spans="1:11" ht="15" customHeight="1" x14ac:dyDescent="0.25">
      <c r="B209" s="48" t="s">
        <v>144</v>
      </c>
      <c r="C209" s="87"/>
      <c r="D209" s="87">
        <v>0</v>
      </c>
      <c r="H209" s="281" t="str">
        <f t="shared" si="0"/>
        <v>Dep. Muebl y Ut</v>
      </c>
      <c r="I209" s="281"/>
      <c r="J209" s="238">
        <f t="shared" si="1"/>
        <v>-79191.729925218067</v>
      </c>
    </row>
    <row r="210" spans="1:11" ht="15" customHeight="1" x14ac:dyDescent="0.25">
      <c r="B210" s="48" t="s">
        <v>47</v>
      </c>
      <c r="C210" s="87"/>
      <c r="D210" s="87">
        <f>-I277</f>
        <v>405353.75</v>
      </c>
      <c r="H210" s="281" t="str">
        <f t="shared" si="0"/>
        <v xml:space="preserve">Dep. rodados </v>
      </c>
      <c r="I210" s="281"/>
      <c r="J210" s="238">
        <f t="shared" si="1"/>
        <v>-4270185.5484454222</v>
      </c>
    </row>
    <row r="211" spans="1:11" ht="15" customHeight="1" x14ac:dyDescent="0.25">
      <c r="B211" s="48" t="s">
        <v>110</v>
      </c>
      <c r="C211" s="87"/>
      <c r="D211" s="87">
        <f>C207-D208-D209-D210</f>
        <v>152300.46959774499</v>
      </c>
      <c r="H211" s="281" t="str">
        <f>B247</f>
        <v>Gastos de alarma</v>
      </c>
      <c r="I211" s="281"/>
      <c r="J211" s="238">
        <f>-E247</f>
        <v>-33976.46</v>
      </c>
    </row>
    <row r="212" spans="1:11" ht="15" customHeight="1" x14ac:dyDescent="0.25">
      <c r="B212" s="48"/>
      <c r="C212" s="88"/>
      <c r="D212" s="88"/>
      <c r="H212" s="281" t="str">
        <f t="shared" ref="H212:H219" si="2">B248</f>
        <v>Gastos de energia</v>
      </c>
      <c r="I212" s="281"/>
      <c r="J212" s="238">
        <f t="shared" ref="J212:J220" si="3">-E248</f>
        <v>0</v>
      </c>
    </row>
    <row r="213" spans="1:11" ht="15" customHeight="1" x14ac:dyDescent="0.25">
      <c r="B213" s="15" t="s">
        <v>173</v>
      </c>
      <c r="C213" s="17">
        <f>SUM(C3:C212)</f>
        <v>155557480.11734012</v>
      </c>
      <c r="D213" s="17">
        <f>SUM(D3:D212)</f>
        <v>155557480.11734006</v>
      </c>
      <c r="F213" s="4">
        <f>D213-C213</f>
        <v>0</v>
      </c>
      <c r="H213" s="281" t="str">
        <f t="shared" si="2"/>
        <v>Gastos energia</v>
      </c>
      <c r="I213" s="281"/>
      <c r="J213" s="238">
        <f t="shared" si="3"/>
        <v>-21638.06</v>
      </c>
    </row>
    <row r="214" spans="1:11" ht="15" customHeight="1" x14ac:dyDescent="0.25">
      <c r="B214" s="15"/>
      <c r="C214" s="17"/>
      <c r="D214" s="17"/>
      <c r="F214" s="4"/>
      <c r="H214" s="281" t="str">
        <f t="shared" si="2"/>
        <v>Gastos mantenimiento maquinas</v>
      </c>
      <c r="I214" s="281"/>
      <c r="J214" s="238">
        <f t="shared" si="3"/>
        <v>-2863168.9129999997</v>
      </c>
    </row>
    <row r="215" spans="1:11" ht="15" customHeight="1" x14ac:dyDescent="0.25">
      <c r="C215" s="90"/>
      <c r="D215" s="90"/>
      <c r="H215" s="281" t="str">
        <f t="shared" si="2"/>
        <v>Gastos mantenimiento rodados</v>
      </c>
      <c r="I215" s="281"/>
      <c r="J215" s="238">
        <f t="shared" si="3"/>
        <v>-4922687.01</v>
      </c>
    </row>
    <row r="216" spans="1:11" x14ac:dyDescent="0.25">
      <c r="A216" s="49"/>
      <c r="B216" s="50" t="s">
        <v>85</v>
      </c>
      <c r="C216" s="15"/>
      <c r="D216" s="15"/>
      <c r="E216" s="15"/>
      <c r="F216" s="15"/>
      <c r="H216" s="281" t="str">
        <f t="shared" si="2"/>
        <v>Gs. Bancarios</v>
      </c>
      <c r="I216" s="281"/>
      <c r="J216" s="238">
        <f t="shared" si="3"/>
        <v>-144251.32</v>
      </c>
    </row>
    <row r="217" spans="1:11" x14ac:dyDescent="0.25">
      <c r="A217" s="49"/>
      <c r="B217" s="282" t="s">
        <v>86</v>
      </c>
      <c r="C217" s="282" t="s">
        <v>172</v>
      </c>
      <c r="D217" s="282"/>
      <c r="E217" s="282" t="s">
        <v>89</v>
      </c>
      <c r="F217" s="282"/>
      <c r="H217" s="281" t="str">
        <f t="shared" si="2"/>
        <v>Gs. Construcción</v>
      </c>
      <c r="I217" s="281"/>
      <c r="J217" s="238">
        <f t="shared" si="3"/>
        <v>-3605519.46</v>
      </c>
    </row>
    <row r="218" spans="1:11" x14ac:dyDescent="0.25">
      <c r="A218" s="49"/>
      <c r="B218" s="282"/>
      <c r="C218" s="176" t="s">
        <v>156</v>
      </c>
      <c r="D218" s="201" t="s">
        <v>157</v>
      </c>
      <c r="E218" s="201" t="s">
        <v>87</v>
      </c>
      <c r="F218" s="201" t="s">
        <v>88</v>
      </c>
      <c r="H218" s="281" t="str">
        <f t="shared" si="2"/>
        <v>Gs. Grales.</v>
      </c>
      <c r="I218" s="281"/>
      <c r="J218" s="238">
        <f t="shared" si="3"/>
        <v>-1617671.3199999998</v>
      </c>
    </row>
    <row r="219" spans="1:11" x14ac:dyDescent="0.25">
      <c r="A219" s="116" t="s">
        <v>99</v>
      </c>
      <c r="B219" s="52" t="s">
        <v>240</v>
      </c>
      <c r="C219" s="12">
        <f t="shared" ref="C219:C250" si="4">SUMIF($B$3:$B$212,B219,$C$3:$C$212)</f>
        <v>2649815.83</v>
      </c>
      <c r="D219" s="12">
        <f t="shared" ref="D219:D250" si="5">SUMIF($B$3:$B$212,B219,$D$3:$D$212)</f>
        <v>0</v>
      </c>
      <c r="E219" s="12">
        <f>IF(C219&gt;D219,C219-D219,0)</f>
        <v>2649815.83</v>
      </c>
      <c r="F219" s="12">
        <f>IF(D219&gt;C219,D219-C219,0)</f>
        <v>0</v>
      </c>
      <c r="H219" s="281" t="str">
        <f t="shared" si="2"/>
        <v>Gs. No Gravados</v>
      </c>
      <c r="I219" s="281"/>
      <c r="J219" s="238">
        <f t="shared" si="3"/>
        <v>-2192985.65</v>
      </c>
    </row>
    <row r="220" spans="1:11" x14ac:dyDescent="0.25">
      <c r="A220" s="118" t="s">
        <v>100</v>
      </c>
      <c r="B220" s="52" t="s">
        <v>52</v>
      </c>
      <c r="C220" s="12">
        <f t="shared" si="4"/>
        <v>0</v>
      </c>
      <c r="D220" s="12">
        <f t="shared" si="5"/>
        <v>8049161.9900000002</v>
      </c>
      <c r="E220" s="12">
        <f t="shared" ref="E220:E283" si="6">IF(C220&gt;D220,C220-D220,0)</f>
        <v>0</v>
      </c>
      <c r="F220" s="12">
        <f t="shared" ref="F220:F283" si="7">IF(D220&gt;C220,D220-C220,0)</f>
        <v>8049161.9900000002</v>
      </c>
      <c r="H220" s="281" t="str">
        <f t="shared" ref="H220" si="8">B256</f>
        <v>Honorarios</v>
      </c>
      <c r="I220" s="281"/>
      <c r="J220" s="238">
        <f t="shared" si="3"/>
        <v>-1447556.93</v>
      </c>
    </row>
    <row r="221" spans="1:11" x14ac:dyDescent="0.25">
      <c r="A221" s="119" t="s">
        <v>136</v>
      </c>
      <c r="B221" s="52" t="s">
        <v>221</v>
      </c>
      <c r="C221" s="12">
        <f t="shared" si="4"/>
        <v>1543254.8900000001</v>
      </c>
      <c r="D221" s="12">
        <f t="shared" si="5"/>
        <v>0</v>
      </c>
      <c r="E221" s="12">
        <f t="shared" si="6"/>
        <v>1543254.8900000001</v>
      </c>
      <c r="F221" s="12">
        <f t="shared" si="7"/>
        <v>0</v>
      </c>
      <c r="H221" s="281" t="str">
        <f>B259</f>
        <v>Imp. Ley 25413</v>
      </c>
      <c r="I221" s="281"/>
      <c r="J221" s="238">
        <f>-E259</f>
        <v>0</v>
      </c>
      <c r="K221" s="10"/>
    </row>
    <row r="222" spans="1:11" x14ac:dyDescent="0.25">
      <c r="A222" s="118" t="s">
        <v>100</v>
      </c>
      <c r="B222" s="52" t="s">
        <v>272</v>
      </c>
      <c r="C222" s="12">
        <f t="shared" si="4"/>
        <v>0</v>
      </c>
      <c r="D222" s="12">
        <f t="shared" si="5"/>
        <v>628557.80000000005</v>
      </c>
      <c r="E222" s="12">
        <f t="shared" si="6"/>
        <v>0</v>
      </c>
      <c r="F222" s="12">
        <f t="shared" si="7"/>
        <v>628557.80000000005</v>
      </c>
      <c r="H222" s="281" t="str">
        <f>B260</f>
        <v>Impuesto Automotor</v>
      </c>
      <c r="I222" s="281"/>
      <c r="J222" s="238">
        <f>-E260</f>
        <v>-365030.03</v>
      </c>
    </row>
    <row r="223" spans="1:11" x14ac:dyDescent="0.25">
      <c r="A223" s="116" t="s">
        <v>99</v>
      </c>
      <c r="B223" s="52" t="s">
        <v>273</v>
      </c>
      <c r="C223" s="12">
        <f t="shared" si="4"/>
        <v>483195.95</v>
      </c>
      <c r="D223" s="12">
        <f t="shared" si="5"/>
        <v>0</v>
      </c>
      <c r="E223" s="12">
        <f t="shared" si="6"/>
        <v>483195.95</v>
      </c>
      <c r="F223" s="12">
        <f t="shared" si="7"/>
        <v>0</v>
      </c>
      <c r="H223" s="281" t="str">
        <f>B263</f>
        <v>Ingresos brutos</v>
      </c>
      <c r="I223" s="281"/>
      <c r="J223" s="238">
        <f>-E263</f>
        <v>-769653.74999999988</v>
      </c>
    </row>
    <row r="224" spans="1:11" x14ac:dyDescent="0.25">
      <c r="A224" s="116" t="s">
        <v>99</v>
      </c>
      <c r="B224" s="52" t="s">
        <v>144</v>
      </c>
      <c r="C224" s="12">
        <f t="shared" si="4"/>
        <v>0</v>
      </c>
      <c r="D224" s="12">
        <f t="shared" si="5"/>
        <v>0</v>
      </c>
      <c r="E224" s="12">
        <f t="shared" si="6"/>
        <v>0</v>
      </c>
      <c r="F224" s="12">
        <f t="shared" si="7"/>
        <v>0</v>
      </c>
      <c r="H224" s="281" t="str">
        <f>B265</f>
        <v>Intereses perdidos</v>
      </c>
      <c r="I224" s="281"/>
      <c r="J224" s="238">
        <f>-E265</f>
        <v>-154625.34</v>
      </c>
    </row>
    <row r="225" spans="1:13" x14ac:dyDescent="0.25">
      <c r="A225" s="118" t="s">
        <v>100</v>
      </c>
      <c r="B225" s="52" t="s">
        <v>53</v>
      </c>
      <c r="C225" s="12">
        <f t="shared" si="4"/>
        <v>317534.27999999997</v>
      </c>
      <c r="D225" s="12">
        <f t="shared" si="5"/>
        <v>391546.4</v>
      </c>
      <c r="E225" s="12">
        <f t="shared" si="6"/>
        <v>0</v>
      </c>
      <c r="F225" s="12">
        <f t="shared" si="7"/>
        <v>74012.120000000054</v>
      </c>
      <c r="H225" s="281" t="str">
        <f>B270</f>
        <v>Librería/Informatica</v>
      </c>
      <c r="I225" s="281"/>
      <c r="J225" s="238">
        <f>-E270</f>
        <v>-109535.47999999998</v>
      </c>
    </row>
    <row r="226" spans="1:13" x14ac:dyDescent="0.25">
      <c r="A226" s="116" t="s">
        <v>99</v>
      </c>
      <c r="B226" s="52" t="s">
        <v>83</v>
      </c>
      <c r="C226" s="12">
        <f t="shared" si="4"/>
        <v>12045.99</v>
      </c>
      <c r="D226" s="12">
        <f t="shared" si="5"/>
        <v>30682.240000000002</v>
      </c>
      <c r="E226" s="12">
        <f t="shared" si="6"/>
        <v>0</v>
      </c>
      <c r="F226" s="12">
        <f t="shared" si="7"/>
        <v>18636.25</v>
      </c>
      <c r="H226" s="281" t="str">
        <f>B289</f>
        <v>Seguros</v>
      </c>
      <c r="I226" s="281"/>
      <c r="J226" s="238">
        <f>-E289</f>
        <v>-935784.09000000008</v>
      </c>
    </row>
    <row r="227" spans="1:13" x14ac:dyDescent="0.25">
      <c r="A227" s="116" t="s">
        <v>99</v>
      </c>
      <c r="B227" s="52" t="s">
        <v>220</v>
      </c>
      <c r="C227" s="12">
        <f t="shared" si="4"/>
        <v>5104891.7300000004</v>
      </c>
      <c r="D227" s="12">
        <f t="shared" si="5"/>
        <v>3334011.76</v>
      </c>
      <c r="E227" s="12">
        <f t="shared" si="6"/>
        <v>1770879.9700000007</v>
      </c>
      <c r="F227" s="12">
        <f t="shared" si="7"/>
        <v>0</v>
      </c>
      <c r="H227" s="281" t="str">
        <f>B292</f>
        <v>Serv. Agropecuarios</v>
      </c>
      <c r="I227" s="281"/>
      <c r="J227" s="238">
        <f>-E292</f>
        <v>0</v>
      </c>
    </row>
    <row r="228" spans="1:13" x14ac:dyDescent="0.25">
      <c r="A228" s="116" t="s">
        <v>99</v>
      </c>
      <c r="B228" s="52" t="s">
        <v>45</v>
      </c>
      <c r="C228" s="12">
        <f t="shared" si="4"/>
        <v>34243126.229999997</v>
      </c>
      <c r="D228" s="12">
        <f t="shared" si="5"/>
        <v>32124188.849400003</v>
      </c>
      <c r="E228" s="12">
        <f t="shared" si="6"/>
        <v>2118937.3805999942</v>
      </c>
      <c r="F228" s="12">
        <f t="shared" si="7"/>
        <v>0</v>
      </c>
      <c r="H228" s="281" t="str">
        <f>B295</f>
        <v xml:space="preserve">Sueldos </v>
      </c>
      <c r="I228" s="281"/>
      <c r="J228" s="238">
        <f>-E295</f>
        <v>-2278653.3199999998</v>
      </c>
    </row>
    <row r="229" spans="1:13" x14ac:dyDescent="0.25">
      <c r="A229" s="116" t="s">
        <v>99</v>
      </c>
      <c r="B229" s="52" t="s">
        <v>44</v>
      </c>
      <c r="C229" s="12">
        <f t="shared" si="4"/>
        <v>0</v>
      </c>
      <c r="D229" s="12">
        <f t="shared" si="5"/>
        <v>0</v>
      </c>
      <c r="E229" s="12">
        <f t="shared" si="6"/>
        <v>0</v>
      </c>
      <c r="F229" s="12">
        <f t="shared" si="7"/>
        <v>0</v>
      </c>
      <c r="H229" s="285" t="str">
        <f>B280</f>
        <v>RECPAM</v>
      </c>
      <c r="I229" s="285"/>
      <c r="J229" s="239">
        <f>F280</f>
        <v>5785391.6099999985</v>
      </c>
    </row>
    <row r="230" spans="1:13" x14ac:dyDescent="0.25">
      <c r="A230" s="118" t="s">
        <v>104</v>
      </c>
      <c r="B230" s="52" t="s">
        <v>61</v>
      </c>
      <c r="C230" s="12">
        <f t="shared" si="4"/>
        <v>0</v>
      </c>
      <c r="D230" s="12">
        <f t="shared" si="5"/>
        <v>297550.26</v>
      </c>
      <c r="E230" s="12">
        <f t="shared" si="6"/>
        <v>0</v>
      </c>
      <c r="F230" s="12">
        <f t="shared" si="7"/>
        <v>297550.26</v>
      </c>
      <c r="H230" s="283" t="s">
        <v>137</v>
      </c>
      <c r="I230" s="283"/>
      <c r="J230" s="22">
        <f>SUM(J202:J229)</f>
        <v>5133894.4950576453</v>
      </c>
    </row>
    <row r="231" spans="1:13" x14ac:dyDescent="0.25">
      <c r="A231" s="118" t="s">
        <v>100</v>
      </c>
      <c r="B231" s="52" t="s">
        <v>78</v>
      </c>
      <c r="C231" s="12">
        <f t="shared" si="4"/>
        <v>3070231.36</v>
      </c>
      <c r="D231" s="12">
        <f t="shared" si="5"/>
        <v>8899380.3399999999</v>
      </c>
      <c r="E231" s="12">
        <f t="shared" si="6"/>
        <v>0</v>
      </c>
      <c r="F231" s="12">
        <f t="shared" si="7"/>
        <v>5829148.9800000004</v>
      </c>
      <c r="H231" s="284" t="str">
        <f>B262</f>
        <v>Impuesto ganancias</v>
      </c>
      <c r="I231" s="284"/>
      <c r="J231" s="238">
        <f>-E262</f>
        <v>-919377.98959774501</v>
      </c>
      <c r="K231" s="16"/>
    </row>
    <row r="232" spans="1:13" x14ac:dyDescent="0.25">
      <c r="A232" s="119" t="s">
        <v>136</v>
      </c>
      <c r="B232" s="52" t="s">
        <v>65</v>
      </c>
      <c r="C232" s="12">
        <f t="shared" si="4"/>
        <v>10253399</v>
      </c>
      <c r="D232" s="12">
        <f t="shared" si="5"/>
        <v>0</v>
      </c>
      <c r="E232" s="12">
        <f t="shared" si="6"/>
        <v>10253399</v>
      </c>
      <c r="F232" s="12">
        <f t="shared" si="7"/>
        <v>0</v>
      </c>
      <c r="H232" s="283" t="s">
        <v>138</v>
      </c>
      <c r="I232" s="283"/>
      <c r="J232" s="22">
        <f>J230+J231</f>
        <v>4214516.5054599</v>
      </c>
      <c r="K232" s="16" t="s">
        <v>101</v>
      </c>
      <c r="L232" s="4"/>
    </row>
    <row r="233" spans="1:13" x14ac:dyDescent="0.25">
      <c r="A233" s="119" t="s">
        <v>136</v>
      </c>
      <c r="B233" s="52" t="s">
        <v>73</v>
      </c>
      <c r="C233" s="12">
        <f t="shared" si="4"/>
        <v>701343.44</v>
      </c>
      <c r="D233" s="12">
        <f t="shared" si="5"/>
        <v>0</v>
      </c>
      <c r="E233" s="12">
        <f t="shared" si="6"/>
        <v>701343.44</v>
      </c>
      <c r="F233" s="12">
        <f t="shared" si="7"/>
        <v>0</v>
      </c>
      <c r="H233" s="15"/>
      <c r="I233" s="15"/>
      <c r="J233" s="22"/>
      <c r="K233" s="234" t="str">
        <f>B220</f>
        <v>Acreedores Vs.</v>
      </c>
      <c r="L233" s="235">
        <f>F220</f>
        <v>8049161.9900000002</v>
      </c>
      <c r="M233" s="10"/>
    </row>
    <row r="234" spans="1:13" x14ac:dyDescent="0.25">
      <c r="A234" s="118" t="s">
        <v>100</v>
      </c>
      <c r="B234" s="52" t="s">
        <v>54</v>
      </c>
      <c r="C234" s="12">
        <f t="shared" si="4"/>
        <v>373160.5400000001</v>
      </c>
      <c r="D234" s="12">
        <f t="shared" si="5"/>
        <v>461834.03999999992</v>
      </c>
      <c r="E234" s="12">
        <f t="shared" si="6"/>
        <v>0</v>
      </c>
      <c r="F234" s="12">
        <f t="shared" si="7"/>
        <v>88673.499999999825</v>
      </c>
      <c r="H234" s="16" t="s">
        <v>98</v>
      </c>
      <c r="I234" s="15"/>
      <c r="J234" s="15"/>
      <c r="K234" s="234" t="str">
        <f>B222</f>
        <v>Alquileres a pagar</v>
      </c>
      <c r="L234" s="235">
        <f>F222</f>
        <v>628557.80000000005</v>
      </c>
    </row>
    <row r="235" spans="1:13" x14ac:dyDescent="0.25">
      <c r="A235" s="116" t="s">
        <v>99</v>
      </c>
      <c r="B235" s="52" t="s">
        <v>152</v>
      </c>
      <c r="C235" s="12">
        <f t="shared" si="4"/>
        <v>361723.77</v>
      </c>
      <c r="D235" s="12">
        <f t="shared" si="5"/>
        <v>361723.77</v>
      </c>
      <c r="E235" s="12">
        <f t="shared" si="6"/>
        <v>0</v>
      </c>
      <c r="F235" s="12">
        <f t="shared" si="7"/>
        <v>0</v>
      </c>
      <c r="H235" s="229" t="str">
        <f>B219</f>
        <v>Acciones</v>
      </c>
      <c r="I235" s="230">
        <f>E219</f>
        <v>2649815.83</v>
      </c>
      <c r="J235" s="15"/>
      <c r="K235" s="234" t="str">
        <f>B225</f>
        <v>Aportes a pagar</v>
      </c>
      <c r="L235" s="235">
        <f>F225</f>
        <v>74012.120000000054</v>
      </c>
      <c r="M235" s="10"/>
    </row>
    <row r="236" spans="1:13" x14ac:dyDescent="0.25">
      <c r="A236" s="116" t="s">
        <v>99</v>
      </c>
      <c r="B236" s="52" t="s">
        <v>58</v>
      </c>
      <c r="C236" s="12">
        <f t="shared" si="4"/>
        <v>0</v>
      </c>
      <c r="D236" s="12">
        <f t="shared" si="5"/>
        <v>186954.05030102091</v>
      </c>
      <c r="E236" s="12">
        <f t="shared" si="6"/>
        <v>0</v>
      </c>
      <c r="F236" s="12">
        <f t="shared" si="7"/>
        <v>186954.05030102091</v>
      </c>
      <c r="H236" s="229" t="str">
        <f>B223</f>
        <v>Anticipo compra rodados</v>
      </c>
      <c r="I236" s="230">
        <f>E223</f>
        <v>483195.95</v>
      </c>
      <c r="J236" s="15"/>
      <c r="K236" s="234" t="str">
        <f>B231</f>
        <v>Cheques a pagar</v>
      </c>
      <c r="L236" s="235">
        <f>F231</f>
        <v>5829148.9800000004</v>
      </c>
    </row>
    <row r="237" spans="1:13" x14ac:dyDescent="0.25">
      <c r="A237" s="116" t="s">
        <v>99</v>
      </c>
      <c r="B237" s="52" t="s">
        <v>60</v>
      </c>
      <c r="C237" s="12">
        <f t="shared" si="4"/>
        <v>0</v>
      </c>
      <c r="D237" s="12">
        <f t="shared" si="5"/>
        <v>188353.73916570665</v>
      </c>
      <c r="E237" s="12">
        <f t="shared" si="6"/>
        <v>0</v>
      </c>
      <c r="F237" s="12">
        <f t="shared" si="7"/>
        <v>188353.73916570665</v>
      </c>
      <c r="H237" s="229" t="str">
        <f>B224</f>
        <v>Anticipos ganancias</v>
      </c>
      <c r="I237" s="230">
        <f>E224</f>
        <v>0</v>
      </c>
      <c r="J237" s="15"/>
      <c r="K237" s="234" t="str">
        <f>B234</f>
        <v>Contribuciones a pagar</v>
      </c>
      <c r="L237" s="235">
        <f>F234</f>
        <v>88673.499999999825</v>
      </c>
    </row>
    <row r="238" spans="1:13" x14ac:dyDescent="0.25">
      <c r="A238" s="116" t="s">
        <v>99</v>
      </c>
      <c r="B238" s="52" t="s">
        <v>59</v>
      </c>
      <c r="C238" s="12">
        <f t="shared" si="4"/>
        <v>0</v>
      </c>
      <c r="D238" s="12">
        <f t="shared" si="5"/>
        <v>11717051.008445423</v>
      </c>
      <c r="E238" s="12">
        <f t="shared" si="6"/>
        <v>0</v>
      </c>
      <c r="F238" s="12">
        <f t="shared" si="7"/>
        <v>11717051.008445423</v>
      </c>
      <c r="H238" s="229" t="str">
        <f>B226</f>
        <v>Bco Santander c/c</v>
      </c>
      <c r="I238" s="230">
        <v>0</v>
      </c>
      <c r="J238" s="15"/>
      <c r="K238" s="120" t="str">
        <f>B258</f>
        <v>Imp ganancias a pagar</v>
      </c>
      <c r="L238" s="236">
        <f>F258</f>
        <v>218581.38959774497</v>
      </c>
    </row>
    <row r="239" spans="1:13" x14ac:dyDescent="0.25">
      <c r="A239" s="116" t="s">
        <v>99</v>
      </c>
      <c r="B239" s="52" t="s">
        <v>57</v>
      </c>
      <c r="C239" s="12">
        <f t="shared" si="4"/>
        <v>0</v>
      </c>
      <c r="D239" s="12">
        <f t="shared" si="5"/>
        <v>1197658.5541049791</v>
      </c>
      <c r="E239" s="12">
        <f t="shared" si="6"/>
        <v>0</v>
      </c>
      <c r="F239" s="12">
        <f t="shared" si="7"/>
        <v>1197658.5541049791</v>
      </c>
      <c r="H239" s="229" t="str">
        <f t="shared" ref="H239:H241" si="9">B227</f>
        <v>Bco. Cordoba c/c</v>
      </c>
      <c r="I239" s="230">
        <f>E227</f>
        <v>1770879.9700000007</v>
      </c>
      <c r="J239" s="15"/>
      <c r="K239" s="120" t="str">
        <f>B261</f>
        <v>Impuesto automotor a pagar</v>
      </c>
      <c r="L239" s="236">
        <f>F261</f>
        <v>75666.640000000014</v>
      </c>
    </row>
    <row r="240" spans="1:13" x14ac:dyDescent="0.25">
      <c r="A240" s="116" t="s">
        <v>99</v>
      </c>
      <c r="B240" s="52" t="s">
        <v>92</v>
      </c>
      <c r="C240" s="12">
        <f t="shared" si="4"/>
        <v>0</v>
      </c>
      <c r="D240" s="12">
        <f t="shared" si="5"/>
        <v>135403.57992521807</v>
      </c>
      <c r="E240" s="12">
        <f t="shared" si="6"/>
        <v>0</v>
      </c>
      <c r="F240" s="12">
        <f t="shared" si="7"/>
        <v>135403.57992521807</v>
      </c>
      <c r="H240" s="229" t="str">
        <f t="shared" si="9"/>
        <v>Bco. Nacion Cta Cte</v>
      </c>
      <c r="I240" s="230">
        <f>E228</f>
        <v>2118937.3805999942</v>
      </c>
      <c r="J240" s="15"/>
      <c r="K240" s="120" t="str">
        <f>B267</f>
        <v>IVA a pagar</v>
      </c>
      <c r="L240" s="236">
        <f>F267</f>
        <v>35259.47</v>
      </c>
      <c r="M240" s="10"/>
    </row>
    <row r="241" spans="1:13" x14ac:dyDescent="0.25">
      <c r="A241" s="119" t="s">
        <v>136</v>
      </c>
      <c r="B241" s="52" t="s">
        <v>94</v>
      </c>
      <c r="C241" s="12">
        <f t="shared" si="4"/>
        <v>58600.950301020908</v>
      </c>
      <c r="D241" s="12">
        <f t="shared" si="5"/>
        <v>0</v>
      </c>
      <c r="E241" s="12">
        <f t="shared" si="6"/>
        <v>58600.950301020908</v>
      </c>
      <c r="F241" s="12">
        <f t="shared" si="7"/>
        <v>0</v>
      </c>
      <c r="H241" s="229" t="str">
        <f t="shared" si="9"/>
        <v xml:space="preserve">Caja </v>
      </c>
      <c r="I241" s="230">
        <f>E229</f>
        <v>0</v>
      </c>
      <c r="J241" s="15"/>
      <c r="K241" s="139" t="str">
        <f>B269</f>
        <v>Iva Deb. Fiscal</v>
      </c>
      <c r="L241" s="236">
        <f>F269</f>
        <v>0</v>
      </c>
    </row>
    <row r="242" spans="1:13" x14ac:dyDescent="0.25">
      <c r="A242" s="119" t="s">
        <v>136</v>
      </c>
      <c r="B242" s="52" t="s">
        <v>96</v>
      </c>
      <c r="C242" s="12">
        <f t="shared" si="4"/>
        <v>64963.519165706661</v>
      </c>
      <c r="D242" s="12">
        <f t="shared" si="5"/>
        <v>0</v>
      </c>
      <c r="E242" s="12">
        <f t="shared" si="6"/>
        <v>64963.519165706661</v>
      </c>
      <c r="F242" s="12">
        <f t="shared" si="7"/>
        <v>0</v>
      </c>
      <c r="H242" s="229" t="str">
        <f>B235</f>
        <v>Credito ley 25413</v>
      </c>
      <c r="I242" s="230">
        <f>E235</f>
        <v>0</v>
      </c>
      <c r="J242" s="15"/>
      <c r="K242" s="120" t="str">
        <f>B276</f>
        <v>Plan Afip a pagar</v>
      </c>
      <c r="L242" s="236">
        <f>F276</f>
        <v>49256.69</v>
      </c>
    </row>
    <row r="243" spans="1:13" x14ac:dyDescent="0.25">
      <c r="A243" s="119" t="s">
        <v>136</v>
      </c>
      <c r="B243" s="52" t="s">
        <v>93</v>
      </c>
      <c r="C243" s="12">
        <f t="shared" si="4"/>
        <v>701048.64410497923</v>
      </c>
      <c r="D243" s="12">
        <f t="shared" si="5"/>
        <v>0</v>
      </c>
      <c r="E243" s="12">
        <f t="shared" si="6"/>
        <v>701048.64410497923</v>
      </c>
      <c r="F243" s="12">
        <f t="shared" si="7"/>
        <v>0</v>
      </c>
      <c r="H243" s="229" t="str">
        <f t="shared" ref="H243:H247" si="10">B236</f>
        <v>Dep. Acumulada de Equip inform</v>
      </c>
      <c r="I243" s="230">
        <f>-F236</f>
        <v>-186954.05030102091</v>
      </c>
      <c r="J243" s="15"/>
      <c r="K243" s="120" t="str">
        <f t="shared" ref="K243:K244" si="11">B277</f>
        <v xml:space="preserve">Prendas a Pagar </v>
      </c>
      <c r="L243" s="236">
        <f>F277</f>
        <v>219237</v>
      </c>
    </row>
    <row r="244" spans="1:13" x14ac:dyDescent="0.25">
      <c r="A244" s="119" t="s">
        <v>136</v>
      </c>
      <c r="B244" s="52" t="s">
        <v>97</v>
      </c>
      <c r="C244" s="12">
        <f t="shared" si="4"/>
        <v>79191.729925218067</v>
      </c>
      <c r="D244" s="12">
        <f t="shared" si="5"/>
        <v>0</v>
      </c>
      <c r="E244" s="12">
        <f t="shared" si="6"/>
        <v>79191.729925218067</v>
      </c>
      <c r="F244" s="12">
        <f t="shared" si="7"/>
        <v>0</v>
      </c>
      <c r="H244" s="229" t="str">
        <f t="shared" si="10"/>
        <v>Dep. Acumulada de instal.</v>
      </c>
      <c r="I244" s="230">
        <f t="shared" ref="I244:I247" si="12">-F237</f>
        <v>-188353.73916570665</v>
      </c>
      <c r="J244" s="15"/>
      <c r="K244" s="120" t="str">
        <f t="shared" si="11"/>
        <v>Prestamos a pagar</v>
      </c>
      <c r="L244" s="236">
        <f>F278</f>
        <v>4484719.1400000006</v>
      </c>
    </row>
    <row r="245" spans="1:13" x14ac:dyDescent="0.25">
      <c r="A245" s="119" t="s">
        <v>136</v>
      </c>
      <c r="B245" s="52" t="s">
        <v>95</v>
      </c>
      <c r="C245" s="12">
        <f t="shared" si="4"/>
        <v>4270185.5484454222</v>
      </c>
      <c r="D245" s="12">
        <f t="shared" si="5"/>
        <v>0</v>
      </c>
      <c r="E245" s="12">
        <f t="shared" si="6"/>
        <v>4270185.5484454222</v>
      </c>
      <c r="F245" s="12">
        <f t="shared" si="7"/>
        <v>0</v>
      </c>
      <c r="H245" s="229" t="str">
        <f t="shared" si="10"/>
        <v xml:space="preserve">Dep. Acumulada de rodados </v>
      </c>
      <c r="I245" s="230">
        <f t="shared" si="12"/>
        <v>-11717051.008445423</v>
      </c>
      <c r="J245" s="15"/>
      <c r="K245" s="139" t="str">
        <f>B293</f>
        <v>Socio Horacio Fichetti cuenta partic.</v>
      </c>
      <c r="L245" s="236">
        <f>F293</f>
        <v>1267313.5</v>
      </c>
    </row>
    <row r="246" spans="1:13" x14ac:dyDescent="0.25">
      <c r="A246" s="116" t="s">
        <v>99</v>
      </c>
      <c r="B246" s="52" t="s">
        <v>49</v>
      </c>
      <c r="C246" s="12">
        <f t="shared" si="4"/>
        <v>435295.02999999997</v>
      </c>
      <c r="D246" s="12">
        <f t="shared" si="5"/>
        <v>0</v>
      </c>
      <c r="E246" s="12">
        <f t="shared" si="6"/>
        <v>435295.02999999997</v>
      </c>
      <c r="F246" s="12">
        <f t="shared" si="7"/>
        <v>0</v>
      </c>
      <c r="H246" s="229" t="str">
        <f t="shared" si="10"/>
        <v>Dep. Acumulada Maq.</v>
      </c>
      <c r="I246" s="230">
        <f t="shared" si="12"/>
        <v>-1197658.5541049791</v>
      </c>
      <c r="J246" s="15"/>
      <c r="K246" s="139" t="str">
        <f>B294</f>
        <v>Socio Mauricio Fichetti cuenta partic.</v>
      </c>
      <c r="L246" s="236">
        <f>F294</f>
        <v>1340577.17</v>
      </c>
    </row>
    <row r="247" spans="1:13" x14ac:dyDescent="0.25">
      <c r="A247" s="119" t="s">
        <v>136</v>
      </c>
      <c r="B247" s="52" t="s">
        <v>168</v>
      </c>
      <c r="C247" s="12">
        <f t="shared" si="4"/>
        <v>33976.46</v>
      </c>
      <c r="D247" s="12">
        <f t="shared" si="5"/>
        <v>0</v>
      </c>
      <c r="E247" s="12">
        <f t="shared" si="6"/>
        <v>33976.46</v>
      </c>
      <c r="F247" s="12">
        <f t="shared" si="7"/>
        <v>0</v>
      </c>
      <c r="H247" s="229" t="str">
        <f t="shared" si="10"/>
        <v>Dep. Acumulada Muebl y Ut</v>
      </c>
      <c r="I247" s="230">
        <f t="shared" si="12"/>
        <v>-135403.57992521807</v>
      </c>
      <c r="J247" s="15"/>
      <c r="K247" s="120" t="str">
        <f>B296</f>
        <v xml:space="preserve">sueldos a pagar </v>
      </c>
      <c r="L247" s="236">
        <f>F296</f>
        <v>270230.34999999986</v>
      </c>
      <c r="M247" s="10"/>
    </row>
    <row r="248" spans="1:13" x14ac:dyDescent="0.25">
      <c r="A248" s="119" t="s">
        <v>136</v>
      </c>
      <c r="B248" s="52" t="s">
        <v>133</v>
      </c>
      <c r="C248" s="12">
        <f t="shared" si="4"/>
        <v>0</v>
      </c>
      <c r="D248" s="12">
        <f t="shared" si="5"/>
        <v>0</v>
      </c>
      <c r="E248" s="12">
        <f t="shared" si="6"/>
        <v>0</v>
      </c>
      <c r="F248" s="12">
        <f t="shared" si="7"/>
        <v>0</v>
      </c>
      <c r="H248" s="229" t="str">
        <f>B246</f>
        <v>Equip. Informaticos</v>
      </c>
      <c r="I248" s="230">
        <f>E246</f>
        <v>435295.02999999997</v>
      </c>
      <c r="J248" s="15"/>
      <c r="K248" s="120" t="str">
        <f>B226</f>
        <v>Bco Santander c/c</v>
      </c>
      <c r="L248" s="236">
        <f>F226</f>
        <v>18636.25</v>
      </c>
    </row>
    <row r="249" spans="1:13" x14ac:dyDescent="0.25">
      <c r="A249" s="119" t="s">
        <v>136</v>
      </c>
      <c r="B249" s="52" t="s">
        <v>165</v>
      </c>
      <c r="C249" s="12">
        <f t="shared" si="4"/>
        <v>21638.06</v>
      </c>
      <c r="D249" s="12">
        <f t="shared" si="5"/>
        <v>0</v>
      </c>
      <c r="E249" s="12">
        <f t="shared" si="6"/>
        <v>21638.06</v>
      </c>
      <c r="F249" s="12">
        <f t="shared" si="7"/>
        <v>0</v>
      </c>
      <c r="H249" s="229" t="str">
        <f>B257</f>
        <v>IIBB a favor</v>
      </c>
      <c r="I249" s="230">
        <f>E257</f>
        <v>240796.17000000022</v>
      </c>
      <c r="J249" s="15"/>
      <c r="K249" s="237" t="s">
        <v>103</v>
      </c>
      <c r="L249" s="228">
        <f>SUM(L233:L248)</f>
        <v>22649031.989597753</v>
      </c>
      <c r="M249">
        <f>L249/I267</f>
        <v>0.58369865337639437</v>
      </c>
    </row>
    <row r="250" spans="1:13" x14ac:dyDescent="0.25">
      <c r="A250" s="119" t="s">
        <v>136</v>
      </c>
      <c r="B250" s="52" t="s">
        <v>270</v>
      </c>
      <c r="C250" s="12">
        <f t="shared" si="4"/>
        <v>2863168.9129999997</v>
      </c>
      <c r="D250" s="12">
        <f t="shared" si="5"/>
        <v>0</v>
      </c>
      <c r="E250" s="12">
        <f t="shared" si="6"/>
        <v>2863168.9129999997</v>
      </c>
      <c r="F250" s="12">
        <f t="shared" si="7"/>
        <v>0</v>
      </c>
      <c r="H250" s="229" t="str">
        <f>B264</f>
        <v xml:space="preserve">Instalaciones </v>
      </c>
      <c r="I250" s="230">
        <f>E264</f>
        <v>900821.62000000011</v>
      </c>
      <c r="J250" s="15"/>
      <c r="K250" s="240"/>
      <c r="L250" s="17"/>
    </row>
    <row r="251" spans="1:13" x14ac:dyDescent="0.25">
      <c r="A251" s="119" t="s">
        <v>136</v>
      </c>
      <c r="B251" s="52" t="s">
        <v>269</v>
      </c>
      <c r="C251" s="12">
        <f t="shared" ref="C251:C282" si="13">SUMIF($B$3:$B$212,B251,$C$3:$C$212)</f>
        <v>4922687.01</v>
      </c>
      <c r="D251" s="12">
        <f t="shared" ref="D251:D282" si="14">SUMIF($B$3:$B$212,B251,$D$3:$D$212)</f>
        <v>0</v>
      </c>
      <c r="E251" s="12">
        <f t="shared" si="6"/>
        <v>4922687.01</v>
      </c>
      <c r="F251" s="12">
        <f t="shared" si="7"/>
        <v>0</v>
      </c>
      <c r="H251" s="229" t="str">
        <f>B266</f>
        <v>Iva a favor</v>
      </c>
      <c r="I251" s="230">
        <f>E266</f>
        <v>889934.3499999987</v>
      </c>
      <c r="J251" s="15"/>
      <c r="K251" s="16" t="s">
        <v>190</v>
      </c>
      <c r="L251" s="17"/>
    </row>
    <row r="252" spans="1:13" x14ac:dyDescent="0.25">
      <c r="A252" s="119" t="s">
        <v>136</v>
      </c>
      <c r="B252" s="52" t="s">
        <v>70</v>
      </c>
      <c r="C252" s="12">
        <f t="shared" si="13"/>
        <v>144251.32</v>
      </c>
      <c r="D252" s="12">
        <f t="shared" si="14"/>
        <v>0</v>
      </c>
      <c r="E252" s="12">
        <f t="shared" si="6"/>
        <v>144251.32</v>
      </c>
      <c r="F252" s="12">
        <f t="shared" si="7"/>
        <v>0</v>
      </c>
      <c r="H252" s="229" t="str">
        <f>B268</f>
        <v>Iva Credito Fiscal</v>
      </c>
      <c r="I252" s="230">
        <f>E268</f>
        <v>0</v>
      </c>
      <c r="K252" s="139" t="str">
        <f>B230</f>
        <v>Capital</v>
      </c>
      <c r="L252" s="236">
        <f>F230</f>
        <v>297550.26</v>
      </c>
    </row>
    <row r="253" spans="1:13" x14ac:dyDescent="0.25">
      <c r="A253" s="119" t="s">
        <v>136</v>
      </c>
      <c r="B253" s="52" t="s">
        <v>74</v>
      </c>
      <c r="C253" s="12">
        <f t="shared" si="13"/>
        <v>3605519.46</v>
      </c>
      <c r="D253" s="12">
        <f t="shared" si="14"/>
        <v>0</v>
      </c>
      <c r="E253" s="12">
        <f t="shared" si="6"/>
        <v>3605519.46</v>
      </c>
      <c r="F253" s="12">
        <f t="shared" si="7"/>
        <v>0</v>
      </c>
      <c r="H253" s="229" t="str">
        <f>B271</f>
        <v xml:space="preserve">Maquinarias </v>
      </c>
      <c r="I253" s="230">
        <f>E271</f>
        <v>12984132.209999999</v>
      </c>
      <c r="K253" s="139" t="str">
        <f>B281</f>
        <v>Res. No Asig.</v>
      </c>
      <c r="L253" s="236">
        <f>F281</f>
        <v>11582002.539999999</v>
      </c>
    </row>
    <row r="254" spans="1:13" x14ac:dyDescent="0.25">
      <c r="A254" s="119" t="s">
        <v>136</v>
      </c>
      <c r="B254" s="52" t="s">
        <v>68</v>
      </c>
      <c r="C254" s="12">
        <f t="shared" si="13"/>
        <v>1617671.3199999998</v>
      </c>
      <c r="D254" s="12">
        <f t="shared" si="14"/>
        <v>0</v>
      </c>
      <c r="E254" s="12">
        <f t="shared" si="6"/>
        <v>1617671.3199999998</v>
      </c>
      <c r="F254" s="12">
        <f t="shared" si="7"/>
        <v>0</v>
      </c>
      <c r="H254" s="229" t="str">
        <f t="shared" ref="H254:H257" si="15">B272</f>
        <v>Ms. Y Utiles</v>
      </c>
      <c r="I254" s="230">
        <f>E272</f>
        <v>1131560.8900000001</v>
      </c>
      <c r="K254" s="139" t="str">
        <f>B282</f>
        <v>Reserva legal</v>
      </c>
      <c r="L254" s="236">
        <f>F282</f>
        <v>59510.05</v>
      </c>
    </row>
    <row r="255" spans="1:13" x14ac:dyDescent="0.25">
      <c r="A255" s="119" t="s">
        <v>136</v>
      </c>
      <c r="B255" s="52" t="s">
        <v>66</v>
      </c>
      <c r="C255" s="12">
        <f t="shared" si="13"/>
        <v>2192985.65</v>
      </c>
      <c r="D255" s="12">
        <f t="shared" si="14"/>
        <v>0</v>
      </c>
      <c r="E255" s="12">
        <f t="shared" si="6"/>
        <v>2192985.65</v>
      </c>
      <c r="F255" s="12">
        <f t="shared" si="7"/>
        <v>0</v>
      </c>
      <c r="H255" s="229" t="str">
        <f t="shared" si="15"/>
        <v>Percepcion IIBB</v>
      </c>
      <c r="I255" s="230">
        <f>E273</f>
        <v>0</v>
      </c>
      <c r="K255" s="234" t="s">
        <v>274</v>
      </c>
      <c r="L255" s="235">
        <f>J232</f>
        <v>4214516.5054599</v>
      </c>
    </row>
    <row r="256" spans="1:13" x14ac:dyDescent="0.25">
      <c r="A256" s="119" t="s">
        <v>136</v>
      </c>
      <c r="B256" s="52" t="s">
        <v>134</v>
      </c>
      <c r="C256" s="12">
        <f t="shared" si="13"/>
        <v>1447556.93</v>
      </c>
      <c r="D256" s="12">
        <f t="shared" si="14"/>
        <v>0</v>
      </c>
      <c r="E256" s="12">
        <f t="shared" si="6"/>
        <v>1447556.93</v>
      </c>
      <c r="F256" s="12">
        <f t="shared" si="7"/>
        <v>0</v>
      </c>
      <c r="H256" s="229" t="str">
        <f t="shared" si="15"/>
        <v xml:space="preserve">Percepcion Iva </v>
      </c>
      <c r="I256" s="230">
        <f t="shared" ref="I256:I257" si="16">E274</f>
        <v>0</v>
      </c>
      <c r="K256" s="237" t="s">
        <v>289</v>
      </c>
      <c r="L256" s="228">
        <f>L252+L253+L254+L255</f>
        <v>16153579.355459899</v>
      </c>
      <c r="M256">
        <f>L256/I267</f>
        <v>0.41630134662360568</v>
      </c>
    </row>
    <row r="257" spans="1:12" x14ac:dyDescent="0.25">
      <c r="A257" s="116" t="s">
        <v>99</v>
      </c>
      <c r="B257" s="52" t="s">
        <v>77</v>
      </c>
      <c r="C257" s="12">
        <f t="shared" si="13"/>
        <v>508323.37000000023</v>
      </c>
      <c r="D257" s="12">
        <f t="shared" si="14"/>
        <v>267527.2</v>
      </c>
      <c r="E257" s="12">
        <f t="shared" si="6"/>
        <v>240796.17000000022</v>
      </c>
      <c r="F257" s="12">
        <f t="shared" si="7"/>
        <v>0</v>
      </c>
      <c r="H257" s="229" t="str">
        <f t="shared" si="15"/>
        <v>Percepciones IVA</v>
      </c>
      <c r="I257" s="230">
        <f t="shared" si="16"/>
        <v>0</v>
      </c>
    </row>
    <row r="258" spans="1:12" x14ac:dyDescent="0.25">
      <c r="A258" s="118" t="s">
        <v>100</v>
      </c>
      <c r="B258" s="52" t="s">
        <v>110</v>
      </c>
      <c r="C258" s="12">
        <f t="shared" si="13"/>
        <v>0</v>
      </c>
      <c r="D258" s="12">
        <f t="shared" si="14"/>
        <v>218581.38959774497</v>
      </c>
      <c r="E258" s="12">
        <f t="shared" si="6"/>
        <v>0</v>
      </c>
      <c r="F258" s="12">
        <f t="shared" si="7"/>
        <v>218581.38959774497</v>
      </c>
      <c r="H258" s="229" t="str">
        <f>B279</f>
        <v xml:space="preserve">Rec. Bancarias </v>
      </c>
      <c r="I258" s="230">
        <f>E279</f>
        <v>0</v>
      </c>
      <c r="L258" s="4"/>
    </row>
    <row r="259" spans="1:12" x14ac:dyDescent="0.25">
      <c r="A259" s="119" t="s">
        <v>136</v>
      </c>
      <c r="B259" s="52" t="s">
        <v>69</v>
      </c>
      <c r="C259" s="12">
        <f t="shared" si="13"/>
        <v>361723.77</v>
      </c>
      <c r="D259" s="12">
        <f t="shared" si="14"/>
        <v>361723.77</v>
      </c>
      <c r="E259" s="12">
        <f t="shared" si="6"/>
        <v>0</v>
      </c>
      <c r="F259" s="12">
        <f t="shared" si="7"/>
        <v>0</v>
      </c>
      <c r="H259" s="231" t="str">
        <f>B283</f>
        <v xml:space="preserve">Ret. Gcias. </v>
      </c>
      <c r="I259" s="230">
        <f>E283</f>
        <v>0</v>
      </c>
      <c r="K259" s="72"/>
      <c r="L259" s="24"/>
    </row>
    <row r="260" spans="1:12" x14ac:dyDescent="0.25">
      <c r="A260" s="119" t="s">
        <v>136</v>
      </c>
      <c r="B260" s="52" t="s">
        <v>225</v>
      </c>
      <c r="C260" s="12">
        <f t="shared" si="13"/>
        <v>365030.03</v>
      </c>
      <c r="D260" s="12">
        <f t="shared" si="14"/>
        <v>0</v>
      </c>
      <c r="E260" s="12">
        <f t="shared" si="6"/>
        <v>365030.03</v>
      </c>
      <c r="F260" s="12">
        <f t="shared" si="7"/>
        <v>0</v>
      </c>
      <c r="H260" s="231" t="str">
        <f t="shared" ref="H260:H264" si="17">B284</f>
        <v>Ret. IIBB</v>
      </c>
      <c r="I260" s="230">
        <f t="shared" ref="I260:I264" si="18">E284</f>
        <v>0</v>
      </c>
      <c r="K260" t="s">
        <v>192</v>
      </c>
      <c r="L260" s="4"/>
    </row>
    <row r="261" spans="1:12" x14ac:dyDescent="0.25">
      <c r="A261" s="118" t="s">
        <v>100</v>
      </c>
      <c r="B261" s="52" t="s">
        <v>242</v>
      </c>
      <c r="C261" s="12">
        <f t="shared" si="13"/>
        <v>251627.2</v>
      </c>
      <c r="D261" s="12">
        <f t="shared" si="14"/>
        <v>327293.84000000003</v>
      </c>
      <c r="E261" s="12">
        <f t="shared" si="6"/>
        <v>0</v>
      </c>
      <c r="F261" s="12">
        <f t="shared" si="7"/>
        <v>75666.640000000014</v>
      </c>
      <c r="H261" s="231" t="str">
        <f t="shared" si="17"/>
        <v>Retencion de SS</v>
      </c>
      <c r="I261" s="230">
        <f t="shared" si="18"/>
        <v>0</v>
      </c>
      <c r="L261" s="4"/>
    </row>
    <row r="262" spans="1:12" x14ac:dyDescent="0.25">
      <c r="A262" s="119" t="s">
        <v>136</v>
      </c>
      <c r="B262" s="52" t="s">
        <v>111</v>
      </c>
      <c r="C262" s="12">
        <f t="shared" si="13"/>
        <v>919377.98959774501</v>
      </c>
      <c r="D262" s="12">
        <f t="shared" si="14"/>
        <v>0</v>
      </c>
      <c r="E262" s="12">
        <f t="shared" si="6"/>
        <v>919377.98959774501</v>
      </c>
      <c r="F262" s="12">
        <f t="shared" si="7"/>
        <v>0</v>
      </c>
      <c r="H262" s="231" t="str">
        <f t="shared" si="17"/>
        <v>Retenciones IVA</v>
      </c>
      <c r="I262" s="230">
        <f t="shared" si="18"/>
        <v>0</v>
      </c>
      <c r="K262" s="23"/>
      <c r="L262" s="24"/>
    </row>
    <row r="263" spans="1:12" x14ac:dyDescent="0.25">
      <c r="A263" s="119" t="s">
        <v>136</v>
      </c>
      <c r="B263" s="52" t="s">
        <v>80</v>
      </c>
      <c r="C263" s="12">
        <f t="shared" si="13"/>
        <v>769653.74999999988</v>
      </c>
      <c r="D263" s="12">
        <f t="shared" si="14"/>
        <v>0</v>
      </c>
      <c r="E263" s="12">
        <f t="shared" si="6"/>
        <v>769653.74999999988</v>
      </c>
      <c r="F263" s="12">
        <f t="shared" si="7"/>
        <v>0</v>
      </c>
      <c r="H263" s="231" t="str">
        <f t="shared" si="17"/>
        <v>Rodados</v>
      </c>
      <c r="I263" s="230">
        <f t="shared" si="18"/>
        <v>23056372.390000001</v>
      </c>
      <c r="K263" t="s">
        <v>192</v>
      </c>
    </row>
    <row r="264" spans="1:12" x14ac:dyDescent="0.25">
      <c r="A264" s="116" t="s">
        <v>99</v>
      </c>
      <c r="B264" s="52" t="s">
        <v>50</v>
      </c>
      <c r="C264" s="12">
        <f t="shared" si="13"/>
        <v>900821.62000000011</v>
      </c>
      <c r="D264" s="12">
        <f t="shared" si="14"/>
        <v>0</v>
      </c>
      <c r="E264" s="12">
        <f t="shared" si="6"/>
        <v>900821.62000000011</v>
      </c>
      <c r="F264" s="12">
        <f t="shared" si="7"/>
        <v>0</v>
      </c>
      <c r="H264" s="231" t="str">
        <f t="shared" si="17"/>
        <v>Saldo libre ganancias</v>
      </c>
      <c r="I264" s="230">
        <f t="shared" si="18"/>
        <v>0</v>
      </c>
      <c r="K264" s="23"/>
      <c r="L264" s="24"/>
    </row>
    <row r="265" spans="1:12" x14ac:dyDescent="0.25">
      <c r="A265" s="119" t="s">
        <v>136</v>
      </c>
      <c r="B265" s="52" t="s">
        <v>129</v>
      </c>
      <c r="C265" s="12">
        <f t="shared" si="13"/>
        <v>154625.34</v>
      </c>
      <c r="D265" s="12">
        <f t="shared" si="14"/>
        <v>0</v>
      </c>
      <c r="E265" s="12">
        <f t="shared" si="6"/>
        <v>154625.34</v>
      </c>
      <c r="F265" s="12">
        <f t="shared" si="7"/>
        <v>0</v>
      </c>
      <c r="H265" s="232" t="str">
        <f>B290</f>
        <v>Sementeras</v>
      </c>
      <c r="I265" s="233">
        <f>E290</f>
        <v>5566290.4864000008</v>
      </c>
    </row>
    <row r="266" spans="1:12" x14ac:dyDescent="0.25">
      <c r="A266" s="116" t="s">
        <v>99</v>
      </c>
      <c r="B266" s="52" t="s">
        <v>46</v>
      </c>
      <c r="C266" s="12">
        <f t="shared" si="13"/>
        <v>889934.3499999987</v>
      </c>
      <c r="D266" s="12">
        <f t="shared" si="14"/>
        <v>0</v>
      </c>
      <c r="E266" s="12">
        <f t="shared" si="6"/>
        <v>889934.3499999987</v>
      </c>
      <c r="F266" s="12">
        <f t="shared" si="7"/>
        <v>0</v>
      </c>
      <c r="H266" s="232" t="str">
        <f>B291</f>
        <v>Semillas</v>
      </c>
      <c r="I266" s="233">
        <f>E291</f>
        <v>0</v>
      </c>
      <c r="K266" s="126"/>
      <c r="L266" s="4"/>
    </row>
    <row r="267" spans="1:12" x14ac:dyDescent="0.25">
      <c r="A267" s="118" t="s">
        <v>100</v>
      </c>
      <c r="B267" s="52" t="s">
        <v>81</v>
      </c>
      <c r="C267" s="12">
        <f t="shared" si="13"/>
        <v>50808.97</v>
      </c>
      <c r="D267" s="12">
        <f t="shared" si="14"/>
        <v>86068.44</v>
      </c>
      <c r="E267" s="12">
        <f t="shared" si="6"/>
        <v>0</v>
      </c>
      <c r="F267" s="12">
        <f t="shared" si="7"/>
        <v>35259.47</v>
      </c>
      <c r="H267" s="13" t="s">
        <v>102</v>
      </c>
      <c r="I267" s="14">
        <f>SUM(I235:I266)</f>
        <v>38802611.345057651</v>
      </c>
      <c r="K267" s="13" t="s">
        <v>105</v>
      </c>
      <c r="L267" s="14">
        <f>L249+L256</f>
        <v>38802611.345057651</v>
      </c>
    </row>
    <row r="268" spans="1:12" x14ac:dyDescent="0.25">
      <c r="A268" s="116" t="s">
        <v>99</v>
      </c>
      <c r="B268" s="52" t="s">
        <v>71</v>
      </c>
      <c r="C268" s="12">
        <f t="shared" si="13"/>
        <v>6670564.879999999</v>
      </c>
      <c r="D268" s="12">
        <f t="shared" si="14"/>
        <v>6670564.879999999</v>
      </c>
      <c r="E268" s="12">
        <f t="shared" si="6"/>
        <v>0</v>
      </c>
      <c r="F268" s="12">
        <f t="shared" si="7"/>
        <v>0</v>
      </c>
      <c r="I268" s="4"/>
      <c r="L268" s="4"/>
    </row>
    <row r="269" spans="1:12" x14ac:dyDescent="0.25">
      <c r="A269" s="118" t="s">
        <v>100</v>
      </c>
      <c r="B269" s="52" t="s">
        <v>64</v>
      </c>
      <c r="C269" s="12">
        <f t="shared" si="13"/>
        <v>7328284.6100000003</v>
      </c>
      <c r="D269" s="12">
        <f t="shared" si="14"/>
        <v>7328284.6100000003</v>
      </c>
      <c r="E269" s="12">
        <f t="shared" si="6"/>
        <v>0</v>
      </c>
      <c r="F269" s="12">
        <f t="shared" si="7"/>
        <v>0</v>
      </c>
      <c r="H269" s="11" t="s">
        <v>106</v>
      </c>
      <c r="I269" s="4"/>
      <c r="K269" t="s">
        <v>192</v>
      </c>
      <c r="L269" s="4"/>
    </row>
    <row r="270" spans="1:12" x14ac:dyDescent="0.25">
      <c r="A270" s="119" t="s">
        <v>136</v>
      </c>
      <c r="B270" s="52" t="s">
        <v>67</v>
      </c>
      <c r="C270" s="12">
        <f t="shared" si="13"/>
        <v>109535.47999999998</v>
      </c>
      <c r="D270" s="12">
        <f t="shared" si="14"/>
        <v>0</v>
      </c>
      <c r="E270" s="12">
        <f t="shared" si="6"/>
        <v>109535.47999999998</v>
      </c>
      <c r="F270" s="12">
        <f t="shared" si="7"/>
        <v>0</v>
      </c>
      <c r="H270" t="s">
        <v>112</v>
      </c>
      <c r="I270" s="4">
        <f>J230</f>
        <v>5133894.4950576453</v>
      </c>
      <c r="K270" t="s">
        <v>192</v>
      </c>
      <c r="L270" s="4"/>
    </row>
    <row r="271" spans="1:12" x14ac:dyDescent="0.25">
      <c r="A271" s="116" t="s">
        <v>99</v>
      </c>
      <c r="B271" s="52" t="s">
        <v>48</v>
      </c>
      <c r="C271" s="12">
        <f t="shared" si="13"/>
        <v>12984132.209999999</v>
      </c>
      <c r="D271" s="12">
        <f t="shared" si="14"/>
        <v>0</v>
      </c>
      <c r="E271" s="12">
        <f t="shared" si="6"/>
        <v>12984132.209999999</v>
      </c>
      <c r="F271" s="12">
        <f t="shared" si="7"/>
        <v>0</v>
      </c>
      <c r="H271" t="s">
        <v>154</v>
      </c>
      <c r="I271" s="4">
        <f>-J229</f>
        <v>-5785391.6099999985</v>
      </c>
      <c r="L271" s="4"/>
    </row>
    <row r="272" spans="1:12" x14ac:dyDescent="0.25">
      <c r="A272" s="116" t="s">
        <v>99</v>
      </c>
      <c r="B272" s="52" t="s">
        <v>76</v>
      </c>
      <c r="C272" s="12">
        <f t="shared" si="13"/>
        <v>1131560.8900000001</v>
      </c>
      <c r="D272" s="12">
        <f t="shared" si="14"/>
        <v>0</v>
      </c>
      <c r="E272" s="12">
        <f t="shared" si="6"/>
        <v>1131560.8900000001</v>
      </c>
      <c r="F272" s="12">
        <f t="shared" si="7"/>
        <v>0</v>
      </c>
      <c r="G272" s="15"/>
      <c r="H272" t="s">
        <v>287</v>
      </c>
      <c r="I272" s="4">
        <v>345940.14</v>
      </c>
      <c r="L272" s="4"/>
    </row>
    <row r="273" spans="1:13" x14ac:dyDescent="0.25">
      <c r="A273" s="116" t="s">
        <v>99</v>
      </c>
      <c r="B273" s="52" t="s">
        <v>170</v>
      </c>
      <c r="C273" s="12">
        <f t="shared" si="13"/>
        <v>138209.37</v>
      </c>
      <c r="D273" s="12">
        <f t="shared" si="14"/>
        <v>138209.37</v>
      </c>
      <c r="E273" s="12">
        <f t="shared" si="6"/>
        <v>0</v>
      </c>
      <c r="F273" s="12">
        <f t="shared" si="7"/>
        <v>0</v>
      </c>
      <c r="G273" s="15"/>
      <c r="H273" t="s">
        <v>288</v>
      </c>
      <c r="I273" s="4">
        <f>2349310.22/6</f>
        <v>391551.70333333337</v>
      </c>
      <c r="L273" s="4"/>
    </row>
    <row r="274" spans="1:13" x14ac:dyDescent="0.25">
      <c r="A274" s="116" t="s">
        <v>99</v>
      </c>
      <c r="B274" s="52" t="s">
        <v>169</v>
      </c>
      <c r="C274" s="12">
        <f t="shared" si="13"/>
        <v>0</v>
      </c>
      <c r="D274" s="12">
        <f t="shared" si="14"/>
        <v>0</v>
      </c>
      <c r="E274" s="12">
        <f t="shared" si="6"/>
        <v>0</v>
      </c>
      <c r="F274" s="12">
        <f t="shared" si="7"/>
        <v>0</v>
      </c>
      <c r="G274" s="15"/>
      <c r="H274" t="s">
        <v>286</v>
      </c>
      <c r="I274" s="26">
        <v>3591517.23</v>
      </c>
      <c r="L274" s="4"/>
    </row>
    <row r="275" spans="1:13" x14ac:dyDescent="0.25">
      <c r="A275" s="116" t="s">
        <v>99</v>
      </c>
      <c r="B275" s="52" t="s">
        <v>84</v>
      </c>
      <c r="C275" s="12">
        <f t="shared" si="13"/>
        <v>39452.57</v>
      </c>
      <c r="D275" s="12">
        <f t="shared" si="14"/>
        <v>39452.57</v>
      </c>
      <c r="E275" s="12">
        <f t="shared" si="6"/>
        <v>0</v>
      </c>
      <c r="F275" s="12">
        <f t="shared" si="7"/>
        <v>0</v>
      </c>
      <c r="G275" s="15"/>
      <c r="H275" s="126" t="s">
        <v>155</v>
      </c>
      <c r="I275" s="26">
        <f>SUM(I270:I274)</f>
        <v>3677511.95839098</v>
      </c>
      <c r="J275" s="26"/>
      <c r="L275" s="4"/>
    </row>
    <row r="276" spans="1:13" x14ac:dyDescent="0.25">
      <c r="A276" s="118" t="s">
        <v>100</v>
      </c>
      <c r="B276" s="52" t="s">
        <v>223</v>
      </c>
      <c r="C276" s="12">
        <f t="shared" si="13"/>
        <v>60205.03</v>
      </c>
      <c r="D276" s="12">
        <f t="shared" si="14"/>
        <v>109461.72</v>
      </c>
      <c r="E276" s="12">
        <f t="shared" si="6"/>
        <v>0</v>
      </c>
      <c r="F276" s="12">
        <f t="shared" si="7"/>
        <v>49256.69</v>
      </c>
      <c r="G276" s="15"/>
      <c r="H276" t="s">
        <v>107</v>
      </c>
      <c r="I276" s="26">
        <f>I275*25%</f>
        <v>919377.98959774501</v>
      </c>
      <c r="J276" s="26"/>
    </row>
    <row r="277" spans="1:13" x14ac:dyDescent="0.25">
      <c r="A277" s="118" t="s">
        <v>100</v>
      </c>
      <c r="B277" s="52" t="s">
        <v>224</v>
      </c>
      <c r="C277" s="12">
        <f t="shared" si="13"/>
        <v>419763</v>
      </c>
      <c r="D277" s="12">
        <f t="shared" si="14"/>
        <v>639000</v>
      </c>
      <c r="E277" s="12">
        <f t="shared" si="6"/>
        <v>0</v>
      </c>
      <c r="F277" s="12">
        <f t="shared" si="7"/>
        <v>219237</v>
      </c>
      <c r="G277" s="15"/>
      <c r="H277" t="s">
        <v>122</v>
      </c>
      <c r="I277" s="87">
        <v>-405353.75</v>
      </c>
      <c r="J277" s="26"/>
    </row>
    <row r="278" spans="1:13" x14ac:dyDescent="0.25">
      <c r="A278" s="118" t="s">
        <v>100</v>
      </c>
      <c r="B278" s="52" t="s">
        <v>271</v>
      </c>
      <c r="C278" s="12">
        <f t="shared" si="13"/>
        <v>0</v>
      </c>
      <c r="D278" s="12">
        <f t="shared" si="14"/>
        <v>4484719.1400000006</v>
      </c>
      <c r="E278" s="12">
        <f t="shared" si="6"/>
        <v>0</v>
      </c>
      <c r="F278" s="12">
        <f t="shared" si="7"/>
        <v>4484719.1400000006</v>
      </c>
      <c r="G278" s="15"/>
      <c r="H278" t="s">
        <v>152</v>
      </c>
      <c r="I278" s="87">
        <v>-361723.77</v>
      </c>
      <c r="J278" s="26"/>
      <c r="L278" s="4"/>
    </row>
    <row r="279" spans="1:13" x14ac:dyDescent="0.25">
      <c r="A279" s="116" t="s">
        <v>99</v>
      </c>
      <c r="B279" s="52" t="s">
        <v>75</v>
      </c>
      <c r="C279" s="12">
        <f t="shared" si="13"/>
        <v>135877.04</v>
      </c>
      <c r="D279" s="12">
        <f t="shared" si="14"/>
        <v>135877.04</v>
      </c>
      <c r="E279" s="12">
        <f t="shared" si="6"/>
        <v>0</v>
      </c>
      <c r="F279" s="12">
        <f t="shared" si="7"/>
        <v>0</v>
      </c>
      <c r="G279" s="15"/>
      <c r="H279" s="126" t="s">
        <v>108</v>
      </c>
      <c r="I279" s="4">
        <f>SUM(I276:I278)</f>
        <v>152300.46959774499</v>
      </c>
      <c r="L279" s="4"/>
    </row>
    <row r="280" spans="1:13" x14ac:dyDescent="0.25">
      <c r="A280" s="125" t="s">
        <v>135</v>
      </c>
      <c r="B280" s="52" t="s">
        <v>153</v>
      </c>
      <c r="C280" s="12">
        <f t="shared" si="13"/>
        <v>0</v>
      </c>
      <c r="D280" s="12">
        <f t="shared" si="14"/>
        <v>5785391.6099999985</v>
      </c>
      <c r="E280" s="12">
        <f t="shared" si="6"/>
        <v>0</v>
      </c>
      <c r="F280" s="12">
        <f t="shared" si="7"/>
        <v>5785391.6099999985</v>
      </c>
      <c r="G280" s="15"/>
      <c r="I280" s="4"/>
      <c r="L280" s="4"/>
    </row>
    <row r="281" spans="1:13" x14ac:dyDescent="0.25">
      <c r="A281" s="118" t="s">
        <v>104</v>
      </c>
      <c r="B281" s="52" t="s">
        <v>51</v>
      </c>
      <c r="C281" s="12">
        <f t="shared" si="13"/>
        <v>0</v>
      </c>
      <c r="D281" s="12">
        <f t="shared" si="14"/>
        <v>11582002.539999999</v>
      </c>
      <c r="E281" s="12">
        <f t="shared" si="6"/>
        <v>0</v>
      </c>
      <c r="F281" s="12">
        <f t="shared" si="7"/>
        <v>11582002.539999999</v>
      </c>
      <c r="G281" s="15"/>
      <c r="I281" s="4"/>
      <c r="L281" s="4"/>
    </row>
    <row r="282" spans="1:13" x14ac:dyDescent="0.25">
      <c r="A282" s="118" t="s">
        <v>104</v>
      </c>
      <c r="B282" s="52" t="s">
        <v>243</v>
      </c>
      <c r="C282" s="12">
        <f t="shared" si="13"/>
        <v>0</v>
      </c>
      <c r="D282" s="12">
        <f t="shared" si="14"/>
        <v>59510.05</v>
      </c>
      <c r="E282" s="12">
        <f t="shared" si="6"/>
        <v>0</v>
      </c>
      <c r="F282" s="12">
        <f t="shared" si="7"/>
        <v>59510.05</v>
      </c>
      <c r="G282" s="15"/>
      <c r="M282" s="127"/>
    </row>
    <row r="283" spans="1:13" x14ac:dyDescent="0.25">
      <c r="A283" s="116" t="s">
        <v>99</v>
      </c>
      <c r="B283" s="52" t="s">
        <v>47</v>
      </c>
      <c r="C283" s="12">
        <f t="shared" ref="C283:C297" si="19">SUMIF($B$3:$B$212,B283,$C$3:$C$212)</f>
        <v>405353.75</v>
      </c>
      <c r="D283" s="12">
        <f t="shared" ref="D283:D297" si="20">SUMIF($B$3:$B$212,B283,$D$3:$D$212)</f>
        <v>405353.75</v>
      </c>
      <c r="E283" s="12">
        <f t="shared" si="6"/>
        <v>0</v>
      </c>
      <c r="F283" s="12">
        <f t="shared" si="7"/>
        <v>0</v>
      </c>
      <c r="G283" s="15"/>
      <c r="I283" s="4"/>
      <c r="L283" s="4"/>
      <c r="M283" s="4"/>
    </row>
    <row r="284" spans="1:13" x14ac:dyDescent="0.25">
      <c r="A284" s="116" t="s">
        <v>99</v>
      </c>
      <c r="B284" s="52" t="s">
        <v>62</v>
      </c>
      <c r="C284" s="12">
        <f t="shared" si="19"/>
        <v>403218.23000000004</v>
      </c>
      <c r="D284" s="12">
        <f t="shared" si="20"/>
        <v>403218.23000000004</v>
      </c>
      <c r="E284" s="12">
        <f t="shared" ref="E284:E289" si="21">IF(C284&gt;D284,C284-D284,0)</f>
        <v>0</v>
      </c>
      <c r="F284" s="12">
        <f t="shared" ref="F284:F289" si="22">IF(D284&gt;C284,D284-C284,0)</f>
        <v>0</v>
      </c>
      <c r="I284" s="4"/>
      <c r="L284" s="4"/>
      <c r="M284" s="4"/>
    </row>
    <row r="285" spans="1:13" x14ac:dyDescent="0.25">
      <c r="A285" s="116" t="s">
        <v>99</v>
      </c>
      <c r="B285" s="52" t="s">
        <v>171</v>
      </c>
      <c r="C285" s="12">
        <f t="shared" si="19"/>
        <v>166585.11999999997</v>
      </c>
      <c r="D285" s="12">
        <f t="shared" si="20"/>
        <v>166585.11999999997</v>
      </c>
      <c r="E285" s="12">
        <f t="shared" si="21"/>
        <v>0</v>
      </c>
      <c r="F285" s="12">
        <f t="shared" si="22"/>
        <v>0</v>
      </c>
    </row>
    <row r="286" spans="1:13" x14ac:dyDescent="0.25">
      <c r="A286" s="116" t="s">
        <v>99</v>
      </c>
      <c r="B286" s="52" t="s">
        <v>82</v>
      </c>
      <c r="C286" s="12">
        <f t="shared" si="19"/>
        <v>1430925.2500000002</v>
      </c>
      <c r="D286" s="12">
        <f t="shared" si="20"/>
        <v>1430925.2500000002</v>
      </c>
      <c r="E286" s="12">
        <f t="shared" si="21"/>
        <v>0</v>
      </c>
      <c r="F286" s="12">
        <f t="shared" si="22"/>
        <v>0</v>
      </c>
    </row>
    <row r="287" spans="1:13" x14ac:dyDescent="0.25">
      <c r="A287" s="116" t="s">
        <v>99</v>
      </c>
      <c r="B287" s="52" t="s">
        <v>32</v>
      </c>
      <c r="C287" s="12">
        <f t="shared" si="19"/>
        <v>23056372.390000001</v>
      </c>
      <c r="D287" s="12">
        <f t="shared" si="20"/>
        <v>0</v>
      </c>
      <c r="E287" s="12">
        <f t="shared" si="21"/>
        <v>23056372.390000001</v>
      </c>
      <c r="F287" s="12">
        <f t="shared" si="22"/>
        <v>0</v>
      </c>
    </row>
    <row r="288" spans="1:13" x14ac:dyDescent="0.25">
      <c r="A288" s="116" t="s">
        <v>99</v>
      </c>
      <c r="B288" s="52" t="s">
        <v>109</v>
      </c>
      <c r="C288" s="12">
        <f t="shared" si="19"/>
        <v>0</v>
      </c>
      <c r="D288" s="12">
        <f t="shared" si="20"/>
        <v>0</v>
      </c>
      <c r="E288" s="12">
        <f t="shared" si="21"/>
        <v>0</v>
      </c>
      <c r="F288" s="12">
        <f t="shared" si="22"/>
        <v>0</v>
      </c>
    </row>
    <row r="289" spans="1:10" x14ac:dyDescent="0.25">
      <c r="A289" s="119" t="s">
        <v>136</v>
      </c>
      <c r="B289" s="52" t="s">
        <v>167</v>
      </c>
      <c r="C289" s="12">
        <f t="shared" si="19"/>
        <v>935784.09000000008</v>
      </c>
      <c r="D289" s="12">
        <f t="shared" si="20"/>
        <v>0</v>
      </c>
      <c r="E289" s="12">
        <f t="shared" si="21"/>
        <v>935784.09000000008</v>
      </c>
      <c r="F289" s="12">
        <f t="shared" si="22"/>
        <v>0</v>
      </c>
    </row>
    <row r="290" spans="1:10" x14ac:dyDescent="0.25">
      <c r="A290" s="117" t="s">
        <v>99</v>
      </c>
      <c r="B290" s="52" t="s">
        <v>239</v>
      </c>
      <c r="C290" s="12">
        <f t="shared" si="19"/>
        <v>5566290.4864000008</v>
      </c>
      <c r="D290" s="12">
        <f t="shared" si="20"/>
        <v>0</v>
      </c>
      <c r="E290" s="12">
        <f t="shared" ref="E290" si="23">IF(C290&gt;D290,C290-D290,0)</f>
        <v>5566290.4864000008</v>
      </c>
      <c r="F290" s="12">
        <f t="shared" ref="F290" si="24">IF(D290&gt;C290,D290-C290,0)</f>
        <v>0</v>
      </c>
    </row>
    <row r="291" spans="1:10" x14ac:dyDescent="0.25">
      <c r="A291" s="117" t="s">
        <v>99</v>
      </c>
      <c r="B291" s="52" t="s">
        <v>166</v>
      </c>
      <c r="C291" s="12">
        <f t="shared" si="19"/>
        <v>0</v>
      </c>
      <c r="D291" s="12">
        <f t="shared" si="20"/>
        <v>0</v>
      </c>
      <c r="E291" s="12">
        <f t="shared" ref="E291:E292" si="25">IF(C291&gt;D291,C291-D291,0)</f>
        <v>0</v>
      </c>
      <c r="F291" s="12">
        <f t="shared" ref="F291:F292" si="26">IF(D291&gt;C291,D291-C291,0)</f>
        <v>0</v>
      </c>
    </row>
    <row r="292" spans="1:10" x14ac:dyDescent="0.25">
      <c r="A292" s="119" t="s">
        <v>136</v>
      </c>
      <c r="B292" s="52" t="s">
        <v>222</v>
      </c>
      <c r="C292" s="12">
        <f t="shared" si="19"/>
        <v>4106001.1764000002</v>
      </c>
      <c r="D292" s="12">
        <f t="shared" si="20"/>
        <v>4106001.1764000002</v>
      </c>
      <c r="E292" s="12">
        <f t="shared" si="25"/>
        <v>0</v>
      </c>
      <c r="F292" s="12">
        <f t="shared" si="26"/>
        <v>0</v>
      </c>
    </row>
    <row r="293" spans="1:10" x14ac:dyDescent="0.25">
      <c r="A293" s="118" t="s">
        <v>100</v>
      </c>
      <c r="B293" s="52" t="s">
        <v>132</v>
      </c>
      <c r="C293" s="12">
        <f t="shared" si="19"/>
        <v>15900</v>
      </c>
      <c r="D293" s="12">
        <f t="shared" si="20"/>
        <v>1283213.5</v>
      </c>
      <c r="E293" s="12">
        <f t="shared" ref="E293:E297" si="27">IF(C293&gt;D293,C293-D293,0)</f>
        <v>0</v>
      </c>
      <c r="F293" s="12">
        <f t="shared" ref="F293:F297" si="28">IF(D293&gt;C293,D293-C293,0)</f>
        <v>1267313.5</v>
      </c>
      <c r="I293" t="s">
        <v>192</v>
      </c>
    </row>
    <row r="294" spans="1:10" x14ac:dyDescent="0.25">
      <c r="A294" s="118" t="s">
        <v>100</v>
      </c>
      <c r="B294" s="52" t="s">
        <v>56</v>
      </c>
      <c r="C294" s="12">
        <f t="shared" si="19"/>
        <v>0</v>
      </c>
      <c r="D294" s="12">
        <f t="shared" si="20"/>
        <v>1340577.17</v>
      </c>
      <c r="E294" s="12">
        <f t="shared" si="27"/>
        <v>0</v>
      </c>
      <c r="F294" s="12">
        <f t="shared" si="28"/>
        <v>1340577.17</v>
      </c>
    </row>
    <row r="295" spans="1:10" x14ac:dyDescent="0.25">
      <c r="A295" s="119" t="s">
        <v>136</v>
      </c>
      <c r="B295" s="52" t="s">
        <v>72</v>
      </c>
      <c r="C295" s="12">
        <f t="shared" si="19"/>
        <v>2278653.3199999998</v>
      </c>
      <c r="D295" s="12">
        <f t="shared" si="20"/>
        <v>0</v>
      </c>
      <c r="E295" s="12">
        <f t="shared" si="27"/>
        <v>2278653.3199999998</v>
      </c>
      <c r="F295" s="12">
        <f t="shared" si="28"/>
        <v>0</v>
      </c>
    </row>
    <row r="296" spans="1:10" x14ac:dyDescent="0.25">
      <c r="A296" s="118" t="s">
        <v>100</v>
      </c>
      <c r="B296" s="52" t="s">
        <v>55</v>
      </c>
      <c r="C296" s="12">
        <f t="shared" si="19"/>
        <v>1430421.28</v>
      </c>
      <c r="D296" s="12">
        <f t="shared" si="20"/>
        <v>1700651.63</v>
      </c>
      <c r="E296" s="12">
        <f t="shared" si="27"/>
        <v>0</v>
      </c>
      <c r="F296" s="12">
        <f t="shared" si="28"/>
        <v>270230.34999999986</v>
      </c>
    </row>
    <row r="297" spans="1:10" x14ac:dyDescent="0.25">
      <c r="A297" s="125" t="s">
        <v>135</v>
      </c>
      <c r="B297" s="52" t="s">
        <v>63</v>
      </c>
      <c r="C297" s="12">
        <f t="shared" si="19"/>
        <v>0</v>
      </c>
      <c r="D297" s="12">
        <f t="shared" si="20"/>
        <v>38483227.739999995</v>
      </c>
      <c r="E297" s="12">
        <f t="shared" si="27"/>
        <v>0</v>
      </c>
      <c r="F297" s="12">
        <f t="shared" si="28"/>
        <v>38483227.739999995</v>
      </c>
      <c r="J297" t="s">
        <v>192</v>
      </c>
    </row>
    <row r="298" spans="1:10" x14ac:dyDescent="0.25">
      <c r="C298" s="228">
        <f>SUM(C219:C297)</f>
        <v>155557480.11734009</v>
      </c>
      <c r="D298" s="228">
        <f t="shared" ref="D298:F298" si="29">SUM(D219:D297)</f>
        <v>155557480.11734012</v>
      </c>
      <c r="E298" s="228">
        <f t="shared" si="29"/>
        <v>92282135.121540099</v>
      </c>
      <c r="F298" s="228">
        <f t="shared" si="29"/>
        <v>92282135.121540084</v>
      </c>
    </row>
  </sheetData>
  <sortState ref="K16:K94">
    <sortCondition ref="K16"/>
  </sortState>
  <mergeCells count="35">
    <mergeCell ref="H210:I210"/>
    <mergeCell ref="H209:I209"/>
    <mergeCell ref="H208:I208"/>
    <mergeCell ref="E170:F205"/>
    <mergeCell ref="H211:I211"/>
    <mergeCell ref="H207:I207"/>
    <mergeCell ref="H206:I206"/>
    <mergeCell ref="H205:I205"/>
    <mergeCell ref="H204:I204"/>
    <mergeCell ref="H203:I203"/>
    <mergeCell ref="H202:I202"/>
    <mergeCell ref="H232:I232"/>
    <mergeCell ref="H230:I230"/>
    <mergeCell ref="H231:I231"/>
    <mergeCell ref="H225:I225"/>
    <mergeCell ref="H226:I226"/>
    <mergeCell ref="H227:I227"/>
    <mergeCell ref="H228:I228"/>
    <mergeCell ref="H229:I229"/>
    <mergeCell ref="H224:I224"/>
    <mergeCell ref="H212:I212"/>
    <mergeCell ref="H213:I213"/>
    <mergeCell ref="B217:B218"/>
    <mergeCell ref="H218:I218"/>
    <mergeCell ref="H219:I219"/>
    <mergeCell ref="C217:D217"/>
    <mergeCell ref="E217:F217"/>
    <mergeCell ref="H220:I220"/>
    <mergeCell ref="H221:I221"/>
    <mergeCell ref="H222:I222"/>
    <mergeCell ref="H223:I223"/>
    <mergeCell ref="H215:I215"/>
    <mergeCell ref="H216:I216"/>
    <mergeCell ref="H217:I217"/>
    <mergeCell ref="H214:I214"/>
  </mergeCells>
  <dataValidations count="10">
    <dataValidation type="list" allowBlank="1" showInputMessage="1" showErrorMessage="1" sqref="B212 B207 B163:B165">
      <formula1>$K$16:$K$101</formula1>
    </dataValidation>
    <dataValidation type="list" allowBlank="1" showInputMessage="1" showErrorMessage="1" sqref="B208:B211 B4:B10 B77 B37:B41 B126:B149 B166:B206">
      <formula1>$K$16:$K$102</formula1>
    </dataValidation>
    <dataValidation type="list" allowBlank="1" showInputMessage="1" showErrorMessage="1" sqref="B156:B159 B69:B76 B100:B119 B124:B125 B78:B98 B42:B60 B150 B62:B67 B121:B122">
      <formula1>$K$16:$K$80</formula1>
    </dataValidation>
    <dataValidation type="list" allowBlank="1" showInputMessage="1" showErrorMessage="1" sqref="B151:B155 B99 B61 B160:B162">
      <formula1>$K$16:$K$92</formula1>
    </dataValidation>
    <dataValidation type="list" allowBlank="1" showInputMessage="1" showErrorMessage="1" sqref="B3 B11:B15">
      <formula1>$K$18:$K$102</formula1>
    </dataValidation>
    <dataValidation type="list" allowBlank="1" showInputMessage="1" showErrorMessage="1" sqref="B20:B36 B18 B16">
      <formula1>$K$18:$K$83</formula1>
    </dataValidation>
    <dataValidation type="list" allowBlank="1" showInputMessage="1" showErrorMessage="1" sqref="B19">
      <formula1>$K$18:$K$104</formula1>
    </dataValidation>
    <dataValidation type="list" allowBlank="1" showInputMessage="1" showErrorMessage="1" sqref="B17">
      <formula1>$K$18:$K$91</formula1>
    </dataValidation>
    <dataValidation type="list" allowBlank="1" showInputMessage="1" showErrorMessage="1" sqref="B123 B120">
      <formula1>$K$16:$K$93</formula1>
    </dataValidation>
    <dataValidation type="list" allowBlank="1" showInputMessage="1" showErrorMessage="1" sqref="B68">
      <formula1>$K$16:$K$94</formula1>
    </dataValidation>
  </dataValidations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Q75"/>
  <sheetViews>
    <sheetView topLeftCell="A13" zoomScale="80" zoomScaleNormal="80" workbookViewId="0">
      <selection activeCell="L38" activeCellId="2" sqref="L9 L26:L29 L38:L39"/>
    </sheetView>
  </sheetViews>
  <sheetFormatPr baseColWidth="10" defaultColWidth="11.42578125" defaultRowHeight="15" x14ac:dyDescent="0.25"/>
  <cols>
    <col min="1" max="1" width="5.7109375" style="98" customWidth="1"/>
    <col min="2" max="2" width="23.85546875" style="98" customWidth="1"/>
    <col min="3" max="3" width="11.42578125" style="98" customWidth="1"/>
    <col min="4" max="4" width="11.140625" style="98" customWidth="1"/>
    <col min="5" max="5" width="11.28515625" style="98" customWidth="1"/>
    <col min="6" max="6" width="14.28515625" style="98" customWidth="1"/>
    <col min="7" max="7" width="12.28515625" style="98" customWidth="1"/>
    <col min="8" max="8" width="13.42578125" style="98" customWidth="1"/>
    <col min="9" max="9" width="11.140625" style="98" customWidth="1"/>
    <col min="10" max="10" width="13.7109375" style="98" customWidth="1"/>
    <col min="11" max="12" width="12.42578125" style="98" bestFit="1" customWidth="1"/>
    <col min="13" max="14" width="11.42578125" style="98"/>
    <col min="15" max="15" width="12.42578125" style="98" bestFit="1" customWidth="1"/>
    <col min="16" max="16384" width="11.42578125" style="98"/>
  </cols>
  <sheetData>
    <row r="2" spans="2:12" ht="45" x14ac:dyDescent="0.25">
      <c r="B2" s="176" t="s">
        <v>23</v>
      </c>
      <c r="C2" s="176" t="s">
        <v>26</v>
      </c>
      <c r="D2" s="176" t="s">
        <v>24</v>
      </c>
      <c r="E2" s="176" t="s">
        <v>276</v>
      </c>
      <c r="F2" s="176" t="s">
        <v>277</v>
      </c>
      <c r="G2" s="176" t="s">
        <v>146</v>
      </c>
      <c r="H2" s="176" t="s">
        <v>150</v>
      </c>
      <c r="I2" s="176" t="s">
        <v>90</v>
      </c>
      <c r="J2" s="176" t="s">
        <v>25</v>
      </c>
      <c r="K2" s="98" t="s">
        <v>199</v>
      </c>
      <c r="L2" s="98" t="s">
        <v>200</v>
      </c>
    </row>
    <row r="3" spans="2:12" x14ac:dyDescent="0.25">
      <c r="B3" s="244" t="s">
        <v>39</v>
      </c>
      <c r="C3" s="106"/>
      <c r="D3" s="106"/>
      <c r="E3" s="106"/>
      <c r="F3" s="106"/>
      <c r="G3" s="107"/>
      <c r="H3" s="106"/>
      <c r="I3" s="106"/>
      <c r="J3" s="106"/>
      <c r="K3" s="99"/>
      <c r="L3" s="99"/>
    </row>
    <row r="4" spans="2:12" x14ac:dyDescent="0.25">
      <c r="B4" s="71" t="s">
        <v>38</v>
      </c>
      <c r="C4" s="106">
        <v>10</v>
      </c>
      <c r="D4" s="106">
        <v>2017</v>
      </c>
      <c r="E4" s="106">
        <v>12</v>
      </c>
      <c r="F4" s="108">
        <v>181221.37615529983</v>
      </c>
      <c r="G4" s="114">
        <v>1.5094163354346632</v>
      </c>
      <c r="H4" s="108">
        <f>F4*G4</f>
        <v>273538.50549875933</v>
      </c>
      <c r="I4" s="108">
        <v>0</v>
      </c>
      <c r="J4" s="108">
        <f>((H4-I4)/C4)*(E4/12)</f>
        <v>27353.850549875933</v>
      </c>
      <c r="K4" s="247">
        <f>(H4-I4)/120*48+2762.22+J4+998.28-13762.44</f>
        <v>126767.31274937966</v>
      </c>
      <c r="L4" s="247">
        <f>H4-K4</f>
        <v>146771.19274937967</v>
      </c>
    </row>
    <row r="5" spans="2:12" x14ac:dyDescent="0.25">
      <c r="B5" s="71" t="s">
        <v>139</v>
      </c>
      <c r="C5" s="106">
        <v>5</v>
      </c>
      <c r="D5" s="106">
        <v>2018</v>
      </c>
      <c r="E5" s="106">
        <v>12</v>
      </c>
      <c r="F5" s="108">
        <v>13418.733307496619</v>
      </c>
      <c r="G5" s="114">
        <v>1.5094163354346632</v>
      </c>
      <c r="H5" s="108">
        <f t="shared" ref="H5:H60" si="0">F5*G5</f>
        <v>20254.455255176606</v>
      </c>
      <c r="I5" s="108">
        <v>0</v>
      </c>
      <c r="J5" s="108">
        <f>((H5-I5)/C5)*(E5/12)</f>
        <v>4050.8910510353212</v>
      </c>
      <c r="K5" s="247">
        <f>(H5-I5)/60*30+J5</f>
        <v>14178.118678623625</v>
      </c>
      <c r="L5" s="247">
        <f t="shared" ref="L5:L9" si="1">H5-K5</f>
        <v>6076.3365765529816</v>
      </c>
    </row>
    <row r="6" spans="2:12" x14ac:dyDescent="0.25">
      <c r="B6" s="71" t="s">
        <v>193</v>
      </c>
      <c r="C6" s="106">
        <v>5</v>
      </c>
      <c r="D6" s="106">
        <v>2019</v>
      </c>
      <c r="E6" s="106">
        <v>12</v>
      </c>
      <c r="F6" s="108">
        <v>20978.340385444739</v>
      </c>
      <c r="G6" s="114">
        <v>1.5094163354346632</v>
      </c>
      <c r="H6" s="108">
        <f t="shared" si="0"/>
        <v>31665.049668099</v>
      </c>
      <c r="I6" s="108">
        <v>0</v>
      </c>
      <c r="J6" s="108">
        <f t="shared" ref="J6:J9" si="2">((H6-I6)/C6)*(E6/12)</f>
        <v>6333.0099336198</v>
      </c>
      <c r="K6" s="247">
        <f>(H6-I6)/60*15+J6</f>
        <v>14249.272350644549</v>
      </c>
      <c r="L6" s="247">
        <f t="shared" si="1"/>
        <v>17415.777317454449</v>
      </c>
    </row>
    <row r="7" spans="2:12" x14ac:dyDescent="0.25">
      <c r="B7" s="71" t="s">
        <v>194</v>
      </c>
      <c r="C7" s="106">
        <v>5</v>
      </c>
      <c r="D7" s="106">
        <v>2019</v>
      </c>
      <c r="E7" s="106">
        <v>12</v>
      </c>
      <c r="F7" s="108">
        <v>28875.143997106068</v>
      </c>
      <c r="G7" s="114">
        <v>1.5094163354346632</v>
      </c>
      <c r="H7" s="108">
        <f t="shared" si="0"/>
        <v>43584.614037260057</v>
      </c>
      <c r="I7" s="108">
        <v>0</v>
      </c>
      <c r="J7" s="108">
        <f t="shared" si="2"/>
        <v>8716.9228074520106</v>
      </c>
      <c r="K7" s="247">
        <f>(H7-I7)/60*15+J7</f>
        <v>19613.076316767023</v>
      </c>
      <c r="L7" s="247">
        <f t="shared" si="1"/>
        <v>23971.537720493034</v>
      </c>
    </row>
    <row r="8" spans="2:12" x14ac:dyDescent="0.25">
      <c r="B8" s="105" t="s">
        <v>278</v>
      </c>
      <c r="C8" s="106"/>
      <c r="D8" s="106"/>
      <c r="E8" s="106"/>
      <c r="F8" s="108"/>
      <c r="G8" s="109"/>
      <c r="H8" s="108"/>
      <c r="I8" s="108"/>
      <c r="J8" s="108"/>
      <c r="K8" s="247"/>
      <c r="L8" s="247"/>
    </row>
    <row r="9" spans="2:12" x14ac:dyDescent="0.25">
      <c r="B9" s="71" t="s">
        <v>194</v>
      </c>
      <c r="C9" s="106">
        <v>5</v>
      </c>
      <c r="D9" s="112">
        <v>44228</v>
      </c>
      <c r="E9" s="106">
        <v>11</v>
      </c>
      <c r="F9" s="108">
        <v>47302.5</v>
      </c>
      <c r="G9" s="109">
        <v>1.4006112641408937</v>
      </c>
      <c r="H9" s="108">
        <f t="shared" si="0"/>
        <v>66252.414322024619</v>
      </c>
      <c r="I9" s="108">
        <v>0</v>
      </c>
      <c r="J9" s="108">
        <f t="shared" si="2"/>
        <v>12146.275959037846</v>
      </c>
      <c r="K9" s="247">
        <f>J9</f>
        <v>12146.275959037846</v>
      </c>
      <c r="L9" s="247">
        <f t="shared" si="1"/>
        <v>54106.138362986771</v>
      </c>
    </row>
    <row r="10" spans="2:12" x14ac:dyDescent="0.25">
      <c r="B10" s="110" t="s">
        <v>275</v>
      </c>
      <c r="C10" s="106"/>
      <c r="D10" s="106"/>
      <c r="E10" s="106"/>
      <c r="F10" s="111">
        <f>SUM(F4:F9)</f>
        <v>291796.09384534723</v>
      </c>
      <c r="G10" s="109"/>
      <c r="H10" s="111">
        <f>SUM(H4:H9)</f>
        <v>435295.03878131957</v>
      </c>
      <c r="I10" s="108"/>
      <c r="J10" s="111">
        <f>SUM(J4:J9)</f>
        <v>58600.950301020908</v>
      </c>
      <c r="K10" s="99"/>
      <c r="L10" s="99"/>
    </row>
    <row r="11" spans="2:12" x14ac:dyDescent="0.25">
      <c r="B11" s="244" t="s">
        <v>27</v>
      </c>
      <c r="C11" s="175"/>
      <c r="D11" s="175"/>
      <c r="E11" s="175"/>
      <c r="F11" s="241"/>
      <c r="G11" s="242"/>
      <c r="H11" s="241"/>
      <c r="I11" s="241"/>
      <c r="J11" s="241"/>
      <c r="K11" s="99"/>
      <c r="L11" s="99"/>
    </row>
    <row r="12" spans="2:12" x14ac:dyDescent="0.25">
      <c r="B12" s="71" t="s">
        <v>28</v>
      </c>
      <c r="C12" s="106">
        <v>10</v>
      </c>
      <c r="D12" s="106">
        <v>2017</v>
      </c>
      <c r="E12" s="106">
        <v>12</v>
      </c>
      <c r="F12" s="108">
        <v>6572.4333935472423</v>
      </c>
      <c r="G12" s="109">
        <v>1.5094163354346632</v>
      </c>
      <c r="H12" s="108">
        <f t="shared" si="0"/>
        <v>9920.5383277764868</v>
      </c>
      <c r="I12" s="108">
        <v>1200</v>
      </c>
      <c r="J12" s="108">
        <f>((H12-I12)/C12)*(E12/12)</f>
        <v>872.05383277764872</v>
      </c>
      <c r="K12" s="247">
        <f>(H12-I12)/120*47+J12-105.38</f>
        <v>4182.2180111567732</v>
      </c>
      <c r="L12" s="247">
        <f>H12-K12</f>
        <v>5738.3203166197136</v>
      </c>
    </row>
    <row r="13" spans="2:12" x14ac:dyDescent="0.25">
      <c r="B13" s="71" t="s">
        <v>29</v>
      </c>
      <c r="C13" s="106">
        <v>10</v>
      </c>
      <c r="D13" s="106">
        <v>2017</v>
      </c>
      <c r="E13" s="106">
        <v>12</v>
      </c>
      <c r="F13" s="108">
        <v>20606.903620133493</v>
      </c>
      <c r="G13" s="109">
        <v>1.5094163354346632</v>
      </c>
      <c r="H13" s="108">
        <f t="shared" si="0"/>
        <v>31104.396946957193</v>
      </c>
      <c r="I13" s="108">
        <v>4500</v>
      </c>
      <c r="J13" s="108">
        <f t="shared" ref="J13:J29" si="3">((H13-I13)/C13)*(E13/12)</f>
        <v>2660.4396946957195</v>
      </c>
      <c r="K13" s="247">
        <f>(H13-I13)/120*45+J13</f>
        <v>12637.088549804666</v>
      </c>
      <c r="L13" s="247">
        <f t="shared" ref="L13:L29" si="4">H13-K13</f>
        <v>18467.308397152527</v>
      </c>
    </row>
    <row r="14" spans="2:12" x14ac:dyDescent="0.25">
      <c r="B14" s="71" t="s">
        <v>30</v>
      </c>
      <c r="C14" s="106">
        <v>10</v>
      </c>
      <c r="D14" s="106">
        <v>2017</v>
      </c>
      <c r="E14" s="106">
        <v>12</v>
      </c>
      <c r="F14" s="108">
        <v>31390.78300271037</v>
      </c>
      <c r="G14" s="109">
        <v>1.5094163354346632</v>
      </c>
      <c r="H14" s="108">
        <f t="shared" si="0"/>
        <v>47381.760646375798</v>
      </c>
      <c r="I14" s="108">
        <v>6000</v>
      </c>
      <c r="J14" s="108">
        <f t="shared" si="3"/>
        <v>4138.1760646375797</v>
      </c>
      <c r="K14" s="247">
        <f>(H14-I14)/120*42-291.6+J14-8000</f>
        <v>10330.192290869109</v>
      </c>
      <c r="L14" s="247">
        <f t="shared" si="4"/>
        <v>37051.568355506693</v>
      </c>
    </row>
    <row r="15" spans="2:12" x14ac:dyDescent="0.25">
      <c r="B15" s="71" t="s">
        <v>140</v>
      </c>
      <c r="C15" s="106">
        <v>10</v>
      </c>
      <c r="D15" s="106">
        <v>2018</v>
      </c>
      <c r="E15" s="106">
        <v>12</v>
      </c>
      <c r="F15" s="108">
        <v>51305.202252938179</v>
      </c>
      <c r="G15" s="109">
        <v>1.5094163354346632</v>
      </c>
      <c r="H15" s="108">
        <f t="shared" si="0"/>
        <v>77440.910373364182</v>
      </c>
      <c r="I15" s="108">
        <v>12000</v>
      </c>
      <c r="J15" s="108">
        <f t="shared" si="3"/>
        <v>6544.0910373364186</v>
      </c>
      <c r="K15" s="247">
        <f>(H15-I15)/120*28+J15</f>
        <v>21813.636791121397</v>
      </c>
      <c r="L15" s="247">
        <f t="shared" si="4"/>
        <v>55627.273582242786</v>
      </c>
    </row>
    <row r="16" spans="2:12" x14ac:dyDescent="0.25">
      <c r="B16" s="71" t="s">
        <v>141</v>
      </c>
      <c r="C16" s="106">
        <v>10</v>
      </c>
      <c r="D16" s="106">
        <v>2018</v>
      </c>
      <c r="E16" s="106">
        <v>12</v>
      </c>
      <c r="F16" s="108">
        <v>8136.5654661312574</v>
      </c>
      <c r="G16" s="109">
        <v>1.5094163354346632</v>
      </c>
      <c r="H16" s="108">
        <f t="shared" si="0"/>
        <v>12281.464828912076</v>
      </c>
      <c r="I16" s="108">
        <v>0</v>
      </c>
      <c r="J16" s="108">
        <f t="shared" si="3"/>
        <v>1228.1464828912076</v>
      </c>
      <c r="K16" s="247">
        <f>(H16-I16)/120*27+J16</f>
        <v>3991.4760693964249</v>
      </c>
      <c r="L16" s="247">
        <f t="shared" si="4"/>
        <v>8289.9887595156506</v>
      </c>
    </row>
    <row r="17" spans="2:17" x14ac:dyDescent="0.25">
      <c r="B17" s="71" t="s">
        <v>197</v>
      </c>
      <c r="C17" s="106">
        <v>10</v>
      </c>
      <c r="D17" s="106">
        <v>2019</v>
      </c>
      <c r="E17" s="106">
        <v>12</v>
      </c>
      <c r="F17" s="108">
        <v>3394.5751855702824</v>
      </c>
      <c r="G17" s="109">
        <v>1.5094163354346632</v>
      </c>
      <c r="H17" s="108">
        <f t="shared" si="0"/>
        <v>5123.8272369609376</v>
      </c>
      <c r="I17" s="108">
        <v>0</v>
      </c>
      <c r="J17" s="108">
        <f t="shared" si="3"/>
        <v>512.38272369609376</v>
      </c>
      <c r="K17" s="247">
        <f>(H17-I17)/120*20+J17</f>
        <v>1366.35392985625</v>
      </c>
      <c r="L17" s="247">
        <f t="shared" si="4"/>
        <v>3757.4733071046876</v>
      </c>
    </row>
    <row r="18" spans="2:17" x14ac:dyDescent="0.25">
      <c r="B18" s="71" t="s">
        <v>195</v>
      </c>
      <c r="C18" s="106">
        <v>10</v>
      </c>
      <c r="D18" s="106">
        <v>2019</v>
      </c>
      <c r="E18" s="106">
        <v>12</v>
      </c>
      <c r="F18" s="108">
        <v>38341.327977811699</v>
      </c>
      <c r="G18" s="109">
        <v>1.5094163354346632</v>
      </c>
      <c r="H18" s="108">
        <f t="shared" si="0"/>
        <v>57873.026771967059</v>
      </c>
      <c r="I18" s="108">
        <v>0</v>
      </c>
      <c r="J18" s="108">
        <f t="shared" si="3"/>
        <v>5787.3026771967061</v>
      </c>
      <c r="K18" s="247">
        <f>(H18-I18)/120*15+J18</f>
        <v>13021.431023692588</v>
      </c>
      <c r="L18" s="247">
        <f t="shared" si="4"/>
        <v>44851.595748274471</v>
      </c>
    </row>
    <row r="19" spans="2:17" x14ac:dyDescent="0.25">
      <c r="B19" s="71" t="s">
        <v>196</v>
      </c>
      <c r="C19" s="106">
        <v>10</v>
      </c>
      <c r="D19" s="106">
        <v>2019</v>
      </c>
      <c r="E19" s="106">
        <v>12</v>
      </c>
      <c r="F19" s="108">
        <v>6869.7113134379488</v>
      </c>
      <c r="G19" s="109">
        <v>1.5094163354346632</v>
      </c>
      <c r="H19" s="108">
        <f t="shared" si="0"/>
        <v>10369.254476223556</v>
      </c>
      <c r="I19" s="108">
        <v>0</v>
      </c>
      <c r="J19" s="108">
        <f t="shared" si="3"/>
        <v>1036.9254476223555</v>
      </c>
      <c r="K19" s="247">
        <f>(H19-I19)/120*14+J19</f>
        <v>2246.6718031817704</v>
      </c>
      <c r="L19" s="247">
        <f t="shared" si="4"/>
        <v>8122.5826730417848</v>
      </c>
    </row>
    <row r="20" spans="2:17" x14ac:dyDescent="0.25">
      <c r="B20" s="71" t="s">
        <v>197</v>
      </c>
      <c r="C20" s="106">
        <v>10</v>
      </c>
      <c r="D20" s="106">
        <v>2020</v>
      </c>
      <c r="E20" s="106">
        <v>12</v>
      </c>
      <c r="F20" s="108">
        <v>2283.4699448692181</v>
      </c>
      <c r="G20" s="109">
        <v>1.5094163354346632</v>
      </c>
      <c r="H20" s="108">
        <f t="shared" si="0"/>
        <v>3446.7068362596879</v>
      </c>
      <c r="I20" s="108">
        <v>0</v>
      </c>
      <c r="J20" s="108">
        <f t="shared" si="3"/>
        <v>344.67068362596876</v>
      </c>
      <c r="K20" s="247">
        <f>(H20-I20)/120*12+J20</f>
        <v>689.34136725193753</v>
      </c>
      <c r="L20" s="247">
        <f t="shared" si="4"/>
        <v>2757.3654690077501</v>
      </c>
      <c r="Q20" s="99"/>
    </row>
    <row r="21" spans="2:17" x14ac:dyDescent="0.25">
      <c r="B21" s="71" t="s">
        <v>231</v>
      </c>
      <c r="C21" s="106">
        <v>10</v>
      </c>
      <c r="D21" s="106">
        <v>2020</v>
      </c>
      <c r="E21" s="106">
        <v>12</v>
      </c>
      <c r="F21" s="108">
        <v>2837.3419734711679</v>
      </c>
      <c r="G21" s="109">
        <v>1.5094163354346632</v>
      </c>
      <c r="H21" s="108">
        <f t="shared" si="0"/>
        <v>4282.7303239718058</v>
      </c>
      <c r="I21" s="108">
        <v>0</v>
      </c>
      <c r="J21" s="108">
        <f t="shared" si="3"/>
        <v>428.2730323971806</v>
      </c>
      <c r="K21" s="247">
        <f t="shared" ref="K21:K23" si="5">(H21-I21)/120*12+J21</f>
        <v>856.5460647943612</v>
      </c>
      <c r="L21" s="247">
        <f t="shared" si="4"/>
        <v>3426.1842591774448</v>
      </c>
      <c r="Q21" s="99"/>
    </row>
    <row r="22" spans="2:17" x14ac:dyDescent="0.25">
      <c r="B22" s="71" t="s">
        <v>232</v>
      </c>
      <c r="C22" s="106">
        <v>10</v>
      </c>
      <c r="D22" s="106">
        <v>2020</v>
      </c>
      <c r="E22" s="106">
        <v>12</v>
      </c>
      <c r="F22" s="108">
        <v>32093.299057138251</v>
      </c>
      <c r="G22" s="109">
        <v>1.5094163354346632</v>
      </c>
      <c r="H22" s="108">
        <f t="shared" si="0"/>
        <v>48442.149854834352</v>
      </c>
      <c r="I22" s="108">
        <v>0</v>
      </c>
      <c r="J22" s="108">
        <f t="shared" si="3"/>
        <v>4844.2149854834352</v>
      </c>
      <c r="K22" s="247">
        <f t="shared" si="5"/>
        <v>9688.4299709668703</v>
      </c>
      <c r="L22" s="247">
        <f t="shared" si="4"/>
        <v>38753.719883867481</v>
      </c>
      <c r="Q22" s="99"/>
    </row>
    <row r="23" spans="2:17" x14ac:dyDescent="0.25">
      <c r="B23" s="71" t="s">
        <v>232</v>
      </c>
      <c r="C23" s="106">
        <v>10</v>
      </c>
      <c r="D23" s="106">
        <v>2020</v>
      </c>
      <c r="E23" s="106">
        <v>12</v>
      </c>
      <c r="F23" s="108">
        <v>32726.467774700122</v>
      </c>
      <c r="G23" s="109">
        <v>1.5094163354346632</v>
      </c>
      <c r="H23" s="108">
        <f t="shared" si="0"/>
        <v>49397.86506020846</v>
      </c>
      <c r="I23" s="108">
        <v>0</v>
      </c>
      <c r="J23" s="108">
        <f t="shared" si="3"/>
        <v>4939.786506020846</v>
      </c>
      <c r="K23" s="247">
        <f t="shared" si="5"/>
        <v>9879.573012041692</v>
      </c>
      <c r="L23" s="247">
        <f t="shared" si="4"/>
        <v>39518.292048166768</v>
      </c>
      <c r="Q23" s="99"/>
    </row>
    <row r="24" spans="2:17" x14ac:dyDescent="0.25">
      <c r="B24" s="71" t="s">
        <v>232</v>
      </c>
      <c r="C24" s="106">
        <v>10</v>
      </c>
      <c r="D24" s="106">
        <v>2020</v>
      </c>
      <c r="E24" s="106">
        <v>12</v>
      </c>
      <c r="F24" s="108">
        <v>46134.234332594671</v>
      </c>
      <c r="G24" s="109">
        <v>1.5094163354346632</v>
      </c>
      <c r="H24" s="108">
        <f t="shared" si="0"/>
        <v>69635.76692438907</v>
      </c>
      <c r="I24" s="108">
        <v>0</v>
      </c>
      <c r="J24" s="108">
        <f t="shared" si="3"/>
        <v>6963.5766924389072</v>
      </c>
      <c r="K24" s="247">
        <f>(H24-I24)/120*12+J24-8118.21</f>
        <v>5808.9433848778162</v>
      </c>
      <c r="L24" s="247">
        <f t="shared" si="4"/>
        <v>63826.823539511257</v>
      </c>
      <c r="Q24" s="99"/>
    </row>
    <row r="25" spans="2:17" x14ac:dyDescent="0.25">
      <c r="B25" s="105" t="s">
        <v>278</v>
      </c>
      <c r="C25" s="106"/>
      <c r="D25" s="106"/>
      <c r="E25" s="106"/>
      <c r="F25" s="108"/>
      <c r="G25" s="109"/>
      <c r="H25" s="108"/>
      <c r="I25" s="108"/>
      <c r="J25" s="108"/>
      <c r="K25" s="247"/>
      <c r="L25" s="247"/>
      <c r="Q25" s="99"/>
    </row>
    <row r="26" spans="2:17" x14ac:dyDescent="0.25">
      <c r="B26" s="71" t="s">
        <v>282</v>
      </c>
      <c r="C26" s="106">
        <v>10</v>
      </c>
      <c r="D26" s="112">
        <v>44197</v>
      </c>
      <c r="E26" s="106">
        <v>12</v>
      </c>
      <c r="F26" s="108">
        <v>37176.86</v>
      </c>
      <c r="G26" s="109">
        <v>1.4506779581232809</v>
      </c>
      <c r="H26" s="108">
        <f t="shared" si="0"/>
        <v>53931.65135423508</v>
      </c>
      <c r="I26" s="108">
        <v>0</v>
      </c>
      <c r="J26" s="108">
        <f t="shared" si="3"/>
        <v>5393.1651354235082</v>
      </c>
      <c r="K26" s="247">
        <f>J26</f>
        <v>5393.1651354235082</v>
      </c>
      <c r="L26" s="247">
        <f t="shared" si="4"/>
        <v>48538.486218811573</v>
      </c>
      <c r="Q26" s="99"/>
    </row>
    <row r="27" spans="2:17" x14ac:dyDescent="0.25">
      <c r="B27" s="71" t="s">
        <v>283</v>
      </c>
      <c r="C27" s="106">
        <v>10</v>
      </c>
      <c r="D27" s="112">
        <v>44228</v>
      </c>
      <c r="E27" s="106">
        <v>11</v>
      </c>
      <c r="F27" s="108">
        <v>152307.79999999999</v>
      </c>
      <c r="G27" s="109">
        <v>1.4006112641408937</v>
      </c>
      <c r="H27" s="108">
        <f t="shared" si="0"/>
        <v>213324.0202965184</v>
      </c>
      <c r="I27" s="108">
        <v>0</v>
      </c>
      <c r="J27" s="108">
        <f t="shared" si="3"/>
        <v>19554.701860514186</v>
      </c>
      <c r="K27" s="247">
        <f t="shared" ref="K27:K29" si="6">J27</f>
        <v>19554.701860514186</v>
      </c>
      <c r="L27" s="247">
        <f t="shared" si="4"/>
        <v>193769.31843600422</v>
      </c>
      <c r="Q27" s="99"/>
    </row>
    <row r="28" spans="2:17" x14ac:dyDescent="0.25">
      <c r="B28" s="71" t="s">
        <v>284</v>
      </c>
      <c r="C28" s="106">
        <v>10</v>
      </c>
      <c r="D28" s="112">
        <v>44378</v>
      </c>
      <c r="E28" s="106">
        <v>6</v>
      </c>
      <c r="F28" s="108">
        <v>102746.73999999999</v>
      </c>
      <c r="G28" s="109">
        <v>1.1693616144752033</v>
      </c>
      <c r="H28" s="108">
        <f t="shared" si="0"/>
        <v>120148.09376846394</v>
      </c>
      <c r="I28" s="108">
        <v>0</v>
      </c>
      <c r="J28" s="108">
        <f t="shared" si="3"/>
        <v>6007.4046884231966</v>
      </c>
      <c r="K28" s="247">
        <f t="shared" si="6"/>
        <v>6007.4046884231966</v>
      </c>
      <c r="L28" s="247">
        <f t="shared" si="4"/>
        <v>114140.68908004074</v>
      </c>
      <c r="Q28" s="99"/>
    </row>
    <row r="29" spans="2:17" x14ac:dyDescent="0.25">
      <c r="B29" s="71" t="s">
        <v>285</v>
      </c>
      <c r="C29" s="106">
        <v>10</v>
      </c>
      <c r="D29" s="112">
        <v>44470</v>
      </c>
      <c r="E29" s="106">
        <v>3</v>
      </c>
      <c r="F29" s="108">
        <v>298175.05</v>
      </c>
      <c r="G29" s="114">
        <v>1.0646656559678087</v>
      </c>
      <c r="H29" s="108">
        <f t="shared" si="0"/>
        <v>317456.73520148417</v>
      </c>
      <c r="I29" s="108">
        <v>0</v>
      </c>
      <c r="J29" s="108">
        <f t="shared" si="3"/>
        <v>7936.4183800371047</v>
      </c>
      <c r="K29" s="247">
        <f t="shared" si="6"/>
        <v>7936.4183800371047</v>
      </c>
      <c r="L29" s="247">
        <f t="shared" si="4"/>
        <v>309520.31682144705</v>
      </c>
      <c r="Q29" s="99"/>
    </row>
    <row r="30" spans="2:17" x14ac:dyDescent="0.25">
      <c r="B30" s="110" t="s">
        <v>275</v>
      </c>
      <c r="C30" s="106"/>
      <c r="D30" s="106"/>
      <c r="E30" s="106"/>
      <c r="F30" s="111">
        <f>SUM(F12:F29)</f>
        <v>873098.76529505383</v>
      </c>
      <c r="G30" s="109"/>
      <c r="H30" s="111">
        <f>SUM(H12:H29)</f>
        <v>1131560.8992289021</v>
      </c>
      <c r="I30" s="108"/>
      <c r="J30" s="111">
        <f>SUM(J12:J29)</f>
        <v>79191.729925218067</v>
      </c>
      <c r="K30" s="99"/>
      <c r="L30" s="99"/>
      <c r="O30" s="98" t="s">
        <v>192</v>
      </c>
    </row>
    <row r="31" spans="2:17" x14ac:dyDescent="0.25">
      <c r="B31" s="244" t="s">
        <v>35</v>
      </c>
      <c r="C31" s="176"/>
      <c r="D31" s="176"/>
      <c r="E31" s="176"/>
      <c r="F31" s="241"/>
      <c r="G31" s="242"/>
      <c r="H31" s="241"/>
      <c r="I31" s="241"/>
      <c r="J31" s="241"/>
      <c r="K31" s="99"/>
      <c r="L31" s="99"/>
    </row>
    <row r="32" spans="2:17" x14ac:dyDescent="0.25">
      <c r="B32" s="71" t="s">
        <v>38</v>
      </c>
      <c r="C32" s="106">
        <v>10</v>
      </c>
      <c r="D32" s="106">
        <v>2016</v>
      </c>
      <c r="E32" s="106">
        <v>12</v>
      </c>
      <c r="F32" s="108">
        <v>198595.1040162383</v>
      </c>
      <c r="G32" s="109">
        <v>1.5094163354346632</v>
      </c>
      <c r="H32" s="108">
        <f t="shared" si="0"/>
        <v>299762.6941394562</v>
      </c>
      <c r="I32" s="108">
        <v>0</v>
      </c>
      <c r="J32" s="108">
        <f t="shared" ref="J32:J39" si="7">((H32-I32)/C32)*(E32/12)</f>
        <v>29976.269413945622</v>
      </c>
      <c r="K32" s="247">
        <f>(H32-I32)/120*53+J32-977.87</f>
        <v>161393.58932553878</v>
      </c>
      <c r="L32" s="247">
        <f>H32-K32</f>
        <v>138369.10481391742</v>
      </c>
      <c r="N32" s="98" t="s">
        <v>192</v>
      </c>
    </row>
    <row r="33" spans="2:17" x14ac:dyDescent="0.25">
      <c r="B33" s="71" t="s">
        <v>31</v>
      </c>
      <c r="C33" s="106">
        <v>10</v>
      </c>
      <c r="D33" s="106">
        <v>2017</v>
      </c>
      <c r="E33" s="106">
        <v>12</v>
      </c>
      <c r="F33" s="113">
        <v>181596.07685142988</v>
      </c>
      <c r="G33" s="114">
        <v>1.5094163354346632</v>
      </c>
      <c r="H33" s="108">
        <f t="shared" si="0"/>
        <v>274104.08485039679</v>
      </c>
      <c r="I33" s="113">
        <v>30000</v>
      </c>
      <c r="J33" s="108">
        <f t="shared" si="7"/>
        <v>24410.408485039679</v>
      </c>
      <c r="K33" s="247">
        <f>(H33-I33)/120*12+J33</f>
        <v>48820.816970079351</v>
      </c>
      <c r="L33" s="247">
        <f>H33-K33</f>
        <v>225283.26788031743</v>
      </c>
    </row>
    <row r="34" spans="2:17" x14ac:dyDescent="0.25">
      <c r="B34" s="71" t="s">
        <v>233</v>
      </c>
      <c r="C34" s="106">
        <v>10</v>
      </c>
      <c r="D34" s="106">
        <v>2020</v>
      </c>
      <c r="E34" s="106">
        <v>12</v>
      </c>
      <c r="F34" s="113">
        <v>61477.678825891679</v>
      </c>
      <c r="G34" s="114">
        <v>1.5094163354346632</v>
      </c>
      <c r="H34" s="108">
        <f t="shared" si="0"/>
        <v>92795.412684406605</v>
      </c>
      <c r="I34" s="113">
        <v>5000</v>
      </c>
      <c r="J34" s="108">
        <f t="shared" si="7"/>
        <v>8779.5412684406601</v>
      </c>
      <c r="K34" s="247">
        <f>(H34-I34)/120*12+J34</f>
        <v>17559.08253688132</v>
      </c>
      <c r="L34" s="247">
        <f t="shared" ref="L34:L39" si="8">H34-K34</f>
        <v>75236.330147525281</v>
      </c>
      <c r="Q34" s="99"/>
    </row>
    <row r="35" spans="2:17" x14ac:dyDescent="0.25">
      <c r="B35" s="71" t="s">
        <v>234</v>
      </c>
      <c r="C35" s="106">
        <v>10</v>
      </c>
      <c r="D35" s="106">
        <v>2020</v>
      </c>
      <c r="E35" s="106">
        <v>12</v>
      </c>
      <c r="F35" s="113">
        <v>2399468.3227605373</v>
      </c>
      <c r="G35" s="114">
        <v>1.5094163354346632</v>
      </c>
      <c r="H35" s="108">
        <f t="shared" si="0"/>
        <v>3621796.6827327679</v>
      </c>
      <c r="I35" s="113">
        <v>150000</v>
      </c>
      <c r="J35" s="108">
        <f t="shared" si="7"/>
        <v>347179.66827327677</v>
      </c>
      <c r="K35" s="247">
        <f>(H35-I35)/120*12+J35-132233.08</f>
        <v>562126.25654655357</v>
      </c>
      <c r="L35" s="247">
        <f t="shared" si="8"/>
        <v>3059670.4261862142</v>
      </c>
      <c r="Q35" s="99"/>
    </row>
    <row r="36" spans="2:17" x14ac:dyDescent="0.25">
      <c r="B36" s="71" t="s">
        <v>235</v>
      </c>
      <c r="C36" s="106">
        <v>10</v>
      </c>
      <c r="D36" s="106">
        <v>2020</v>
      </c>
      <c r="E36" s="106">
        <v>12</v>
      </c>
      <c r="F36" s="113">
        <v>775505.39341650519</v>
      </c>
      <c r="G36" s="114">
        <v>1.5094163354346632</v>
      </c>
      <c r="H36" s="108">
        <f t="shared" si="0"/>
        <v>1170560.509040558</v>
      </c>
      <c r="I36" s="113">
        <v>0</v>
      </c>
      <c r="J36" s="108">
        <f t="shared" si="7"/>
        <v>117056.0509040558</v>
      </c>
      <c r="K36" s="247">
        <f t="shared" ref="K36" si="9">(H36-I36)/120*12+J36</f>
        <v>234112.10180811159</v>
      </c>
      <c r="L36" s="247">
        <f t="shared" si="8"/>
        <v>936448.40723244636</v>
      </c>
      <c r="Q36" s="99"/>
    </row>
    <row r="37" spans="2:17" x14ac:dyDescent="0.25">
      <c r="B37" s="105" t="s">
        <v>278</v>
      </c>
      <c r="C37" s="106"/>
      <c r="D37" s="106"/>
      <c r="E37" s="106"/>
      <c r="F37" s="113"/>
      <c r="G37" s="114"/>
      <c r="H37" s="108"/>
      <c r="I37" s="113"/>
      <c r="J37" s="108"/>
      <c r="K37" s="247"/>
      <c r="L37" s="247"/>
      <c r="Q37" s="99"/>
    </row>
    <row r="38" spans="2:17" x14ac:dyDescent="0.25">
      <c r="B38" s="71" t="s">
        <v>280</v>
      </c>
      <c r="C38" s="106">
        <v>10</v>
      </c>
      <c r="D38" s="112">
        <v>44317</v>
      </c>
      <c r="E38" s="106">
        <v>8</v>
      </c>
      <c r="F38" s="113">
        <v>58305.79</v>
      </c>
      <c r="G38" s="114">
        <v>1.2426422742546268</v>
      </c>
      <c r="H38" s="108">
        <f t="shared" si="0"/>
        <v>72453.23948781268</v>
      </c>
      <c r="I38" s="113">
        <v>0</v>
      </c>
      <c r="J38" s="108">
        <f t="shared" si="7"/>
        <v>4830.2159658541786</v>
      </c>
      <c r="K38" s="247">
        <f>J38</f>
        <v>4830.2159658541786</v>
      </c>
      <c r="L38" s="247">
        <f t="shared" si="8"/>
        <v>67623.023521958501</v>
      </c>
      <c r="Q38" s="99"/>
    </row>
    <row r="39" spans="2:17" x14ac:dyDescent="0.25">
      <c r="B39" s="71" t="s">
        <v>281</v>
      </c>
      <c r="C39" s="106">
        <v>10</v>
      </c>
      <c r="D39" s="112">
        <v>44470</v>
      </c>
      <c r="E39" s="106">
        <v>3</v>
      </c>
      <c r="F39" s="113">
        <v>7000000</v>
      </c>
      <c r="G39" s="114">
        <v>1.0646656559678087</v>
      </c>
      <c r="H39" s="108">
        <f t="shared" si="0"/>
        <v>7452659.5917746611</v>
      </c>
      <c r="I39" s="113">
        <v>700000</v>
      </c>
      <c r="J39" s="108">
        <f t="shared" si="7"/>
        <v>168816.48979436653</v>
      </c>
      <c r="K39" s="247">
        <f>J39</f>
        <v>168816.48979436653</v>
      </c>
      <c r="L39" s="247">
        <f t="shared" si="8"/>
        <v>7283843.101980295</v>
      </c>
      <c r="Q39" s="99"/>
    </row>
    <row r="40" spans="2:17" x14ac:dyDescent="0.25">
      <c r="B40" s="110" t="s">
        <v>275</v>
      </c>
      <c r="C40" s="106"/>
      <c r="D40" s="106"/>
      <c r="E40" s="106"/>
      <c r="F40" s="115">
        <f>SUM(F32:F39)</f>
        <v>10674948.365870602</v>
      </c>
      <c r="G40" s="114"/>
      <c r="H40" s="115">
        <f>SUM(H32:H39)</f>
        <v>12984132.214710061</v>
      </c>
      <c r="I40" s="113"/>
      <c r="J40" s="115">
        <f>SUM(J32:J39)</f>
        <v>701048.64410497923</v>
      </c>
      <c r="K40" s="99"/>
      <c r="L40" s="99"/>
      <c r="M40" s="100"/>
      <c r="N40" s="100"/>
      <c r="O40" s="100"/>
      <c r="P40" s="101"/>
      <c r="Q40" s="99"/>
    </row>
    <row r="41" spans="2:17" x14ac:dyDescent="0.25">
      <c r="B41" s="244" t="s">
        <v>32</v>
      </c>
      <c r="C41" s="176"/>
      <c r="D41" s="176"/>
      <c r="E41" s="176"/>
      <c r="F41" s="177"/>
      <c r="G41" s="243"/>
      <c r="H41" s="241"/>
      <c r="I41" s="177"/>
      <c r="J41" s="177"/>
      <c r="K41" s="99"/>
      <c r="L41" s="99"/>
      <c r="M41" s="101"/>
      <c r="N41" s="102"/>
      <c r="O41" s="101"/>
      <c r="P41" s="101"/>
    </row>
    <row r="42" spans="2:17" x14ac:dyDescent="0.25">
      <c r="B42" s="71" t="s">
        <v>38</v>
      </c>
      <c r="C42" s="106">
        <v>5</v>
      </c>
      <c r="D42" s="106">
        <v>2016</v>
      </c>
      <c r="E42" s="106">
        <v>12</v>
      </c>
      <c r="F42" s="113">
        <v>782937.4582393429</v>
      </c>
      <c r="G42" s="114">
        <v>1.5094163354346632</v>
      </c>
      <c r="H42" s="108">
        <f t="shared" si="0"/>
        <v>1181778.5890901587</v>
      </c>
      <c r="I42" s="113">
        <v>0</v>
      </c>
      <c r="J42" s="108">
        <v>137266.79</v>
      </c>
      <c r="K42" s="247">
        <f>(H42-I42)/60*39+236355.72+40000+J42</f>
        <v>1181778.5929086031</v>
      </c>
      <c r="L42" s="247">
        <f>H42-K42</f>
        <v>-3.8184444420039654E-3</v>
      </c>
      <c r="M42" s="101"/>
      <c r="N42" s="101"/>
      <c r="O42" s="101"/>
      <c r="P42" s="101"/>
    </row>
    <row r="43" spans="2:17" x14ac:dyDescent="0.25">
      <c r="B43" s="71" t="s">
        <v>33</v>
      </c>
      <c r="C43" s="106">
        <v>5</v>
      </c>
      <c r="D43" s="106">
        <v>2017</v>
      </c>
      <c r="E43" s="106">
        <v>12</v>
      </c>
      <c r="F43" s="113">
        <v>977034.49901929509</v>
      </c>
      <c r="G43" s="114">
        <v>1.5094163354346632</v>
      </c>
      <c r="H43" s="108">
        <f t="shared" si="0"/>
        <v>1474751.8331029464</v>
      </c>
      <c r="I43" s="113">
        <v>10000</v>
      </c>
      <c r="J43" s="108">
        <f t="shared" ref="J43:J49" si="10">((H43-I43)/C43)*(E43/12)</f>
        <v>292950.36662058928</v>
      </c>
      <c r="K43" s="247">
        <f>(H43-I43)/60*27+J43</f>
        <v>952088.6915169151</v>
      </c>
      <c r="L43" s="247">
        <f t="shared" ref="L43:L51" si="11">H43-K43</f>
        <v>522663.1415860313</v>
      </c>
      <c r="M43" s="101"/>
      <c r="N43" s="101"/>
      <c r="O43" s="101"/>
      <c r="P43" s="245"/>
      <c r="Q43" s="99"/>
    </row>
    <row r="44" spans="2:17" x14ac:dyDescent="0.25">
      <c r="B44" s="71" t="s">
        <v>34</v>
      </c>
      <c r="C44" s="106">
        <v>5</v>
      </c>
      <c r="D44" s="106">
        <v>2017</v>
      </c>
      <c r="E44" s="106">
        <v>12</v>
      </c>
      <c r="F44" s="113">
        <v>4204964.612140866</v>
      </c>
      <c r="G44" s="114">
        <v>1.5094163354346632</v>
      </c>
      <c r="H44" s="108">
        <f t="shared" si="0"/>
        <v>6347042.2754901061</v>
      </c>
      <c r="I44" s="113">
        <v>450000</v>
      </c>
      <c r="J44" s="108">
        <f t="shared" si="10"/>
        <v>1179408.4550980213</v>
      </c>
      <c r="K44" s="247">
        <f>(H44-I44)/60*36+J44+196187.33</f>
        <v>4913821.1503920853</v>
      </c>
      <c r="L44" s="247">
        <f t="shared" si="11"/>
        <v>1433221.1250980208</v>
      </c>
      <c r="M44" s="102"/>
      <c r="N44" s="101"/>
      <c r="O44" s="101"/>
      <c r="Q44" s="99"/>
    </row>
    <row r="45" spans="2:17" x14ac:dyDescent="0.25">
      <c r="B45" s="71" t="s">
        <v>142</v>
      </c>
      <c r="C45" s="106">
        <v>5</v>
      </c>
      <c r="D45" s="106">
        <v>2018</v>
      </c>
      <c r="E45" s="106">
        <v>12</v>
      </c>
      <c r="F45" s="113">
        <v>1648116.6327856358</v>
      </c>
      <c r="G45" s="114">
        <v>1.5094163354346632</v>
      </c>
      <c r="H45" s="108">
        <f t="shared" si="0"/>
        <v>2487694.1682282109</v>
      </c>
      <c r="I45" s="113">
        <v>200000</v>
      </c>
      <c r="J45" s="108">
        <f t="shared" si="10"/>
        <v>457538.83364564215</v>
      </c>
      <c r="K45" s="247">
        <f>(H45-I45)/60*20+J45</f>
        <v>1220103.5563883791</v>
      </c>
      <c r="L45" s="247">
        <f t="shared" si="11"/>
        <v>1267590.6118398318</v>
      </c>
      <c r="M45" s="102"/>
      <c r="N45" s="101"/>
      <c r="O45" s="101"/>
      <c r="Q45" s="99"/>
    </row>
    <row r="46" spans="2:17" x14ac:dyDescent="0.25">
      <c r="B46" s="71" t="s">
        <v>143</v>
      </c>
      <c r="C46" s="106">
        <v>5</v>
      </c>
      <c r="D46" s="106">
        <v>2018</v>
      </c>
      <c r="E46" s="106">
        <v>12</v>
      </c>
      <c r="F46" s="113">
        <v>686581.04325692041</v>
      </c>
      <c r="G46" s="114">
        <v>1.5094163354346632</v>
      </c>
      <c r="H46" s="108">
        <f t="shared" si="0"/>
        <v>1036336.6422917688</v>
      </c>
      <c r="I46" s="113">
        <v>100000</v>
      </c>
      <c r="J46" s="108">
        <f t="shared" si="10"/>
        <v>187267.32845835376</v>
      </c>
      <c r="K46" s="247">
        <f>(H46-I46)/60*16+J46</f>
        <v>436957.09973615874</v>
      </c>
      <c r="L46" s="247">
        <f t="shared" si="11"/>
        <v>599379.54255561007</v>
      </c>
      <c r="M46" s="102"/>
      <c r="N46" s="101"/>
      <c r="O46" s="101"/>
      <c r="Q46" s="99"/>
    </row>
    <row r="47" spans="2:17" x14ac:dyDescent="0.25">
      <c r="B47" s="71" t="s">
        <v>34</v>
      </c>
      <c r="C47" s="106">
        <v>5</v>
      </c>
      <c r="D47" s="106">
        <v>2019</v>
      </c>
      <c r="E47" s="106">
        <v>12</v>
      </c>
      <c r="F47" s="113">
        <v>6750229.3180261012</v>
      </c>
      <c r="G47" s="114">
        <v>1.5094163354346632</v>
      </c>
      <c r="H47" s="108">
        <f t="shared" si="0"/>
        <v>10188906.400558583</v>
      </c>
      <c r="I47" s="113">
        <v>450000</v>
      </c>
      <c r="J47" s="108">
        <f t="shared" si="10"/>
        <v>1947781.2801117166</v>
      </c>
      <c r="K47" s="247">
        <f>(H47-I47)/60*6+J47</f>
        <v>2921671.9201675747</v>
      </c>
      <c r="L47" s="247">
        <f t="shared" si="11"/>
        <v>7267234.4803910088</v>
      </c>
      <c r="M47" s="102"/>
      <c r="N47" s="101"/>
      <c r="O47" s="101"/>
      <c r="Q47" s="99"/>
    </row>
    <row r="48" spans="2:17" x14ac:dyDescent="0.25">
      <c r="B48" s="71" t="s">
        <v>198</v>
      </c>
      <c r="C48" s="106">
        <v>5</v>
      </c>
      <c r="D48" s="106">
        <v>2019</v>
      </c>
      <c r="E48" s="106">
        <v>12</v>
      </c>
      <c r="F48" s="113">
        <v>148969.08780477423</v>
      </c>
      <c r="G48" s="114">
        <v>1.5094163354346632</v>
      </c>
      <c r="H48" s="108">
        <f t="shared" si="0"/>
        <v>224856.3746073269</v>
      </c>
      <c r="I48" s="113">
        <v>0</v>
      </c>
      <c r="J48" s="108">
        <f t="shared" si="10"/>
        <v>44971.274921465381</v>
      </c>
      <c r="K48" s="247">
        <f>(H48-I48)/60*4+J48</f>
        <v>59961.699895287173</v>
      </c>
      <c r="L48" s="247">
        <f t="shared" si="11"/>
        <v>164894.67471203973</v>
      </c>
      <c r="M48" s="102"/>
      <c r="N48" s="101"/>
      <c r="O48" s="101"/>
    </row>
    <row r="49" spans="2:17" x14ac:dyDescent="0.25">
      <c r="B49" s="71" t="s">
        <v>198</v>
      </c>
      <c r="C49" s="106">
        <v>5</v>
      </c>
      <c r="D49" s="106">
        <v>2019</v>
      </c>
      <c r="E49" s="106">
        <v>12</v>
      </c>
      <c r="F49" s="113">
        <v>76192.429648677906</v>
      </c>
      <c r="G49" s="114">
        <v>1.5094163354346632</v>
      </c>
      <c r="H49" s="108">
        <f t="shared" si="0"/>
        <v>115006.09794817079</v>
      </c>
      <c r="I49" s="113">
        <v>0</v>
      </c>
      <c r="J49" s="108">
        <f t="shared" si="10"/>
        <v>23001.219589634158</v>
      </c>
      <c r="K49" s="247">
        <f>(H49-I49)/60*4+J49</f>
        <v>30668.292786178878</v>
      </c>
      <c r="L49" s="247">
        <f t="shared" si="11"/>
        <v>84337.805161991913</v>
      </c>
      <c r="M49" s="102"/>
      <c r="N49" s="101"/>
      <c r="O49" s="101"/>
    </row>
    <row r="50" spans="2:17" x14ac:dyDescent="0.25">
      <c r="B50" s="105" t="s">
        <v>278</v>
      </c>
      <c r="C50" s="106"/>
      <c r="D50" s="106"/>
      <c r="E50" s="106"/>
      <c r="F50" s="113"/>
      <c r="G50" s="114"/>
      <c r="H50" s="108"/>
      <c r="I50" s="113"/>
      <c r="J50" s="108"/>
      <c r="K50" s="247"/>
      <c r="L50" s="247"/>
      <c r="M50" s="102"/>
      <c r="N50" s="101"/>
      <c r="O50" s="101"/>
    </row>
    <row r="51" spans="2:17" x14ac:dyDescent="0.25">
      <c r="B51" s="71" t="s">
        <v>279</v>
      </c>
      <c r="C51" s="106">
        <v>5</v>
      </c>
      <c r="D51" s="112">
        <v>44531</v>
      </c>
      <c r="E51" s="106"/>
      <c r="F51" s="113">
        <v>483195.95</v>
      </c>
      <c r="G51" s="114">
        <v>1</v>
      </c>
      <c r="H51" s="108">
        <f t="shared" si="0"/>
        <v>483195.95</v>
      </c>
      <c r="I51" s="113">
        <v>0</v>
      </c>
      <c r="J51" s="108">
        <v>0</v>
      </c>
      <c r="K51" s="247">
        <v>0</v>
      </c>
      <c r="L51" s="247">
        <f t="shared" si="11"/>
        <v>483195.95</v>
      </c>
      <c r="M51" s="102"/>
      <c r="N51" s="101"/>
      <c r="O51" s="101"/>
    </row>
    <row r="52" spans="2:17" x14ac:dyDescent="0.25">
      <c r="B52" s="110" t="s">
        <v>229</v>
      </c>
      <c r="C52" s="106"/>
      <c r="D52" s="106"/>
      <c r="E52" s="106"/>
      <c r="F52" s="115">
        <f>SUM(F42:F51)</f>
        <v>15758221.030921614</v>
      </c>
      <c r="G52" s="114"/>
      <c r="H52" s="115">
        <f>SUM(H42:H51)</f>
        <v>23539568.331317276</v>
      </c>
      <c r="I52" s="71"/>
      <c r="J52" s="115">
        <f>SUM(J42:J51)</f>
        <v>4270185.5484454222</v>
      </c>
      <c r="K52" s="99"/>
      <c r="L52" s="99"/>
      <c r="Q52" s="99"/>
    </row>
    <row r="53" spans="2:17" x14ac:dyDescent="0.25">
      <c r="B53" s="244" t="s">
        <v>36</v>
      </c>
      <c r="C53" s="176"/>
      <c r="D53" s="176"/>
      <c r="E53" s="176"/>
      <c r="F53" s="177"/>
      <c r="G53" s="243"/>
      <c r="H53" s="241"/>
      <c r="I53" s="177"/>
      <c r="J53" s="177"/>
      <c r="K53" s="99"/>
      <c r="L53" s="99"/>
    </row>
    <row r="54" spans="2:17" x14ac:dyDescent="0.25">
      <c r="B54" s="71" t="s">
        <v>38</v>
      </c>
      <c r="C54" s="106">
        <v>10</v>
      </c>
      <c r="D54" s="106">
        <v>2016</v>
      </c>
      <c r="E54" s="106">
        <v>12</v>
      </c>
      <c r="F54" s="97">
        <v>123515.99400679771</v>
      </c>
      <c r="G54" s="114">
        <v>1.5094163354346632</v>
      </c>
      <c r="H54" s="108">
        <f t="shared" si="0"/>
        <v>186437.05904131042</v>
      </c>
      <c r="I54" s="113">
        <v>0</v>
      </c>
      <c r="J54" s="108">
        <f t="shared" ref="J54:J60" si="12">((H54-I54)/C54)*(E54/12)</f>
        <v>18643.705904131042</v>
      </c>
      <c r="K54" s="247">
        <f>28730.15+12351.6+10145.57+J54-27986.83</f>
        <v>41884.195904131033</v>
      </c>
      <c r="L54" s="247">
        <f>H54-K54</f>
        <v>144552.8631371794</v>
      </c>
      <c r="M54" s="101"/>
    </row>
    <row r="55" spans="2:17" x14ac:dyDescent="0.25">
      <c r="B55" s="71" t="s">
        <v>37</v>
      </c>
      <c r="C55" s="106">
        <v>10</v>
      </c>
      <c r="D55" s="106">
        <v>2017</v>
      </c>
      <c r="E55" s="106">
        <v>12</v>
      </c>
      <c r="F55" s="113">
        <v>38725.580917291962</v>
      </c>
      <c r="G55" s="114">
        <v>1.5094163354346632</v>
      </c>
      <c r="H55" s="108">
        <f t="shared" si="0"/>
        <v>58453.024435757361</v>
      </c>
      <c r="I55" s="113">
        <f>6807.02939061727*G55</f>
        <v>10274.641357981569</v>
      </c>
      <c r="J55" s="108">
        <f t="shared" si="12"/>
        <v>4817.8383077775788</v>
      </c>
      <c r="K55" s="247">
        <f>(H55-I55)/120*37+3191.86+J55</f>
        <v>22864.699756758448</v>
      </c>
      <c r="L55" s="247">
        <f t="shared" ref="L55:L60" si="13">H55-K55</f>
        <v>35588.324678998913</v>
      </c>
      <c r="M55" s="101"/>
      <c r="N55" s="101"/>
      <c r="O55" s="103"/>
    </row>
    <row r="56" spans="2:17" x14ac:dyDescent="0.25">
      <c r="B56" s="71" t="s">
        <v>37</v>
      </c>
      <c r="C56" s="106">
        <v>10</v>
      </c>
      <c r="D56" s="106">
        <v>2018</v>
      </c>
      <c r="E56" s="106">
        <v>12</v>
      </c>
      <c r="F56" s="113">
        <v>29863.795068177755</v>
      </c>
      <c r="G56" s="114">
        <v>1.5094163354346632</v>
      </c>
      <c r="H56" s="108">
        <f t="shared" si="0"/>
        <v>45076.900113980635</v>
      </c>
      <c r="I56" s="113">
        <f>5445.62351249382*G56</f>
        <v>8219.7130863852617</v>
      </c>
      <c r="J56" s="108">
        <f t="shared" si="12"/>
        <v>3685.7187027595369</v>
      </c>
      <c r="K56" s="247">
        <f>(H56-I56)/120*31+2441.82+J56</f>
        <v>15648.97868488834</v>
      </c>
      <c r="L56" s="247">
        <f t="shared" si="13"/>
        <v>29427.921429092297</v>
      </c>
      <c r="M56" s="101"/>
      <c r="N56" s="101"/>
      <c r="O56" s="103"/>
    </row>
    <row r="57" spans="2:17" x14ac:dyDescent="0.25">
      <c r="B57" s="71" t="s">
        <v>37</v>
      </c>
      <c r="C57" s="106">
        <v>10</v>
      </c>
      <c r="D57" s="106">
        <v>2018</v>
      </c>
      <c r="E57" s="106">
        <v>12</v>
      </c>
      <c r="F57" s="113">
        <v>49701.061429345988</v>
      </c>
      <c r="G57" s="114">
        <v>1.5094163354346632</v>
      </c>
      <c r="H57" s="108">
        <f t="shared" si="0"/>
        <v>75019.594009896507</v>
      </c>
      <c r="I57" s="113">
        <f>8168.43526874072*G57</f>
        <v>12329.569629577876</v>
      </c>
      <c r="J57" s="108">
        <f t="shared" si="12"/>
        <v>6269.0024380318628</v>
      </c>
      <c r="K57" s="247">
        <f>(H57-I57)/120*25-657.6+4153.26+J57</f>
        <v>22825.084183931576</v>
      </c>
      <c r="L57" s="247">
        <f t="shared" si="13"/>
        <v>52194.509825964931</v>
      </c>
      <c r="M57" s="101"/>
      <c r="N57" s="101"/>
      <c r="O57" s="103"/>
    </row>
    <row r="58" spans="2:17" x14ac:dyDescent="0.25">
      <c r="B58" s="71" t="s">
        <v>230</v>
      </c>
      <c r="C58" s="106">
        <v>50</v>
      </c>
      <c r="D58" s="106">
        <v>2020</v>
      </c>
      <c r="E58" s="106">
        <v>12</v>
      </c>
      <c r="F58" s="113">
        <v>182489.81170113714</v>
      </c>
      <c r="G58" s="114">
        <v>1.5094163354346632</v>
      </c>
      <c r="H58" s="108">
        <f t="shared" si="0"/>
        <v>275453.10283209215</v>
      </c>
      <c r="I58" s="113">
        <v>0</v>
      </c>
      <c r="J58" s="108">
        <f t="shared" si="12"/>
        <v>5509.0620566418429</v>
      </c>
      <c r="K58" s="247">
        <f>(H58-I58)/120*12+J58</f>
        <v>33054.372339851056</v>
      </c>
      <c r="L58" s="247">
        <f t="shared" si="13"/>
        <v>242398.7304922411</v>
      </c>
      <c r="M58" s="101"/>
      <c r="N58" s="101"/>
      <c r="O58" s="103"/>
      <c r="Q58" s="99"/>
    </row>
    <row r="59" spans="2:17" x14ac:dyDescent="0.25">
      <c r="B59" s="71" t="s">
        <v>37</v>
      </c>
      <c r="C59" s="106">
        <v>10</v>
      </c>
      <c r="D59" s="106">
        <v>2020</v>
      </c>
      <c r="E59" s="106">
        <v>12</v>
      </c>
      <c r="F59" s="113">
        <v>32742.187062632889</v>
      </c>
      <c r="G59" s="114">
        <v>1.5094163354346632</v>
      </c>
      <c r="H59" s="108">
        <f t="shared" si="0"/>
        <v>49421.592010195578</v>
      </c>
      <c r="I59" s="113">
        <v>0</v>
      </c>
      <c r="J59" s="108">
        <f t="shared" si="12"/>
        <v>4942.1592010195582</v>
      </c>
      <c r="K59" s="247">
        <f t="shared" ref="K59:K60" si="14">(H59-I59)/120*12+J59</f>
        <v>9884.3184020391163</v>
      </c>
      <c r="L59" s="247">
        <f t="shared" si="13"/>
        <v>39537.273608156465</v>
      </c>
      <c r="M59" s="101"/>
      <c r="N59" s="101"/>
      <c r="O59" s="103"/>
      <c r="Q59" s="99"/>
    </row>
    <row r="60" spans="2:17" x14ac:dyDescent="0.25">
      <c r="B60" s="71" t="s">
        <v>37</v>
      </c>
      <c r="C60" s="106">
        <v>10</v>
      </c>
      <c r="D60" s="106">
        <v>2020</v>
      </c>
      <c r="E60" s="106">
        <v>12</v>
      </c>
      <c r="F60" s="113">
        <v>139762.84779818723</v>
      </c>
      <c r="G60" s="114">
        <v>1.5094163354346632</v>
      </c>
      <c r="H60" s="108">
        <f t="shared" si="0"/>
        <v>210960.32555345236</v>
      </c>
      <c r="I60" s="113">
        <v>0</v>
      </c>
      <c r="J60" s="108">
        <f t="shared" si="12"/>
        <v>21096.032555345235</v>
      </c>
      <c r="K60" s="247">
        <f t="shared" si="14"/>
        <v>42192.06511069047</v>
      </c>
      <c r="L60" s="247">
        <f t="shared" si="13"/>
        <v>168768.26044276188</v>
      </c>
      <c r="M60" s="101"/>
      <c r="N60" s="101"/>
      <c r="O60" s="103"/>
      <c r="Q60" s="99"/>
    </row>
    <row r="61" spans="2:17" x14ac:dyDescent="0.25">
      <c r="B61" s="110" t="s">
        <v>275</v>
      </c>
      <c r="C61" s="106"/>
      <c r="D61" s="106"/>
      <c r="E61" s="106"/>
      <c r="F61" s="115">
        <f>SUM(F54:F60)</f>
        <v>596801.2779835707</v>
      </c>
      <c r="G61" s="114"/>
      <c r="H61" s="115">
        <f>SUM(H54:H60)</f>
        <v>900821.59799668496</v>
      </c>
      <c r="I61" s="113"/>
      <c r="J61" s="115">
        <f>SUM(J54:J60)</f>
        <v>64963.519165706661</v>
      </c>
      <c r="L61" s="104"/>
      <c r="M61" s="101"/>
      <c r="N61" s="101"/>
      <c r="O61" s="103"/>
    </row>
    <row r="62" spans="2:17" x14ac:dyDescent="0.25">
      <c r="L62" s="104"/>
      <c r="M62" s="101"/>
      <c r="N62" s="101"/>
      <c r="O62" s="103"/>
    </row>
    <row r="63" spans="2:17" x14ac:dyDescent="0.25">
      <c r="J63" s="98" t="s">
        <v>192</v>
      </c>
      <c r="L63" s="104"/>
      <c r="M63" s="245"/>
      <c r="N63" s="101"/>
      <c r="O63" s="103"/>
    </row>
    <row r="64" spans="2:17" ht="45" x14ac:dyDescent="0.25">
      <c r="B64" s="175"/>
      <c r="C64" s="176" t="s">
        <v>204</v>
      </c>
      <c r="D64" s="176" t="s">
        <v>205</v>
      </c>
      <c r="E64" s="176" t="s">
        <v>206</v>
      </c>
      <c r="F64" s="176" t="s">
        <v>207</v>
      </c>
      <c r="G64" s="176" t="s">
        <v>208</v>
      </c>
      <c r="H64" s="98" t="s">
        <v>192</v>
      </c>
      <c r="I64" s="99"/>
      <c r="L64" s="104"/>
      <c r="N64" s="245"/>
      <c r="O64" s="103"/>
    </row>
    <row r="65" spans="2:12" ht="18" customHeight="1" x14ac:dyDescent="0.25">
      <c r="B65" s="175" t="s">
        <v>201</v>
      </c>
      <c r="C65" s="177">
        <v>132104.9</v>
      </c>
      <c r="D65" s="177">
        <f>G65+F65-E65-C65</f>
        <v>47743.49000000002</v>
      </c>
      <c r="E65" s="177">
        <v>0</v>
      </c>
      <c r="F65" s="177">
        <v>30776.58</v>
      </c>
      <c r="G65" s="177">
        <v>149071.81</v>
      </c>
      <c r="L65" s="246"/>
    </row>
    <row r="66" spans="2:12" ht="18" customHeight="1" x14ac:dyDescent="0.25">
      <c r="B66" s="175" t="s">
        <v>202</v>
      </c>
      <c r="C66" s="177">
        <v>107741.73</v>
      </c>
      <c r="D66" s="177">
        <f t="shared" ref="D66:D70" si="15">G66+F66-E66-C66</f>
        <v>50229.37999999999</v>
      </c>
      <c r="E66" s="177">
        <v>104783.94</v>
      </c>
      <c r="F66" s="177">
        <v>26118.22</v>
      </c>
      <c r="G66" s="177">
        <v>236636.83</v>
      </c>
    </row>
    <row r="67" spans="2:12" ht="18" customHeight="1" x14ac:dyDescent="0.25">
      <c r="B67" s="175" t="s">
        <v>35</v>
      </c>
      <c r="C67" s="177">
        <v>204726.52</v>
      </c>
      <c r="D67" s="177">
        <f t="shared" si="15"/>
        <v>494553.58000000007</v>
      </c>
      <c r="E67" s="177">
        <v>2815887.18</v>
      </c>
      <c r="F67" s="177">
        <v>343441.45</v>
      </c>
      <c r="G67" s="177">
        <v>3171725.83</v>
      </c>
    </row>
    <row r="68" spans="2:12" ht="18" customHeight="1" x14ac:dyDescent="0.25">
      <c r="B68" s="175" t="s">
        <v>203</v>
      </c>
      <c r="C68" s="177">
        <v>8315039.5300000003</v>
      </c>
      <c r="D68" s="177">
        <f t="shared" si="15"/>
        <v>3240017.7599999988</v>
      </c>
      <c r="E68" s="177">
        <v>0</v>
      </c>
      <c r="F68" s="177">
        <v>2463010.62</v>
      </c>
      <c r="G68" s="177">
        <v>9092046.6699999999</v>
      </c>
    </row>
    <row r="69" spans="2:12" ht="18" customHeight="1" x14ac:dyDescent="0.25">
      <c r="B69" s="175" t="s">
        <v>33</v>
      </c>
      <c r="C69" s="177">
        <v>649999.4</v>
      </c>
      <c r="D69" s="177">
        <f t="shared" si="15"/>
        <v>0</v>
      </c>
      <c r="E69" s="177">
        <v>0</v>
      </c>
      <c r="F69" s="177">
        <v>349994.39</v>
      </c>
      <c r="G69" s="177">
        <v>300005.01</v>
      </c>
    </row>
    <row r="70" spans="2:12" ht="18" customHeight="1" x14ac:dyDescent="0.25">
      <c r="B70" s="175" t="s">
        <v>36</v>
      </c>
      <c r="C70" s="177">
        <v>138513.45000000001</v>
      </c>
      <c r="D70" s="177">
        <f t="shared" si="15"/>
        <v>98326.329999999958</v>
      </c>
      <c r="E70" s="177">
        <v>306728.09000000003</v>
      </c>
      <c r="F70" s="177">
        <v>43038.83</v>
      </c>
      <c r="G70" s="177">
        <v>500529.04</v>
      </c>
    </row>
    <row r="75" spans="2:12" x14ac:dyDescent="0.25">
      <c r="G75" s="99"/>
    </row>
  </sheetData>
  <pageMargins left="0.7" right="0.7" top="0.75" bottom="0.75" header="0.3" footer="0.3"/>
  <pageSetup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U129"/>
  <sheetViews>
    <sheetView topLeftCell="A7" zoomScale="90" zoomScaleNormal="90" workbookViewId="0">
      <selection activeCell="L13" sqref="L13"/>
    </sheetView>
  </sheetViews>
  <sheetFormatPr baseColWidth="10" defaultRowHeight="15" x14ac:dyDescent="0.25"/>
  <cols>
    <col min="1" max="1" width="2.85546875" customWidth="1"/>
    <col min="2" max="2" width="11.5703125" bestFit="1" customWidth="1"/>
    <col min="4" max="4" width="4.140625" customWidth="1"/>
    <col min="5" max="6" width="12.7109375" style="4" bestFit="1" customWidth="1"/>
    <col min="7" max="7" width="4.5703125" customWidth="1"/>
    <col min="8" max="8" width="11.5703125" bestFit="1" customWidth="1"/>
    <col min="10" max="10" width="2.85546875" customWidth="1"/>
    <col min="11" max="12" width="11.5703125" bestFit="1" customWidth="1"/>
    <col min="13" max="13" width="2.7109375" customWidth="1"/>
    <col min="14" max="14" width="11.5703125" bestFit="1" customWidth="1"/>
    <col min="15" max="15" width="12.7109375" bestFit="1" customWidth="1"/>
    <col min="16" max="16" width="3.140625" customWidth="1"/>
    <col min="18" max="18" width="12.5703125" bestFit="1" customWidth="1"/>
    <col min="19" max="19" width="4.5703125" customWidth="1"/>
    <col min="20" max="21" width="11.5703125" bestFit="1" customWidth="1"/>
  </cols>
  <sheetData>
    <row r="2" spans="2:18" x14ac:dyDescent="0.25">
      <c r="B2" s="292"/>
      <c r="C2" s="293"/>
      <c r="E2" s="294"/>
      <c r="F2" s="295"/>
      <c r="H2" s="292"/>
      <c r="I2" s="293"/>
      <c r="K2" s="292"/>
      <c r="L2" s="293"/>
      <c r="N2" s="292"/>
      <c r="O2" s="293"/>
      <c r="Q2" s="292"/>
      <c r="R2" s="293"/>
    </row>
    <row r="3" spans="2:18" ht="15.75" thickBot="1" x14ac:dyDescent="0.3">
      <c r="H3" s="4"/>
      <c r="I3" s="4"/>
      <c r="K3" s="4"/>
      <c r="N3" s="4"/>
      <c r="Q3" s="4"/>
      <c r="R3" s="4"/>
    </row>
    <row r="4" spans="2:18" ht="15.75" thickBot="1" x14ac:dyDescent="0.3">
      <c r="B4" s="6"/>
      <c r="H4" s="4"/>
      <c r="I4" s="4"/>
      <c r="K4" s="5"/>
      <c r="N4" s="5"/>
      <c r="Q4" s="4"/>
      <c r="R4" s="4"/>
    </row>
    <row r="5" spans="2:18" ht="15.75" thickBot="1" x14ac:dyDescent="0.3">
      <c r="H5" s="4"/>
      <c r="I5" s="4"/>
      <c r="Q5" s="5"/>
      <c r="R5" s="4"/>
    </row>
    <row r="6" spans="2:18" x14ac:dyDescent="0.25">
      <c r="H6" s="4"/>
      <c r="I6" s="4"/>
      <c r="Q6" s="4"/>
      <c r="R6" s="4"/>
    </row>
    <row r="7" spans="2:18" x14ac:dyDescent="0.25">
      <c r="H7" s="4"/>
      <c r="I7" s="4"/>
    </row>
    <row r="8" spans="2:18" x14ac:dyDescent="0.25">
      <c r="H8" s="4"/>
      <c r="I8" s="4"/>
    </row>
    <row r="9" spans="2:18" x14ac:dyDescent="0.25">
      <c r="H9" s="4"/>
      <c r="I9" s="4"/>
    </row>
    <row r="10" spans="2:18" x14ac:dyDescent="0.25">
      <c r="H10" s="4"/>
      <c r="I10" s="4"/>
    </row>
    <row r="11" spans="2:18" x14ac:dyDescent="0.25">
      <c r="H11" s="4"/>
      <c r="I11" s="4"/>
    </row>
    <row r="12" spans="2:18" x14ac:dyDescent="0.25">
      <c r="H12" s="4"/>
      <c r="I12" s="4"/>
    </row>
    <row r="13" spans="2:18" x14ac:dyDescent="0.25">
      <c r="H13" s="4"/>
      <c r="I13" s="4"/>
    </row>
    <row r="14" spans="2:18" x14ac:dyDescent="0.25">
      <c r="H14" s="8"/>
      <c r="I14" s="3"/>
    </row>
    <row r="15" spans="2:18" ht="15.75" thickBot="1" x14ac:dyDescent="0.3">
      <c r="H15" s="7"/>
      <c r="I15" s="4"/>
    </row>
    <row r="16" spans="2:18" x14ac:dyDescent="0.25">
      <c r="H16" s="4"/>
      <c r="I16" s="4"/>
    </row>
    <row r="17" spans="2:18" x14ac:dyDescent="0.25">
      <c r="H17" s="4"/>
      <c r="I17" s="4"/>
    </row>
    <row r="18" spans="2:18" x14ac:dyDescent="0.25">
      <c r="H18" s="4"/>
      <c r="I18" s="4"/>
    </row>
    <row r="19" spans="2:18" x14ac:dyDescent="0.25">
      <c r="H19" s="4"/>
      <c r="I19" s="4"/>
    </row>
    <row r="20" spans="2:18" x14ac:dyDescent="0.25">
      <c r="H20" s="4"/>
      <c r="I20" s="4"/>
    </row>
    <row r="21" spans="2:18" x14ac:dyDescent="0.25">
      <c r="H21" s="4"/>
      <c r="I21" s="4"/>
    </row>
    <row r="22" spans="2:18" x14ac:dyDescent="0.25">
      <c r="H22" s="4"/>
      <c r="I22" s="4"/>
    </row>
    <row r="23" spans="2:18" x14ac:dyDescent="0.25">
      <c r="H23" s="4"/>
      <c r="I23" s="4"/>
    </row>
    <row r="24" spans="2:18" x14ac:dyDescent="0.25">
      <c r="H24" s="4"/>
      <c r="I24" s="4"/>
    </row>
    <row r="25" spans="2:18" x14ac:dyDescent="0.25">
      <c r="H25" s="4"/>
      <c r="I25" s="4"/>
    </row>
    <row r="26" spans="2:18" x14ac:dyDescent="0.25">
      <c r="H26" s="4"/>
      <c r="I26" s="4"/>
    </row>
    <row r="27" spans="2:18" x14ac:dyDescent="0.25">
      <c r="H27" s="4"/>
      <c r="I27" s="4"/>
    </row>
    <row r="28" spans="2:18" ht="15.75" thickBot="1" x14ac:dyDescent="0.3">
      <c r="E28" s="1"/>
      <c r="F28" s="2"/>
      <c r="H28" s="4"/>
      <c r="I28" s="4"/>
    </row>
    <row r="29" spans="2:18" ht="15.75" thickBot="1" x14ac:dyDescent="0.3">
      <c r="F29" s="5"/>
      <c r="H29" s="4"/>
      <c r="I29" s="4"/>
    </row>
    <row r="31" spans="2:18" x14ac:dyDescent="0.25">
      <c r="B31" s="292"/>
      <c r="C31" s="293"/>
      <c r="E31" s="294"/>
      <c r="F31" s="295"/>
      <c r="H31" s="292"/>
      <c r="I31" s="293"/>
      <c r="K31" s="292"/>
      <c r="L31" s="293"/>
      <c r="N31" s="292"/>
      <c r="O31" s="293"/>
      <c r="Q31" s="292"/>
      <c r="R31" s="293"/>
    </row>
    <row r="32" spans="2:18" ht="15.75" thickBot="1" x14ac:dyDescent="0.3">
      <c r="B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2:18" ht="15.75" thickBot="1" x14ac:dyDescent="0.3">
      <c r="B33" s="5"/>
      <c r="H33" s="4"/>
      <c r="I33" s="4"/>
      <c r="J33" s="4"/>
      <c r="K33" s="5"/>
      <c r="L33" s="4"/>
      <c r="M33" s="4"/>
      <c r="N33" s="4"/>
      <c r="O33" s="5"/>
      <c r="P33" s="4"/>
      <c r="Q33" s="4"/>
      <c r="R33" s="4"/>
    </row>
    <row r="34" spans="2:18" ht="15.75" thickBot="1" x14ac:dyDescent="0.3">
      <c r="H34" s="5"/>
      <c r="I34" s="4"/>
      <c r="J34" s="4"/>
      <c r="K34" s="4"/>
      <c r="L34" s="4"/>
      <c r="M34" s="4"/>
      <c r="N34" s="4"/>
      <c r="O34" s="4"/>
      <c r="P34" s="4"/>
      <c r="Q34" s="2"/>
      <c r="R34" s="1"/>
    </row>
    <row r="35" spans="2:18" ht="15.75" thickBot="1" x14ac:dyDescent="0.3">
      <c r="H35" s="4"/>
      <c r="I35" s="4"/>
      <c r="J35" s="4"/>
      <c r="K35" s="4"/>
      <c r="L35" s="4"/>
      <c r="M35" s="4"/>
      <c r="N35" s="4"/>
      <c r="O35" s="4"/>
      <c r="P35" s="4"/>
      <c r="Q35" s="5"/>
      <c r="R35" s="4"/>
    </row>
    <row r="36" spans="2:18" ht="15.75" thickBot="1" x14ac:dyDescent="0.3">
      <c r="E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2:18" x14ac:dyDescent="0.25"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9" spans="2:18" x14ac:dyDescent="0.25">
      <c r="B39" s="292"/>
      <c r="C39" s="293"/>
      <c r="E39" s="294"/>
      <c r="F39" s="295"/>
      <c r="H39" s="292"/>
      <c r="I39" s="293"/>
      <c r="K39" s="292"/>
      <c r="L39" s="293"/>
      <c r="N39" s="292"/>
      <c r="O39" s="293"/>
      <c r="Q39" s="292"/>
      <c r="R39" s="293"/>
    </row>
    <row r="40" spans="2:18" ht="15.75" thickBot="1" x14ac:dyDescent="0.3">
      <c r="B40" s="4"/>
      <c r="C40" s="4"/>
      <c r="D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2:18" ht="15.75" thickBot="1" x14ac:dyDescent="0.3">
      <c r="B41" s="4"/>
      <c r="C41" s="4"/>
      <c r="D41" s="4"/>
      <c r="G41" s="4"/>
      <c r="H41" s="4"/>
      <c r="I41" s="4"/>
      <c r="J41" s="4"/>
      <c r="K41" s="4"/>
      <c r="L41" s="5"/>
      <c r="M41" s="4"/>
      <c r="N41" s="4"/>
      <c r="O41" s="5"/>
      <c r="P41" s="4"/>
      <c r="Q41" s="4"/>
      <c r="R41" s="5"/>
    </row>
    <row r="42" spans="2:18" x14ac:dyDescent="0.25">
      <c r="B42" s="4"/>
      <c r="C42" s="4"/>
      <c r="D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2:18" x14ac:dyDescent="0.25">
      <c r="B43" s="4"/>
      <c r="C43" s="4"/>
      <c r="D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2:18" x14ac:dyDescent="0.25">
      <c r="B44" s="4"/>
      <c r="C44" s="4"/>
      <c r="D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2:18" x14ac:dyDescent="0.25">
      <c r="B45" s="4"/>
      <c r="C45" s="4"/>
      <c r="D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2:18" x14ac:dyDescent="0.25">
      <c r="B46" s="4"/>
      <c r="C46" s="4"/>
      <c r="D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2:18" x14ac:dyDescent="0.25">
      <c r="B47" s="4"/>
      <c r="C47" s="4"/>
      <c r="D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2:18" x14ac:dyDescent="0.25">
      <c r="B48" s="4"/>
      <c r="C48" s="4"/>
      <c r="D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2:21" x14ac:dyDescent="0.25">
      <c r="B49" s="4"/>
      <c r="C49" s="4"/>
      <c r="D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2:21" x14ac:dyDescent="0.25">
      <c r="B50" s="4"/>
      <c r="C50" s="4"/>
      <c r="D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2:21" x14ac:dyDescent="0.25">
      <c r="B51" s="4"/>
      <c r="C51" s="4"/>
      <c r="D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2:21" x14ac:dyDescent="0.25">
      <c r="B52" s="4"/>
      <c r="C52" s="4"/>
      <c r="D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2:21" ht="15.75" thickBot="1" x14ac:dyDescent="0.3">
      <c r="B53" s="1"/>
      <c r="C53" s="2"/>
      <c r="D53" s="4"/>
      <c r="E53" s="1"/>
      <c r="F53" s="2"/>
      <c r="G53" s="4"/>
      <c r="H53" s="1"/>
      <c r="I53" s="2"/>
      <c r="J53" s="4"/>
      <c r="K53" s="4"/>
      <c r="L53" s="4"/>
      <c r="M53" s="4"/>
      <c r="N53" s="4"/>
      <c r="O53" s="4"/>
      <c r="P53" s="4"/>
      <c r="Q53" s="4"/>
      <c r="R53" s="4"/>
    </row>
    <row r="54" spans="2:21" ht="15.75" thickBot="1" x14ac:dyDescent="0.3">
      <c r="B54" s="4"/>
      <c r="C54" s="5"/>
      <c r="D54" s="4"/>
      <c r="F54" s="5"/>
      <c r="G54" s="4"/>
      <c r="H54" s="4"/>
      <c r="I54" s="5"/>
      <c r="J54" s="4"/>
      <c r="K54" s="4"/>
      <c r="L54" s="4"/>
      <c r="M54" s="4"/>
      <c r="N54" s="4"/>
      <c r="O54" s="4"/>
      <c r="P54" s="4"/>
      <c r="Q54" s="4"/>
      <c r="R54" s="4"/>
    </row>
    <row r="55" spans="2:21" x14ac:dyDescent="0.25">
      <c r="B55" s="4"/>
      <c r="C55" s="4"/>
      <c r="D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7" spans="2:21" x14ac:dyDescent="0.25">
      <c r="B57" s="292"/>
      <c r="C57" s="293"/>
      <c r="E57" s="294"/>
      <c r="F57" s="295"/>
      <c r="H57" s="292"/>
      <c r="I57" s="293"/>
      <c r="K57" s="292"/>
      <c r="L57" s="293"/>
      <c r="N57" s="292"/>
      <c r="O57" s="293"/>
      <c r="Q57" s="292"/>
      <c r="R57" s="293"/>
      <c r="T57" s="292"/>
      <c r="U57" s="293"/>
    </row>
    <row r="58" spans="2:21" ht="15.75" thickBot="1" x14ac:dyDescent="0.3">
      <c r="B58" s="4"/>
      <c r="C58" s="4"/>
      <c r="D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ht="15.75" thickBot="1" x14ac:dyDescent="0.3">
      <c r="B59" s="4"/>
      <c r="C59" s="5"/>
      <c r="D59" s="4"/>
      <c r="F59" s="5"/>
      <c r="G59" s="4"/>
      <c r="H59" s="4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2:21" x14ac:dyDescent="0.25">
      <c r="B60" s="4"/>
      <c r="C60" s="4"/>
      <c r="D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1"/>
      <c r="U60" s="1"/>
    </row>
    <row r="61" spans="2:21" ht="15.75" thickBot="1" x14ac:dyDescent="0.3">
      <c r="B61" s="4"/>
      <c r="C61" s="4"/>
      <c r="D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7"/>
      <c r="U61" s="4"/>
    </row>
    <row r="62" spans="2:21" x14ac:dyDescent="0.25">
      <c r="B62" s="4"/>
      <c r="C62" s="4"/>
      <c r="D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2:21" x14ac:dyDescent="0.25">
      <c r="B63" s="4"/>
      <c r="C63" s="4"/>
      <c r="D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2:21" x14ac:dyDescent="0.25">
      <c r="B64" s="4"/>
      <c r="C64" s="4"/>
      <c r="D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2:21" x14ac:dyDescent="0.25">
      <c r="B65" s="4"/>
      <c r="C65" s="4"/>
      <c r="D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1" x14ac:dyDescent="0.25">
      <c r="B66" s="4"/>
      <c r="C66" s="4"/>
      <c r="D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21" x14ac:dyDescent="0.25">
      <c r="B67" s="4"/>
      <c r="C67" s="4"/>
      <c r="D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2:21" x14ac:dyDescent="0.25">
      <c r="B68" s="4"/>
      <c r="C68" s="4"/>
      <c r="D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2:21" ht="15.75" thickBot="1" x14ac:dyDescent="0.3">
      <c r="B69" s="4"/>
      <c r="C69" s="4"/>
      <c r="D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2:21" ht="15.75" thickBot="1" x14ac:dyDescent="0.3">
      <c r="B70" s="4"/>
      <c r="C70" s="4"/>
      <c r="D70" s="4"/>
      <c r="G70" s="4"/>
      <c r="H70" s="4"/>
      <c r="I70" s="4"/>
      <c r="J70" s="4"/>
      <c r="K70" s="1"/>
      <c r="L70" s="1"/>
      <c r="M70" s="4"/>
      <c r="N70" s="4"/>
      <c r="O70" s="5"/>
      <c r="P70" s="4"/>
      <c r="Q70" s="1"/>
      <c r="R70" s="2"/>
      <c r="S70" s="4"/>
      <c r="T70" s="4"/>
      <c r="U70" s="4"/>
    </row>
    <row r="71" spans="2:21" ht="15.75" thickBot="1" x14ac:dyDescent="0.3">
      <c r="B71" s="4"/>
      <c r="C71" s="4"/>
      <c r="D71" s="4"/>
      <c r="G71" s="4"/>
      <c r="H71" s="4"/>
      <c r="I71" s="4"/>
      <c r="J71" s="4"/>
      <c r="K71" s="7"/>
      <c r="L71" s="4"/>
      <c r="M71" s="4"/>
      <c r="N71" s="4"/>
      <c r="O71" s="4"/>
      <c r="P71" s="4"/>
      <c r="Q71" s="4"/>
      <c r="R71" s="5"/>
      <c r="S71" s="4"/>
      <c r="T71" s="4"/>
      <c r="U71" s="4"/>
    </row>
    <row r="72" spans="2:21" x14ac:dyDescent="0.25">
      <c r="B72" s="4"/>
      <c r="C72" s="4"/>
      <c r="D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4" spans="2:21" x14ac:dyDescent="0.25">
      <c r="B74" s="292"/>
      <c r="C74" s="293"/>
      <c r="E74" s="294"/>
      <c r="F74" s="295"/>
      <c r="H74" s="292"/>
      <c r="I74" s="293"/>
      <c r="K74" s="292"/>
      <c r="L74" s="293"/>
      <c r="N74" s="292"/>
      <c r="O74" s="293"/>
      <c r="Q74" s="292"/>
      <c r="R74" s="293"/>
    </row>
    <row r="75" spans="2:21" x14ac:dyDescent="0.25">
      <c r="B75" s="4"/>
      <c r="C75" s="4"/>
      <c r="D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2:21" x14ac:dyDescent="0.25">
      <c r="B76" s="4"/>
      <c r="C76" s="4"/>
      <c r="D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2:21" x14ac:dyDescent="0.25">
      <c r="B77" s="4"/>
      <c r="C77" s="4"/>
      <c r="D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2:21" x14ac:dyDescent="0.25">
      <c r="B78" s="4"/>
      <c r="C78" s="4"/>
      <c r="D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2:21" x14ac:dyDescent="0.25">
      <c r="B79" s="4"/>
      <c r="C79" s="4"/>
      <c r="D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2:21" x14ac:dyDescent="0.25">
      <c r="B80" s="4"/>
      <c r="C80" s="4"/>
      <c r="D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2:21" x14ac:dyDescent="0.25">
      <c r="B81" s="4"/>
      <c r="C81" s="4"/>
      <c r="D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2:21" x14ac:dyDescent="0.25">
      <c r="B82" s="4"/>
      <c r="C82" s="4"/>
      <c r="D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2:21" x14ac:dyDescent="0.25">
      <c r="B83" s="4"/>
      <c r="C83" s="4"/>
      <c r="D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2:21" x14ac:dyDescent="0.25">
      <c r="B84" s="4"/>
      <c r="C84" s="4"/>
      <c r="D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2:21" ht="15.75" thickBot="1" x14ac:dyDescent="0.3">
      <c r="B85" s="4"/>
      <c r="C85" s="4"/>
      <c r="D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2:21" ht="15.75" thickBot="1" x14ac:dyDescent="0.3">
      <c r="B86" s="5"/>
      <c r="C86" s="4"/>
      <c r="D86" s="4"/>
      <c r="E86" s="5"/>
      <c r="G86" s="4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2:21" ht="15.75" thickBot="1" x14ac:dyDescent="0.3">
      <c r="B87" s="4"/>
      <c r="C87" s="4"/>
      <c r="D87" s="4"/>
      <c r="G87" s="4"/>
      <c r="H87" s="4"/>
      <c r="I87" s="4"/>
      <c r="J87" s="4"/>
      <c r="K87" s="5"/>
      <c r="L87" s="4"/>
      <c r="M87" s="4"/>
      <c r="N87" s="4"/>
      <c r="O87" s="4"/>
      <c r="P87" s="4"/>
      <c r="Q87" s="5"/>
      <c r="R87" s="4"/>
    </row>
    <row r="88" spans="2:21" x14ac:dyDescent="0.25">
      <c r="B88" s="4"/>
      <c r="C88" s="4"/>
      <c r="D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2:21" x14ac:dyDescent="0.25">
      <c r="B89" s="4"/>
      <c r="C89" s="4"/>
      <c r="D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2:21" x14ac:dyDescent="0.25">
      <c r="B90" s="4"/>
      <c r="C90" s="4"/>
      <c r="D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2:21" x14ac:dyDescent="0.25">
      <c r="B91" s="4"/>
      <c r="C91" s="4"/>
      <c r="D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2:21" ht="15.75" thickBot="1" x14ac:dyDescent="0.3">
      <c r="B92" s="4"/>
      <c r="C92" s="4"/>
      <c r="D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2:21" ht="15.75" thickBot="1" x14ac:dyDescent="0.3">
      <c r="B93" s="4"/>
      <c r="C93" s="4"/>
      <c r="D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</row>
    <row r="95" spans="2:21" x14ac:dyDescent="0.25">
      <c r="B95" s="292"/>
      <c r="C95" s="293"/>
      <c r="E95" s="294"/>
      <c r="F95" s="295"/>
      <c r="H95" s="292"/>
      <c r="I95" s="293"/>
      <c r="K95" s="292"/>
      <c r="L95" s="293"/>
      <c r="N95" s="292"/>
      <c r="O95" s="293"/>
      <c r="Q95" s="292"/>
      <c r="R95" s="293"/>
      <c r="T95" s="292"/>
      <c r="U95" s="293"/>
    </row>
    <row r="96" spans="2:21" x14ac:dyDescent="0.25">
      <c r="B96" s="4"/>
      <c r="C96" s="4"/>
      <c r="D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1" x14ac:dyDescent="0.25">
      <c r="B97" s="4"/>
      <c r="C97" s="4"/>
      <c r="D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2:21" x14ac:dyDescent="0.25">
      <c r="B98" s="4"/>
      <c r="C98" s="4"/>
      <c r="D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2:21" x14ac:dyDescent="0.25">
      <c r="B99" s="4"/>
      <c r="C99" s="4"/>
      <c r="D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2:21" ht="15.75" thickBot="1" x14ac:dyDescent="0.3">
      <c r="B100" s="4"/>
      <c r="C100" s="4"/>
      <c r="D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"/>
      <c r="U100" s="1"/>
    </row>
    <row r="101" spans="2:21" ht="15.75" thickBot="1" x14ac:dyDescent="0.3">
      <c r="B101" s="4"/>
      <c r="C101" s="4"/>
      <c r="D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"/>
      <c r="U101" s="4"/>
    </row>
    <row r="102" spans="2:21" ht="15.75" thickBot="1" x14ac:dyDescent="0.3">
      <c r="B102" s="4"/>
      <c r="C102" s="4"/>
      <c r="D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4"/>
    </row>
    <row r="103" spans="2:21" x14ac:dyDescent="0.25">
      <c r="B103" s="4"/>
      <c r="C103" s="4"/>
      <c r="D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2:21" x14ac:dyDescent="0.25">
      <c r="B104" s="4"/>
      <c r="C104" s="4"/>
      <c r="D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2:21" x14ac:dyDescent="0.25">
      <c r="B105" s="4"/>
      <c r="C105" s="4"/>
      <c r="D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2:21" x14ac:dyDescent="0.25">
      <c r="B106" s="4"/>
      <c r="C106" s="4"/>
      <c r="D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2:21" ht="15.75" thickBot="1" x14ac:dyDescent="0.3">
      <c r="B107" s="4"/>
      <c r="C107" s="4"/>
      <c r="D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2:21" ht="15.75" thickBot="1" x14ac:dyDescent="0.3">
      <c r="B108" s="4"/>
      <c r="C108" s="4"/>
      <c r="D108" s="4"/>
      <c r="E108" s="1"/>
      <c r="F108" s="1"/>
      <c r="G108" s="4"/>
      <c r="H108" s="5"/>
      <c r="I108" s="4"/>
      <c r="J108" s="4"/>
      <c r="K108" s="5"/>
      <c r="L108" s="4"/>
      <c r="M108" s="4"/>
      <c r="N108" s="5"/>
      <c r="O108" s="4"/>
      <c r="P108" s="4"/>
      <c r="Q108" s="4"/>
      <c r="R108" s="4"/>
      <c r="S108" s="4"/>
      <c r="T108" s="4"/>
      <c r="U108" s="4"/>
    </row>
    <row r="109" spans="2:21" ht="15.75" thickBot="1" x14ac:dyDescent="0.3">
      <c r="B109" s="4"/>
      <c r="C109" s="4"/>
      <c r="D109" s="4"/>
      <c r="E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2:21" x14ac:dyDescent="0.25">
      <c r="B110" s="4"/>
      <c r="C110" s="4"/>
      <c r="D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2:21" x14ac:dyDescent="0.25">
      <c r="B111" s="4"/>
      <c r="C111" s="4"/>
      <c r="D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2:21" x14ac:dyDescent="0.25">
      <c r="B112" s="4"/>
      <c r="C112" s="4"/>
      <c r="D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2:21" ht="15.75" thickBot="1" x14ac:dyDescent="0.3">
      <c r="B113" s="4"/>
      <c r="C113" s="4"/>
      <c r="D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2:21" ht="15.75" thickBot="1" x14ac:dyDescent="0.3">
      <c r="B114" s="5"/>
      <c r="C114" s="4"/>
      <c r="D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2:21" x14ac:dyDescent="0.25">
      <c r="B115" s="4"/>
      <c r="C115" s="4"/>
      <c r="D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2:21" x14ac:dyDescent="0.25">
      <c r="B116" s="292"/>
      <c r="C116" s="293"/>
      <c r="E116" s="294"/>
      <c r="F116" s="295"/>
      <c r="H116" s="292"/>
      <c r="I116" s="293"/>
      <c r="K116" s="292"/>
      <c r="L116" s="293"/>
      <c r="N116" s="292"/>
      <c r="O116" s="293"/>
      <c r="Q116" s="292"/>
      <c r="R116" s="293"/>
      <c r="T116" s="292"/>
      <c r="U116" s="293"/>
    </row>
    <row r="117" spans="2:21" ht="15.75" thickBot="1" x14ac:dyDescent="0.3">
      <c r="B117" s="4"/>
      <c r="C117" s="4"/>
      <c r="D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2:21" ht="15.75" thickBot="1" x14ac:dyDescent="0.3">
      <c r="B118" s="4"/>
      <c r="C118" s="4"/>
      <c r="D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"/>
      <c r="U118" s="4"/>
    </row>
    <row r="119" spans="2:21" ht="15.75" thickBot="1" x14ac:dyDescent="0.3">
      <c r="B119" s="4"/>
      <c r="C119" s="4"/>
      <c r="D119" s="4"/>
      <c r="G119" s="4"/>
      <c r="H119" s="4"/>
      <c r="I119" s="4"/>
      <c r="J119" s="4"/>
      <c r="K119" s="1"/>
      <c r="L119" s="2"/>
      <c r="M119" s="4"/>
      <c r="N119" s="4"/>
      <c r="O119" s="4"/>
      <c r="P119" s="4"/>
      <c r="Q119" s="4"/>
      <c r="R119" s="5"/>
      <c r="S119" s="4"/>
      <c r="T119" s="4"/>
      <c r="U119" s="4"/>
    </row>
    <row r="120" spans="2:21" ht="15.75" thickBot="1" x14ac:dyDescent="0.3">
      <c r="B120" s="5"/>
      <c r="C120" s="4"/>
      <c r="D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4"/>
      <c r="R120" s="4"/>
      <c r="S120" s="4"/>
      <c r="T120" s="4"/>
      <c r="U120" s="4"/>
    </row>
    <row r="121" spans="2:21" x14ac:dyDescent="0.25">
      <c r="B121" s="4"/>
      <c r="C121" s="4"/>
      <c r="D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2:21" x14ac:dyDescent="0.25">
      <c r="B122" s="4"/>
      <c r="C122" s="4"/>
      <c r="D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2:21" ht="15.75" thickBot="1" x14ac:dyDescent="0.3">
      <c r="B123" s="4"/>
      <c r="C123" s="4"/>
      <c r="D123" s="4"/>
      <c r="G123" s="4"/>
      <c r="H123" s="4"/>
      <c r="I123" s="4"/>
      <c r="J123" s="4"/>
      <c r="K123" s="4"/>
      <c r="L123" s="4"/>
      <c r="M123" s="4"/>
      <c r="N123" s="2"/>
      <c r="O123" s="1"/>
      <c r="P123" s="4"/>
      <c r="Q123" s="4"/>
      <c r="R123" s="4"/>
      <c r="S123" s="4"/>
      <c r="T123" s="4"/>
      <c r="U123" s="4"/>
    </row>
    <row r="124" spans="2:21" ht="15.75" thickBot="1" x14ac:dyDescent="0.3">
      <c r="B124" s="4"/>
      <c r="C124" s="4"/>
      <c r="D124" s="4"/>
      <c r="G124" s="4"/>
      <c r="H124" s="5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</row>
    <row r="125" spans="2:21" x14ac:dyDescent="0.25">
      <c r="B125" s="4"/>
      <c r="C125" s="4"/>
      <c r="D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2:21" x14ac:dyDescent="0.25">
      <c r="B126" s="4"/>
      <c r="C126" s="4"/>
      <c r="D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2:21" x14ac:dyDescent="0.25">
      <c r="B127" s="4"/>
      <c r="C127" s="4"/>
      <c r="D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2:21" x14ac:dyDescent="0.25">
      <c r="B128" s="4"/>
      <c r="C128" s="4"/>
      <c r="D128" s="4"/>
      <c r="E128" s="1"/>
      <c r="F128" s="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2:21" ht="15.75" thickBot="1" x14ac:dyDescent="0.3">
      <c r="B129" s="4"/>
      <c r="C129" s="4"/>
      <c r="D129" s="4"/>
      <c r="E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</sheetData>
  <mergeCells count="45">
    <mergeCell ref="T57:U57"/>
    <mergeCell ref="Q116:R116"/>
    <mergeCell ref="T116:U116"/>
    <mergeCell ref="T95:U95"/>
    <mergeCell ref="B116:C116"/>
    <mergeCell ref="E116:F116"/>
    <mergeCell ref="H116:I116"/>
    <mergeCell ref="K116:L116"/>
    <mergeCell ref="N116:O116"/>
    <mergeCell ref="B95:C95"/>
    <mergeCell ref="E95:F95"/>
    <mergeCell ref="H95:I95"/>
    <mergeCell ref="K95:L95"/>
    <mergeCell ref="N95:O95"/>
    <mergeCell ref="Q95:R95"/>
    <mergeCell ref="B74:C74"/>
    <mergeCell ref="E74:F74"/>
    <mergeCell ref="H74:I74"/>
    <mergeCell ref="K74:L74"/>
    <mergeCell ref="N74:O74"/>
    <mergeCell ref="Q74:R74"/>
    <mergeCell ref="Q57:R57"/>
    <mergeCell ref="B39:C39"/>
    <mergeCell ref="E39:F39"/>
    <mergeCell ref="H39:I39"/>
    <mergeCell ref="K39:L39"/>
    <mergeCell ref="N39:O39"/>
    <mergeCell ref="Q39:R39"/>
    <mergeCell ref="B57:C57"/>
    <mergeCell ref="E57:F57"/>
    <mergeCell ref="H57:I57"/>
    <mergeCell ref="K57:L57"/>
    <mergeCell ref="N57:O57"/>
    <mergeCell ref="Q31:R31"/>
    <mergeCell ref="B2:C2"/>
    <mergeCell ref="E2:F2"/>
    <mergeCell ref="H2:I2"/>
    <mergeCell ref="K2:L2"/>
    <mergeCell ref="N2:O2"/>
    <mergeCell ref="Q2:R2"/>
    <mergeCell ref="B31:C31"/>
    <mergeCell ref="E31:F31"/>
    <mergeCell ref="H31:I31"/>
    <mergeCell ref="K31:L31"/>
    <mergeCell ref="N31:O3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Z97"/>
  <sheetViews>
    <sheetView topLeftCell="B42" zoomScale="90" zoomScaleNormal="90" workbookViewId="0">
      <selection activeCell="D65" sqref="D65"/>
    </sheetView>
  </sheetViews>
  <sheetFormatPr baseColWidth="10" defaultColWidth="11.42578125" defaultRowHeight="12.75" x14ac:dyDescent="0.2"/>
  <cols>
    <col min="1" max="1" width="10" style="34" customWidth="1"/>
    <col min="2" max="2" width="13" style="56" customWidth="1"/>
    <col min="3" max="3" width="17.5703125" style="37" customWidth="1"/>
    <col min="4" max="4" width="12.7109375" style="35" customWidth="1"/>
    <col min="5" max="5" width="12.28515625" style="35" customWidth="1"/>
    <col min="6" max="6" width="13.28515625" style="35" bestFit="1" customWidth="1"/>
    <col min="7" max="7" width="11.42578125" style="35" bestFit="1" customWidth="1"/>
    <col min="8" max="8" width="12.7109375" style="35" bestFit="1" customWidth="1"/>
    <col min="9" max="9" width="11.28515625" style="35" bestFit="1" customWidth="1"/>
    <col min="10" max="10" width="11.5703125" style="35" bestFit="1" customWidth="1"/>
    <col min="11" max="11" width="13.28515625" style="35" bestFit="1" customWidth="1"/>
    <col min="12" max="12" width="11.28515625" style="35" bestFit="1" customWidth="1"/>
    <col min="13" max="13" width="12.7109375" style="35" bestFit="1" customWidth="1"/>
    <col min="14" max="14" width="12.28515625" style="35" customWidth="1"/>
    <col min="15" max="15" width="11.28515625" style="35" customWidth="1"/>
    <col min="16" max="16" width="12.42578125" style="34" bestFit="1" customWidth="1"/>
    <col min="17" max="17" width="11.42578125" style="36" bestFit="1" customWidth="1"/>
    <col min="18" max="19" width="11.85546875" style="34" bestFit="1" customWidth="1"/>
    <col min="20" max="20" width="9.7109375" style="34" customWidth="1"/>
    <col min="21" max="16384" width="11.42578125" style="34"/>
  </cols>
  <sheetData>
    <row r="1" spans="2:26" x14ac:dyDescent="0.2">
      <c r="C1" s="186">
        <v>2021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53"/>
      <c r="Q1" s="65"/>
    </row>
    <row r="2" spans="2:26" x14ac:dyDescent="0.2">
      <c r="C2" s="186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53"/>
      <c r="Q2" s="65"/>
    </row>
    <row r="3" spans="2:26" x14ac:dyDescent="0.2">
      <c r="C3" s="54">
        <v>44166</v>
      </c>
      <c r="D3" s="55" t="s">
        <v>0</v>
      </c>
      <c r="E3" s="55" t="s">
        <v>1</v>
      </c>
      <c r="F3" s="55" t="s">
        <v>2</v>
      </c>
      <c r="G3" s="55" t="s">
        <v>3</v>
      </c>
      <c r="H3" s="55" t="s">
        <v>4</v>
      </c>
      <c r="I3" s="55" t="s">
        <v>5</v>
      </c>
      <c r="J3" s="55" t="s">
        <v>6</v>
      </c>
      <c r="K3" s="55" t="s">
        <v>7</v>
      </c>
      <c r="L3" s="55" t="s">
        <v>8</v>
      </c>
      <c r="M3" s="55" t="s">
        <v>9</v>
      </c>
      <c r="N3" s="55" t="s">
        <v>10</v>
      </c>
      <c r="O3" s="55" t="s">
        <v>11</v>
      </c>
      <c r="P3" s="53"/>
      <c r="Q3" s="65"/>
    </row>
    <row r="4" spans="2:26" ht="15" x14ac:dyDescent="0.25">
      <c r="C4" s="182">
        <v>385.88260000000002</v>
      </c>
      <c r="D4" s="188">
        <v>401.50709999999998</v>
      </c>
      <c r="E4" s="188">
        <v>415.85950000000003</v>
      </c>
      <c r="F4" s="188">
        <v>435.8657</v>
      </c>
      <c r="G4" s="188">
        <v>453.65030000000002</v>
      </c>
      <c r="H4" s="188">
        <v>468.72500000000002</v>
      </c>
      <c r="I4" s="188">
        <v>483.60489999999999</v>
      </c>
      <c r="J4" s="188">
        <v>498.09870000000001</v>
      </c>
      <c r="K4" s="188">
        <v>510.39420000000001</v>
      </c>
      <c r="L4" s="188">
        <v>528.49680000000001</v>
      </c>
      <c r="M4" s="188">
        <v>547.08019999999999</v>
      </c>
      <c r="N4" s="188">
        <v>560.91840000000002</v>
      </c>
      <c r="O4" s="188">
        <v>582.45749999999998</v>
      </c>
      <c r="P4" s="189" t="s">
        <v>145</v>
      </c>
      <c r="Q4" s="65"/>
    </row>
    <row r="5" spans="2:26" x14ac:dyDescent="0.2">
      <c r="C5" s="190">
        <f>$O$4/C4</f>
        <v>1.5094163354346632</v>
      </c>
      <c r="D5" s="191">
        <f t="shared" ref="D5:O5" si="0">$O$4/D4</f>
        <v>1.4506779581232809</v>
      </c>
      <c r="E5" s="191">
        <f t="shared" si="0"/>
        <v>1.4006112641408937</v>
      </c>
      <c r="F5" s="191">
        <f t="shared" si="0"/>
        <v>1.3363233216103032</v>
      </c>
      <c r="G5" s="191">
        <f t="shared" si="0"/>
        <v>1.2839350045618838</v>
      </c>
      <c r="H5" s="191">
        <f t="shared" si="0"/>
        <v>1.2426422742546268</v>
      </c>
      <c r="I5" s="191">
        <f t="shared" si="0"/>
        <v>1.2044077717161261</v>
      </c>
      <c r="J5" s="192">
        <f t="shared" si="0"/>
        <v>1.1693616144752033</v>
      </c>
      <c r="K5" s="191">
        <f t="shared" si="0"/>
        <v>1.1411914555455371</v>
      </c>
      <c r="L5" s="192">
        <f t="shared" si="0"/>
        <v>1.1021022265413905</v>
      </c>
      <c r="M5" s="191">
        <f t="shared" si="0"/>
        <v>1.0646656559678087</v>
      </c>
      <c r="N5" s="191">
        <f t="shared" si="0"/>
        <v>1.0383997030584127</v>
      </c>
      <c r="O5" s="193">
        <f t="shared" si="0"/>
        <v>1</v>
      </c>
      <c r="P5" s="189" t="s">
        <v>146</v>
      </c>
      <c r="Q5" s="65"/>
    </row>
    <row r="6" spans="2:26" x14ac:dyDescent="0.2">
      <c r="C6" s="186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53"/>
      <c r="Q6" s="65"/>
      <c r="R6" s="56"/>
      <c r="S6" s="56"/>
      <c r="T6" s="56"/>
      <c r="U6" s="56"/>
      <c r="V6" s="56"/>
      <c r="W6" s="56"/>
      <c r="X6" s="56"/>
      <c r="Y6" s="56"/>
      <c r="Z6" s="56"/>
    </row>
    <row r="7" spans="2:26" x14ac:dyDescent="0.2">
      <c r="C7" s="304" t="s">
        <v>21</v>
      </c>
      <c r="D7" s="304"/>
      <c r="E7" s="304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53"/>
      <c r="Q7" s="65"/>
      <c r="R7" s="56"/>
      <c r="S7" s="56"/>
      <c r="T7" s="56"/>
      <c r="U7" s="56"/>
      <c r="V7" s="56"/>
      <c r="W7" s="56"/>
      <c r="X7" s="56"/>
      <c r="Y7" s="56"/>
      <c r="Z7" s="56"/>
    </row>
    <row r="8" spans="2:26" x14ac:dyDescent="0.2">
      <c r="C8" s="66"/>
      <c r="D8" s="55" t="s">
        <v>0</v>
      </c>
      <c r="E8" s="55" t="s">
        <v>1</v>
      </c>
      <c r="F8" s="55" t="s">
        <v>2</v>
      </c>
      <c r="G8" s="55" t="s">
        <v>3</v>
      </c>
      <c r="H8" s="55" t="s">
        <v>4</v>
      </c>
      <c r="I8" s="55" t="s">
        <v>5</v>
      </c>
      <c r="J8" s="55" t="s">
        <v>6</v>
      </c>
      <c r="K8" s="55" t="s">
        <v>7</v>
      </c>
      <c r="L8" s="55" t="s">
        <v>8</v>
      </c>
      <c r="M8" s="55" t="s">
        <v>9</v>
      </c>
      <c r="N8" s="55" t="s">
        <v>10</v>
      </c>
      <c r="O8" s="55" t="s">
        <v>11</v>
      </c>
      <c r="P8" s="55" t="s">
        <v>18</v>
      </c>
      <c r="Q8" s="194" t="s">
        <v>149</v>
      </c>
      <c r="R8" s="56"/>
      <c r="S8" s="56"/>
      <c r="T8" s="56"/>
      <c r="U8" s="56"/>
      <c r="V8" s="56"/>
      <c r="W8" s="56"/>
      <c r="X8" s="56"/>
      <c r="Y8" s="56"/>
      <c r="Z8" s="56"/>
    </row>
    <row r="9" spans="2:26" x14ac:dyDescent="0.2">
      <c r="B9" s="59" t="s">
        <v>147</v>
      </c>
      <c r="C9" s="296" t="s">
        <v>114</v>
      </c>
      <c r="D9" s="185">
        <f>'compras-ventas-gastos'!B9</f>
        <v>3365584.15</v>
      </c>
      <c r="E9" s="185">
        <f>'compras-ventas-gastos'!C9</f>
        <v>2330119.15</v>
      </c>
      <c r="F9" s="185">
        <f>'compras-ventas-gastos'!D9</f>
        <v>4308669.91</v>
      </c>
      <c r="G9" s="185">
        <f>'compras-ventas-gastos'!E9</f>
        <v>3987027.95</v>
      </c>
      <c r="H9" s="185">
        <f>'compras-ventas-gastos'!F9</f>
        <v>4828926.8099999996</v>
      </c>
      <c r="I9" s="185">
        <f>'compras-ventas-gastos'!G9</f>
        <v>1527819.38</v>
      </c>
      <c r="J9" s="185">
        <f>'compras-ventas-gastos'!H9</f>
        <v>13241726</v>
      </c>
      <c r="K9" s="185">
        <f>'compras-ventas-gastos'!I9</f>
        <v>10219867.09</v>
      </c>
      <c r="L9" s="185">
        <f>'compras-ventas-gastos'!J9</f>
        <v>5972981.5700000003</v>
      </c>
      <c r="M9" s="185">
        <f>'compras-ventas-gastos'!K9</f>
        <v>6105719.7599999998</v>
      </c>
      <c r="N9" s="185">
        <f>'compras-ventas-gastos'!L9</f>
        <v>6545127</v>
      </c>
      <c r="O9" s="185">
        <f>'compras-ventas-gastos'!M9</f>
        <v>7173977.3799999999</v>
      </c>
      <c r="P9" s="185">
        <f>SUM(D9:O9)</f>
        <v>69607546.149999991</v>
      </c>
      <c r="Q9" s="306">
        <f>P10-P9</f>
        <v>11457043.512178332</v>
      </c>
      <c r="R9" s="56"/>
      <c r="S9" s="56"/>
      <c r="T9" s="56"/>
      <c r="U9" s="56"/>
      <c r="V9" s="56"/>
      <c r="W9" s="56"/>
      <c r="X9" s="56"/>
      <c r="Y9" s="56"/>
      <c r="Z9" s="56"/>
    </row>
    <row r="10" spans="2:26" x14ac:dyDescent="0.2">
      <c r="B10" s="60" t="s">
        <v>148</v>
      </c>
      <c r="C10" s="296"/>
      <c r="D10" s="185">
        <f>D9*D5</f>
        <v>4882378.7426140783</v>
      </c>
      <c r="E10" s="185">
        <f t="shared" ref="E10:O10" si="1">E9*E5</f>
        <v>3263591.1282804045</v>
      </c>
      <c r="F10" s="185">
        <f t="shared" si="1"/>
        <v>5757776.0858535664</v>
      </c>
      <c r="G10" s="185">
        <f t="shared" si="1"/>
        <v>5119084.7491716081</v>
      </c>
      <c r="H10" s="185">
        <f t="shared" si="1"/>
        <v>6000628.5933875395</v>
      </c>
      <c r="I10" s="185">
        <f t="shared" si="1"/>
        <v>1840117.5350505132</v>
      </c>
      <c r="J10" s="185">
        <f t="shared" si="1"/>
        <v>15484366.093798276</v>
      </c>
      <c r="K10" s="185">
        <f t="shared" si="1"/>
        <v>11662824.999919033</v>
      </c>
      <c r="L10" s="185">
        <f t="shared" si="1"/>
        <v>6582836.2873876905</v>
      </c>
      <c r="M10" s="185">
        <f t="shared" si="1"/>
        <v>6500550.1334360112</v>
      </c>
      <c r="N10" s="185">
        <f t="shared" si="1"/>
        <v>6796457.9332795991</v>
      </c>
      <c r="O10" s="185">
        <f t="shared" si="1"/>
        <v>7173977.3799999999</v>
      </c>
      <c r="P10" s="185">
        <f>SUM(D10:O10)</f>
        <v>81064589.662178323</v>
      </c>
      <c r="Q10" s="307"/>
      <c r="R10" s="56"/>
      <c r="S10" s="56"/>
      <c r="T10" s="56"/>
      <c r="U10" s="56"/>
      <c r="V10" s="56"/>
      <c r="W10" s="56"/>
      <c r="X10" s="56"/>
      <c r="Y10" s="56"/>
      <c r="Z10" s="56"/>
    </row>
    <row r="11" spans="2:26" x14ac:dyDescent="0.2">
      <c r="C11" s="61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3"/>
      <c r="Q11" s="58"/>
      <c r="R11" s="56"/>
      <c r="S11" s="56"/>
      <c r="T11" s="56"/>
      <c r="U11" s="56"/>
      <c r="V11" s="56"/>
      <c r="W11" s="56"/>
      <c r="X11" s="56"/>
      <c r="Y11" s="56"/>
      <c r="Z11" s="56"/>
    </row>
    <row r="12" spans="2:26" x14ac:dyDescent="0.2">
      <c r="C12" s="305" t="s">
        <v>113</v>
      </c>
      <c r="D12" s="305"/>
      <c r="E12" s="305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6"/>
      <c r="Q12" s="65"/>
      <c r="R12" s="69" t="e">
        <f>P9-P15-P17-P19-P21-P23-P25-P27-P29-P31-P33-P35-P37-P39-P41-P43-P45-P47-P49-P51-P55-P59-P63</f>
        <v>#REF!</v>
      </c>
      <c r="S12" s="56"/>
      <c r="T12" s="56"/>
      <c r="U12" s="56"/>
      <c r="V12" s="56"/>
      <c r="W12" s="56"/>
      <c r="X12" s="56"/>
      <c r="Y12" s="56"/>
      <c r="Z12" s="56"/>
    </row>
    <row r="13" spans="2:26" x14ac:dyDescent="0.2">
      <c r="C13" s="122" t="s">
        <v>22</v>
      </c>
      <c r="D13" s="121" t="s">
        <v>0</v>
      </c>
      <c r="E13" s="121" t="s">
        <v>1</v>
      </c>
      <c r="F13" s="121" t="s">
        <v>2</v>
      </c>
      <c r="G13" s="121" t="s">
        <v>3</v>
      </c>
      <c r="H13" s="121" t="s">
        <v>4</v>
      </c>
      <c r="I13" s="121" t="s">
        <v>5</v>
      </c>
      <c r="J13" s="121" t="s">
        <v>6</v>
      </c>
      <c r="K13" s="121" t="s">
        <v>7</v>
      </c>
      <c r="L13" s="121" t="s">
        <v>8</v>
      </c>
      <c r="M13" s="121" t="s">
        <v>9</v>
      </c>
      <c r="N13" s="121" t="s">
        <v>10</v>
      </c>
      <c r="O13" s="121" t="s">
        <v>11</v>
      </c>
      <c r="P13" s="124" t="s">
        <v>18</v>
      </c>
      <c r="Q13" s="65"/>
      <c r="R13" s="53"/>
      <c r="S13" s="56"/>
      <c r="T13" s="56"/>
      <c r="U13" s="56"/>
      <c r="V13" s="56"/>
      <c r="W13" s="56"/>
      <c r="X13" s="56"/>
      <c r="Y13" s="56"/>
      <c r="Z13" s="56"/>
    </row>
    <row r="14" spans="2:26" x14ac:dyDescent="0.2">
      <c r="B14" s="59" t="s">
        <v>147</v>
      </c>
      <c r="C14" s="299" t="s">
        <v>15</v>
      </c>
      <c r="D14" s="195">
        <f>'compras-ventas-gastos'!B13</f>
        <v>605030</v>
      </c>
      <c r="E14" s="195">
        <f>'compras-ventas-gastos'!C13</f>
        <v>296421</v>
      </c>
      <c r="F14" s="195">
        <f>'compras-ventas-gastos'!D13</f>
        <v>733151</v>
      </c>
      <c r="G14" s="195">
        <f>'compras-ventas-gastos'!E13</f>
        <v>0</v>
      </c>
      <c r="H14" s="195">
        <f>'compras-ventas-gastos'!F13</f>
        <v>0</v>
      </c>
      <c r="I14" s="195">
        <f>'compras-ventas-gastos'!G13</f>
        <v>0</v>
      </c>
      <c r="J14" s="195">
        <f>'compras-ventas-gastos'!H13</f>
        <v>0</v>
      </c>
      <c r="K14" s="195">
        <f>'compras-ventas-gastos'!I13</f>
        <v>0</v>
      </c>
      <c r="L14" s="195">
        <f>'compras-ventas-gastos'!J13</f>
        <v>0</v>
      </c>
      <c r="M14" s="195">
        <f>'compras-ventas-gastos'!K13</f>
        <v>0</v>
      </c>
      <c r="N14" s="195">
        <f>'compras-ventas-gastos'!L13</f>
        <v>0</v>
      </c>
      <c r="O14" s="195">
        <f>'compras-ventas-gastos'!M13</f>
        <v>0</v>
      </c>
      <c r="P14" s="185">
        <f>SUM(D14:O14)</f>
        <v>1634602</v>
      </c>
      <c r="Q14" s="306">
        <f>P15-P14</f>
        <v>637999.05609315168</v>
      </c>
      <c r="R14" s="53"/>
      <c r="S14" s="56"/>
      <c r="T14" s="56"/>
      <c r="U14" s="56"/>
      <c r="V14" s="56"/>
      <c r="W14" s="56"/>
      <c r="X14" s="56"/>
      <c r="Y14" s="56"/>
      <c r="Z14" s="56"/>
    </row>
    <row r="15" spans="2:26" x14ac:dyDescent="0.2">
      <c r="B15" s="60" t="s">
        <v>148</v>
      </c>
      <c r="C15" s="300"/>
      <c r="D15" s="195">
        <f>D14*D5</f>
        <v>877703.68500332872</v>
      </c>
      <c r="E15" s="195">
        <f t="shared" ref="E15:O15" si="2">E14*E5</f>
        <v>415170.59152790782</v>
      </c>
      <c r="F15" s="195">
        <f t="shared" si="2"/>
        <v>979726.77956191543</v>
      </c>
      <c r="G15" s="195">
        <f t="shared" si="2"/>
        <v>0</v>
      </c>
      <c r="H15" s="195">
        <f t="shared" si="2"/>
        <v>0</v>
      </c>
      <c r="I15" s="195">
        <f t="shared" si="2"/>
        <v>0</v>
      </c>
      <c r="J15" s="195">
        <f t="shared" si="2"/>
        <v>0</v>
      </c>
      <c r="K15" s="195">
        <f t="shared" si="2"/>
        <v>0</v>
      </c>
      <c r="L15" s="195">
        <f t="shared" si="2"/>
        <v>0</v>
      </c>
      <c r="M15" s="195">
        <f t="shared" si="2"/>
        <v>0</v>
      </c>
      <c r="N15" s="195">
        <f t="shared" si="2"/>
        <v>0</v>
      </c>
      <c r="O15" s="195">
        <f t="shared" si="2"/>
        <v>0</v>
      </c>
      <c r="P15" s="185">
        <f>SUM(D15:O15)</f>
        <v>2272601.0560931517</v>
      </c>
      <c r="Q15" s="307"/>
      <c r="R15" s="53"/>
      <c r="S15" s="56"/>
      <c r="T15" s="56"/>
      <c r="U15" s="56"/>
      <c r="V15" s="56"/>
      <c r="W15" s="56"/>
      <c r="X15" s="56"/>
      <c r="Y15" s="56"/>
      <c r="Z15" s="56"/>
    </row>
    <row r="16" spans="2:26" x14ac:dyDescent="0.2">
      <c r="B16" s="59" t="s">
        <v>147</v>
      </c>
      <c r="C16" s="299" t="s">
        <v>14</v>
      </c>
      <c r="D16" s="195">
        <f>'compras-ventas-gastos'!B14</f>
        <v>132054</v>
      </c>
      <c r="E16" s="195">
        <f>'compras-ventas-gastos'!C14</f>
        <v>53762</v>
      </c>
      <c r="F16" s="195">
        <f>'compras-ventas-gastos'!D14</f>
        <v>126603</v>
      </c>
      <c r="G16" s="195">
        <f>'compras-ventas-gastos'!E14</f>
        <v>0</v>
      </c>
      <c r="H16" s="195">
        <f>'compras-ventas-gastos'!F14</f>
        <v>0</v>
      </c>
      <c r="I16" s="195">
        <f>'compras-ventas-gastos'!G14</f>
        <v>0</v>
      </c>
      <c r="J16" s="195">
        <f>'compras-ventas-gastos'!H14</f>
        <v>0</v>
      </c>
      <c r="K16" s="195">
        <f>'compras-ventas-gastos'!I14</f>
        <v>0</v>
      </c>
      <c r="L16" s="195">
        <f>'compras-ventas-gastos'!J14</f>
        <v>0</v>
      </c>
      <c r="M16" s="195">
        <f>'compras-ventas-gastos'!K14</f>
        <v>0</v>
      </c>
      <c r="N16" s="195">
        <f>'compras-ventas-gastos'!L14</f>
        <v>0</v>
      </c>
      <c r="O16" s="195">
        <f>'compras-ventas-gastos'!M14</f>
        <v>0</v>
      </c>
      <c r="P16" s="185">
        <f t="shared" ref="P16:P39" si="3">SUM(D16:O16)</f>
        <v>312419</v>
      </c>
      <c r="Q16" s="306">
        <f>P17-P16</f>
        <v>123631.03135058371</v>
      </c>
      <c r="R16" s="53"/>
      <c r="S16" s="56"/>
      <c r="T16" s="56"/>
      <c r="U16" s="56"/>
      <c r="V16" s="56"/>
      <c r="W16" s="56"/>
      <c r="X16" s="56"/>
      <c r="Y16" s="56"/>
      <c r="Z16" s="56"/>
    </row>
    <row r="17" spans="2:26" x14ac:dyDescent="0.2">
      <c r="B17" s="60" t="s">
        <v>148</v>
      </c>
      <c r="C17" s="300"/>
      <c r="D17" s="195">
        <f>D16*D5</f>
        <v>191567.82708201173</v>
      </c>
      <c r="E17" s="195">
        <f t="shared" ref="E17:O17" si="4">E16*E5</f>
        <v>75299.662782742729</v>
      </c>
      <c r="F17" s="195">
        <f t="shared" si="4"/>
        <v>169182.54148582922</v>
      </c>
      <c r="G17" s="195">
        <f t="shared" si="4"/>
        <v>0</v>
      </c>
      <c r="H17" s="195">
        <f t="shared" si="4"/>
        <v>0</v>
      </c>
      <c r="I17" s="195">
        <f t="shared" si="4"/>
        <v>0</v>
      </c>
      <c r="J17" s="195">
        <f t="shared" si="4"/>
        <v>0</v>
      </c>
      <c r="K17" s="195">
        <f t="shared" si="4"/>
        <v>0</v>
      </c>
      <c r="L17" s="195">
        <f t="shared" si="4"/>
        <v>0</v>
      </c>
      <c r="M17" s="195">
        <f t="shared" si="4"/>
        <v>0</v>
      </c>
      <c r="N17" s="195">
        <f t="shared" si="4"/>
        <v>0</v>
      </c>
      <c r="O17" s="195">
        <f t="shared" si="4"/>
        <v>0</v>
      </c>
      <c r="P17" s="185">
        <f t="shared" si="3"/>
        <v>436050.03135058371</v>
      </c>
      <c r="Q17" s="307"/>
      <c r="R17" s="53"/>
      <c r="S17" s="56"/>
      <c r="T17" s="56"/>
      <c r="U17" s="56"/>
      <c r="V17" s="56"/>
      <c r="W17" s="56"/>
      <c r="X17" s="56"/>
      <c r="Y17" s="56"/>
      <c r="Z17" s="56"/>
    </row>
    <row r="18" spans="2:26" x14ac:dyDescent="0.2">
      <c r="B18" s="59" t="s">
        <v>147</v>
      </c>
      <c r="C18" s="299" t="s">
        <v>129</v>
      </c>
      <c r="D18" s="195">
        <f>'compras-ventas-gastos'!B15</f>
        <v>0</v>
      </c>
      <c r="E18" s="195">
        <f>'compras-ventas-gastos'!C15</f>
        <v>0</v>
      </c>
      <c r="F18" s="195">
        <f>'compras-ventas-gastos'!D15</f>
        <v>0</v>
      </c>
      <c r="G18" s="195">
        <f>'compras-ventas-gastos'!E15</f>
        <v>0</v>
      </c>
      <c r="H18" s="195">
        <f>'compras-ventas-gastos'!F15</f>
        <v>0</v>
      </c>
      <c r="I18" s="195">
        <f>'compras-ventas-gastos'!G15</f>
        <v>0</v>
      </c>
      <c r="J18" s="195">
        <f>'compras-ventas-gastos'!H15</f>
        <v>0</v>
      </c>
      <c r="K18" s="195">
        <f>'compras-ventas-gastos'!I15</f>
        <v>0</v>
      </c>
      <c r="L18" s="195">
        <f>'compras-ventas-gastos'!J15</f>
        <v>0</v>
      </c>
      <c r="M18" s="195">
        <f>'compras-ventas-gastos'!K15</f>
        <v>0</v>
      </c>
      <c r="N18" s="195">
        <f>'compras-ventas-gastos'!L15</f>
        <v>0</v>
      </c>
      <c r="O18" s="195">
        <f>'compras-ventas-gastos'!M15</f>
        <v>0</v>
      </c>
      <c r="P18" s="185">
        <f>SUM(D18:O18)</f>
        <v>0</v>
      </c>
      <c r="Q18" s="306">
        <f>P19-P18</f>
        <v>0</v>
      </c>
      <c r="R18" s="53"/>
      <c r="S18" s="56"/>
      <c r="T18" s="56"/>
      <c r="U18" s="56"/>
      <c r="V18" s="56"/>
      <c r="W18" s="56"/>
      <c r="X18" s="56"/>
      <c r="Y18" s="56"/>
      <c r="Z18" s="56"/>
    </row>
    <row r="19" spans="2:26" x14ac:dyDescent="0.2">
      <c r="B19" s="60" t="s">
        <v>148</v>
      </c>
      <c r="C19" s="300"/>
      <c r="D19" s="195">
        <f>D18*D5</f>
        <v>0</v>
      </c>
      <c r="E19" s="195">
        <f t="shared" ref="E19:O19" si="5">E18*E5</f>
        <v>0</v>
      </c>
      <c r="F19" s="195">
        <f t="shared" si="5"/>
        <v>0</v>
      </c>
      <c r="G19" s="195">
        <f t="shared" si="5"/>
        <v>0</v>
      </c>
      <c r="H19" s="195">
        <f t="shared" si="5"/>
        <v>0</v>
      </c>
      <c r="I19" s="195">
        <f t="shared" si="5"/>
        <v>0</v>
      </c>
      <c r="J19" s="195">
        <f t="shared" si="5"/>
        <v>0</v>
      </c>
      <c r="K19" s="195">
        <f t="shared" si="5"/>
        <v>0</v>
      </c>
      <c r="L19" s="195">
        <f t="shared" si="5"/>
        <v>0</v>
      </c>
      <c r="M19" s="195">
        <f t="shared" si="5"/>
        <v>0</v>
      </c>
      <c r="N19" s="195">
        <f t="shared" si="5"/>
        <v>0</v>
      </c>
      <c r="O19" s="195">
        <f t="shared" si="5"/>
        <v>0</v>
      </c>
      <c r="P19" s="185">
        <f>SUM(D19:O19)</f>
        <v>0</v>
      </c>
      <c r="Q19" s="307"/>
      <c r="R19" s="53"/>
      <c r="S19" s="56"/>
      <c r="T19" s="56"/>
      <c r="U19" s="56"/>
      <c r="V19" s="56"/>
      <c r="W19" s="56"/>
      <c r="X19" s="56"/>
      <c r="Y19" s="56"/>
      <c r="Z19" s="56"/>
    </row>
    <row r="20" spans="2:26" x14ac:dyDescent="0.2">
      <c r="B20" s="59" t="s">
        <v>147</v>
      </c>
      <c r="C20" s="299" t="s">
        <v>128</v>
      </c>
      <c r="D20" s="195">
        <f>'compras-ventas-gastos'!B16</f>
        <v>0</v>
      </c>
      <c r="E20" s="195">
        <f>'compras-ventas-gastos'!C16</f>
        <v>6895</v>
      </c>
      <c r="F20" s="195">
        <f>'compras-ventas-gastos'!D16</f>
        <v>5032</v>
      </c>
      <c r="G20" s="195">
        <f>'compras-ventas-gastos'!E16</f>
        <v>10185</v>
      </c>
      <c r="H20" s="195">
        <f>'compras-ventas-gastos'!F16</f>
        <v>1311</v>
      </c>
      <c r="I20" s="195">
        <f>'compras-ventas-gastos'!G16</f>
        <v>10226</v>
      </c>
      <c r="J20" s="195">
        <f>'compras-ventas-gastos'!H16</f>
        <v>1443</v>
      </c>
      <c r="K20" s="195">
        <f>'compras-ventas-gastos'!I16</f>
        <v>0</v>
      </c>
      <c r="L20" s="195">
        <f>'compras-ventas-gastos'!J16</f>
        <v>0</v>
      </c>
      <c r="M20" s="195">
        <f>'compras-ventas-gastos'!K16</f>
        <v>0</v>
      </c>
      <c r="N20" s="195">
        <f>'compras-ventas-gastos'!L16</f>
        <v>0</v>
      </c>
      <c r="O20" s="195">
        <f>'compras-ventas-gastos'!M16</f>
        <v>0</v>
      </c>
      <c r="P20" s="185">
        <f>SUM(D20:O20)</f>
        <v>35092</v>
      </c>
      <c r="Q20" s="306">
        <f>P21-P20</f>
        <v>9999.2383468619373</v>
      </c>
      <c r="R20" s="53"/>
      <c r="S20" s="56"/>
      <c r="T20" s="56"/>
      <c r="U20" s="56"/>
      <c r="V20" s="56"/>
      <c r="W20" s="56"/>
      <c r="X20" s="56"/>
      <c r="Y20" s="56"/>
      <c r="Z20" s="56"/>
    </row>
    <row r="21" spans="2:26" x14ac:dyDescent="0.2">
      <c r="B21" s="60" t="s">
        <v>148</v>
      </c>
      <c r="C21" s="300"/>
      <c r="D21" s="195">
        <f>D20*D5</f>
        <v>0</v>
      </c>
      <c r="E21" s="195">
        <f t="shared" ref="E21:O21" si="6">E20*E5</f>
        <v>9657.2146662514624</v>
      </c>
      <c r="F21" s="195">
        <f t="shared" si="6"/>
        <v>6724.3789543430457</v>
      </c>
      <c r="G21" s="195">
        <f t="shared" si="6"/>
        <v>13076.878021462786</v>
      </c>
      <c r="H21" s="195">
        <f t="shared" si="6"/>
        <v>1629.1040215478158</v>
      </c>
      <c r="I21" s="195">
        <f t="shared" si="6"/>
        <v>12316.273873569105</v>
      </c>
      <c r="J21" s="195">
        <f t="shared" si="6"/>
        <v>1687.3888096877183</v>
      </c>
      <c r="K21" s="195">
        <f t="shared" si="6"/>
        <v>0</v>
      </c>
      <c r="L21" s="195">
        <f t="shared" si="6"/>
        <v>0</v>
      </c>
      <c r="M21" s="195">
        <f t="shared" si="6"/>
        <v>0</v>
      </c>
      <c r="N21" s="195">
        <f t="shared" si="6"/>
        <v>0</v>
      </c>
      <c r="O21" s="195">
        <f t="shared" si="6"/>
        <v>0</v>
      </c>
      <c r="P21" s="185">
        <f>SUM(D21:O21)</f>
        <v>45091.238346861937</v>
      </c>
      <c r="Q21" s="307"/>
      <c r="R21" s="53"/>
      <c r="S21" s="56"/>
      <c r="T21" s="56"/>
      <c r="U21" s="56"/>
      <c r="V21" s="56"/>
      <c r="W21" s="56"/>
      <c r="X21" s="56"/>
      <c r="Y21" s="56"/>
      <c r="Z21" s="56"/>
    </row>
    <row r="22" spans="2:26" x14ac:dyDescent="0.2">
      <c r="B22" s="59" t="s">
        <v>147</v>
      </c>
      <c r="C22" s="296" t="s">
        <v>219</v>
      </c>
      <c r="D22" s="195">
        <f>'compras-ventas-gastos'!B17</f>
        <v>164200</v>
      </c>
      <c r="E22" s="195">
        <f>'compras-ventas-gastos'!C17</f>
        <v>482619</v>
      </c>
      <c r="F22" s="195">
        <f>'compras-ventas-gastos'!D17</f>
        <v>347312</v>
      </c>
      <c r="G22" s="195">
        <f>'compras-ventas-gastos'!E17</f>
        <v>360500</v>
      </c>
      <c r="H22" s="195">
        <f>'compras-ventas-gastos'!F17</f>
        <v>376024</v>
      </c>
      <c r="I22" s="195">
        <f>'compras-ventas-gastos'!G17</f>
        <v>378422</v>
      </c>
      <c r="J22" s="195">
        <f>'compras-ventas-gastos'!H17</f>
        <v>0</v>
      </c>
      <c r="K22" s="195">
        <f>'compras-ventas-gastos'!I17</f>
        <v>0</v>
      </c>
      <c r="L22" s="195">
        <f>'compras-ventas-gastos'!J17</f>
        <v>0</v>
      </c>
      <c r="M22" s="195">
        <f>'compras-ventas-gastos'!K17</f>
        <v>0</v>
      </c>
      <c r="N22" s="195">
        <f>'compras-ventas-gastos'!L17</f>
        <v>0</v>
      </c>
      <c r="O22" s="195">
        <f>'compras-ventas-gastos'!M17</f>
        <v>0</v>
      </c>
      <c r="P22" s="185">
        <f t="shared" ref="P22:P31" si="7">SUM(D22:O22)</f>
        <v>2109077</v>
      </c>
      <c r="Q22" s="306">
        <f t="shared" ref="Q22" si="8">P23-P22</f>
        <v>655103.33935461473</v>
      </c>
      <c r="R22" s="53"/>
      <c r="S22" s="56"/>
      <c r="T22" s="56"/>
      <c r="U22" s="56"/>
      <c r="V22" s="56"/>
      <c r="W22" s="56"/>
      <c r="X22" s="56"/>
      <c r="Y22" s="56"/>
      <c r="Z22" s="56"/>
    </row>
    <row r="23" spans="2:26" x14ac:dyDescent="0.2">
      <c r="B23" s="60" t="s">
        <v>148</v>
      </c>
      <c r="C23" s="296"/>
      <c r="D23" s="195">
        <f>D22*D5</f>
        <v>238201.32072384274</v>
      </c>
      <c r="E23" s="195">
        <f t="shared" ref="E23:O23" si="9">E22*E5</f>
        <v>675961.60768841393</v>
      </c>
      <c r="F23" s="195">
        <f t="shared" si="9"/>
        <v>464121.12547511765</v>
      </c>
      <c r="G23" s="195">
        <f t="shared" si="9"/>
        <v>462858.56914455909</v>
      </c>
      <c r="H23" s="195">
        <f t="shared" si="9"/>
        <v>467263.31853432179</v>
      </c>
      <c r="I23" s="195">
        <f t="shared" si="9"/>
        <v>455774.3977883599</v>
      </c>
      <c r="J23" s="195">
        <f t="shared" si="9"/>
        <v>0</v>
      </c>
      <c r="K23" s="195">
        <f t="shared" si="9"/>
        <v>0</v>
      </c>
      <c r="L23" s="195">
        <f t="shared" si="9"/>
        <v>0</v>
      </c>
      <c r="M23" s="195">
        <f t="shared" si="9"/>
        <v>0</v>
      </c>
      <c r="N23" s="195">
        <f t="shared" si="9"/>
        <v>0</v>
      </c>
      <c r="O23" s="195">
        <f t="shared" si="9"/>
        <v>0</v>
      </c>
      <c r="P23" s="185">
        <f t="shared" si="7"/>
        <v>2764180.3393546147</v>
      </c>
      <c r="Q23" s="307"/>
      <c r="R23" s="53"/>
      <c r="S23" s="56"/>
      <c r="T23" s="56"/>
      <c r="U23" s="56"/>
      <c r="V23" s="56"/>
      <c r="W23" s="56"/>
      <c r="X23" s="56"/>
      <c r="Y23" s="56"/>
      <c r="Z23" s="56"/>
    </row>
    <row r="24" spans="2:26" x14ac:dyDescent="0.2">
      <c r="B24" s="59" t="s">
        <v>147</v>
      </c>
      <c r="C24" s="296" t="s">
        <v>236</v>
      </c>
      <c r="D24" s="195">
        <f>'compras-ventas-gastos'!B18</f>
        <v>0</v>
      </c>
      <c r="E24" s="195">
        <f>'compras-ventas-gastos'!C18</f>
        <v>0</v>
      </c>
      <c r="F24" s="195">
        <f>'compras-ventas-gastos'!D18</f>
        <v>0</v>
      </c>
      <c r="G24" s="195">
        <f>'compras-ventas-gastos'!E18</f>
        <v>0</v>
      </c>
      <c r="H24" s="195">
        <f>'compras-ventas-gastos'!F18</f>
        <v>0</v>
      </c>
      <c r="I24" s="195">
        <f>'compras-ventas-gastos'!G18</f>
        <v>0</v>
      </c>
      <c r="J24" s="195">
        <f>'compras-ventas-gastos'!H18</f>
        <v>0</v>
      </c>
      <c r="K24" s="195">
        <f>'compras-ventas-gastos'!I18</f>
        <v>0</v>
      </c>
      <c r="L24" s="195">
        <f>'compras-ventas-gastos'!J18</f>
        <v>0</v>
      </c>
      <c r="M24" s="195">
        <f>'compras-ventas-gastos'!K18</f>
        <v>0</v>
      </c>
      <c r="N24" s="195">
        <f>'compras-ventas-gastos'!L18</f>
        <v>0</v>
      </c>
      <c r="O24" s="195">
        <f>'compras-ventas-gastos'!M18</f>
        <v>0</v>
      </c>
      <c r="P24" s="185">
        <f t="shared" si="7"/>
        <v>0</v>
      </c>
      <c r="Q24" s="306">
        <f t="shared" ref="Q24" si="10">P25-P24</f>
        <v>0</v>
      </c>
      <c r="R24" s="53"/>
      <c r="S24" s="56"/>
      <c r="T24" s="56"/>
      <c r="U24" s="56"/>
      <c r="V24" s="56"/>
      <c r="W24" s="56"/>
      <c r="X24" s="56"/>
      <c r="Y24" s="56"/>
      <c r="Z24" s="56"/>
    </row>
    <row r="25" spans="2:26" x14ac:dyDescent="0.2">
      <c r="B25" s="60" t="s">
        <v>148</v>
      </c>
      <c r="C25" s="296"/>
      <c r="D25" s="195">
        <f>D24*D5</f>
        <v>0</v>
      </c>
      <c r="E25" s="195">
        <f t="shared" ref="E25:O25" si="11">E24*E5</f>
        <v>0</v>
      </c>
      <c r="F25" s="195">
        <f t="shared" si="11"/>
        <v>0</v>
      </c>
      <c r="G25" s="195">
        <f t="shared" si="11"/>
        <v>0</v>
      </c>
      <c r="H25" s="195">
        <f t="shared" si="11"/>
        <v>0</v>
      </c>
      <c r="I25" s="195">
        <f t="shared" si="11"/>
        <v>0</v>
      </c>
      <c r="J25" s="195">
        <f t="shared" si="11"/>
        <v>0</v>
      </c>
      <c r="K25" s="195">
        <f t="shared" si="11"/>
        <v>0</v>
      </c>
      <c r="L25" s="195">
        <f t="shared" si="11"/>
        <v>0</v>
      </c>
      <c r="M25" s="195">
        <f t="shared" si="11"/>
        <v>0</v>
      </c>
      <c r="N25" s="195">
        <f t="shared" si="11"/>
        <v>0</v>
      </c>
      <c r="O25" s="195">
        <f t="shared" si="11"/>
        <v>0</v>
      </c>
      <c r="P25" s="185">
        <f t="shared" si="7"/>
        <v>0</v>
      </c>
      <c r="Q25" s="307"/>
      <c r="R25" s="53"/>
      <c r="S25" s="56"/>
      <c r="T25" s="56"/>
      <c r="U25" s="56"/>
      <c r="V25" s="56"/>
      <c r="W25" s="56"/>
      <c r="X25" s="56"/>
      <c r="Y25" s="56"/>
      <c r="Z25" s="56"/>
    </row>
    <row r="26" spans="2:26" x14ac:dyDescent="0.2">
      <c r="B26" s="59" t="s">
        <v>147</v>
      </c>
      <c r="C26" s="299" t="s">
        <v>237</v>
      </c>
      <c r="D26" s="195">
        <f>'compras-ventas-gastos'!B19</f>
        <v>0</v>
      </c>
      <c r="E26" s="195">
        <f>'compras-ventas-gastos'!C19</f>
        <v>113694.90000000001</v>
      </c>
      <c r="F26" s="195">
        <f>'compras-ventas-gastos'!D19</f>
        <v>0</v>
      </c>
      <c r="G26" s="195">
        <f>'compras-ventas-gastos'!E19</f>
        <v>400000</v>
      </c>
      <c r="H26" s="195">
        <f>'compras-ventas-gastos'!F19</f>
        <v>913179.28</v>
      </c>
      <c r="I26" s="195">
        <f>'compras-ventas-gastos'!G19</f>
        <v>297998</v>
      </c>
      <c r="J26" s="195">
        <f>'compras-ventas-gastos'!H19</f>
        <v>667343.92200000002</v>
      </c>
      <c r="K26" s="195">
        <f>'compras-ventas-gastos'!I19</f>
        <v>0</v>
      </c>
      <c r="L26" s="195">
        <f>'compras-ventas-gastos'!J19</f>
        <v>0</v>
      </c>
      <c r="M26" s="195">
        <f>'compras-ventas-gastos'!K19</f>
        <v>0</v>
      </c>
      <c r="N26" s="195">
        <f>'compras-ventas-gastos'!L19</f>
        <v>0</v>
      </c>
      <c r="O26" s="195">
        <f>'compras-ventas-gastos'!M19</f>
        <v>0</v>
      </c>
      <c r="P26" s="185">
        <f t="shared" ref="P26:P27" si="12">SUM(D26:O26)</f>
        <v>2392216.102</v>
      </c>
      <c r="Q26" s="306">
        <f t="shared" ref="Q26" si="13">P27-P26</f>
        <v>554632.90793752484</v>
      </c>
      <c r="R26" s="53"/>
      <c r="S26" s="56"/>
      <c r="T26" s="56"/>
      <c r="U26" s="56"/>
      <c r="V26" s="56"/>
      <c r="W26" s="56"/>
      <c r="X26" s="56"/>
      <c r="Y26" s="56"/>
      <c r="Z26" s="56"/>
    </row>
    <row r="27" spans="2:26" x14ac:dyDescent="0.2">
      <c r="B27" s="60" t="s">
        <v>148</v>
      </c>
      <c r="C27" s="300"/>
      <c r="D27" s="195">
        <f>D26*D5</f>
        <v>0</v>
      </c>
      <c r="E27" s="195">
        <f t="shared" ref="E27:O27" si="14">E26*E5</f>
        <v>159242.35761537252</v>
      </c>
      <c r="F27" s="195">
        <f t="shared" si="14"/>
        <v>0</v>
      </c>
      <c r="G27" s="195">
        <f t="shared" si="14"/>
        <v>513574.00182475353</v>
      </c>
      <c r="H27" s="195">
        <f t="shared" si="14"/>
        <v>1134755.1773014027</v>
      </c>
      <c r="I27" s="195">
        <f t="shared" si="14"/>
        <v>358911.10715586215</v>
      </c>
      <c r="J27" s="195">
        <f t="shared" si="14"/>
        <v>780366.3660401341</v>
      </c>
      <c r="K27" s="195">
        <f t="shared" si="14"/>
        <v>0</v>
      </c>
      <c r="L27" s="195">
        <f t="shared" si="14"/>
        <v>0</v>
      </c>
      <c r="M27" s="195">
        <f t="shared" si="14"/>
        <v>0</v>
      </c>
      <c r="N27" s="195">
        <f t="shared" si="14"/>
        <v>0</v>
      </c>
      <c r="O27" s="195">
        <f t="shared" si="14"/>
        <v>0</v>
      </c>
      <c r="P27" s="185">
        <f t="shared" si="12"/>
        <v>2946849.0099375248</v>
      </c>
      <c r="Q27" s="307"/>
      <c r="R27" s="53"/>
      <c r="S27" s="56"/>
      <c r="T27" s="56"/>
      <c r="U27" s="56"/>
      <c r="V27" s="56"/>
      <c r="W27" s="56"/>
      <c r="X27" s="56"/>
      <c r="Y27" s="56"/>
      <c r="Z27" s="56"/>
    </row>
    <row r="28" spans="2:26" x14ac:dyDescent="0.2">
      <c r="B28" s="59" t="s">
        <v>147</v>
      </c>
      <c r="C28" s="299" t="s">
        <v>167</v>
      </c>
      <c r="D28" s="195">
        <f>'compras-ventas-gastos'!B20</f>
        <v>0</v>
      </c>
      <c r="E28" s="195">
        <f>'compras-ventas-gastos'!C20</f>
        <v>0</v>
      </c>
      <c r="F28" s="195">
        <f>'compras-ventas-gastos'!D20</f>
        <v>451934</v>
      </c>
      <c r="G28" s="195">
        <f>'compras-ventas-gastos'!E20</f>
        <v>0</v>
      </c>
      <c r="H28" s="195">
        <f>'compras-ventas-gastos'!F20</f>
        <v>0</v>
      </c>
      <c r="I28" s="195">
        <f>'compras-ventas-gastos'!G20</f>
        <v>0</v>
      </c>
      <c r="J28" s="195">
        <f>'compras-ventas-gastos'!H20</f>
        <v>0</v>
      </c>
      <c r="K28" s="195">
        <f>'compras-ventas-gastos'!I20</f>
        <v>0</v>
      </c>
      <c r="L28" s="195">
        <f>'compras-ventas-gastos'!J20</f>
        <v>0</v>
      </c>
      <c r="M28" s="195">
        <f>'compras-ventas-gastos'!K20</f>
        <v>0</v>
      </c>
      <c r="N28" s="195">
        <f>'compras-ventas-gastos'!L20</f>
        <v>0</v>
      </c>
      <c r="O28" s="195">
        <f>'compras-ventas-gastos'!M20</f>
        <v>0</v>
      </c>
      <c r="P28" s="185">
        <f t="shared" si="7"/>
        <v>451934</v>
      </c>
      <c r="Q28" s="306">
        <f t="shared" ref="Q28" si="15">P29-P28</f>
        <v>151995.94402863074</v>
      </c>
      <c r="R28" s="53"/>
      <c r="S28" s="56"/>
      <c r="T28" s="56"/>
      <c r="U28" s="56"/>
      <c r="V28" s="56"/>
      <c r="W28" s="56"/>
      <c r="X28" s="56"/>
      <c r="Y28" s="56"/>
      <c r="Z28" s="56"/>
    </row>
    <row r="29" spans="2:26" x14ac:dyDescent="0.2">
      <c r="B29" s="60" t="s">
        <v>148</v>
      </c>
      <c r="C29" s="300"/>
      <c r="D29" s="195">
        <f>D28*D5</f>
        <v>0</v>
      </c>
      <c r="E29" s="195">
        <f t="shared" ref="E29:O29" si="16">E28*E5</f>
        <v>0</v>
      </c>
      <c r="F29" s="195">
        <f t="shared" si="16"/>
        <v>603929.94402863074</v>
      </c>
      <c r="G29" s="195">
        <f t="shared" si="16"/>
        <v>0</v>
      </c>
      <c r="H29" s="195">
        <f t="shared" si="16"/>
        <v>0</v>
      </c>
      <c r="I29" s="195">
        <f t="shared" si="16"/>
        <v>0</v>
      </c>
      <c r="J29" s="195">
        <f t="shared" si="16"/>
        <v>0</v>
      </c>
      <c r="K29" s="195">
        <f t="shared" si="16"/>
        <v>0</v>
      </c>
      <c r="L29" s="195">
        <f t="shared" si="16"/>
        <v>0</v>
      </c>
      <c r="M29" s="195">
        <f t="shared" si="16"/>
        <v>0</v>
      </c>
      <c r="N29" s="195">
        <f t="shared" si="16"/>
        <v>0</v>
      </c>
      <c r="O29" s="195">
        <f t="shared" si="16"/>
        <v>0</v>
      </c>
      <c r="P29" s="185">
        <f t="shared" si="7"/>
        <v>603929.94402863074</v>
      </c>
      <c r="Q29" s="307"/>
      <c r="R29" s="53"/>
      <c r="S29" s="56"/>
      <c r="T29" s="56"/>
      <c r="U29" s="56"/>
      <c r="V29" s="56"/>
      <c r="W29" s="56"/>
      <c r="X29" s="56"/>
      <c r="Y29" s="56"/>
      <c r="Z29" s="56"/>
    </row>
    <row r="30" spans="2:26" x14ac:dyDescent="0.2">
      <c r="B30" s="59" t="s">
        <v>147</v>
      </c>
      <c r="C30" s="299" t="s">
        <v>134</v>
      </c>
      <c r="D30" s="195">
        <f>'compras-ventas-gastos'!B21</f>
        <v>457035</v>
      </c>
      <c r="E30" s="195">
        <f>'compras-ventas-gastos'!C21</f>
        <v>228350</v>
      </c>
      <c r="F30" s="195">
        <f>'compras-ventas-gastos'!D21</f>
        <v>138182</v>
      </c>
      <c r="G30" s="195">
        <f>'compras-ventas-gastos'!E21</f>
        <v>0</v>
      </c>
      <c r="H30" s="195">
        <f>'compras-ventas-gastos'!F21</f>
        <v>30000</v>
      </c>
      <c r="I30" s="195">
        <f>'compras-ventas-gastos'!G21</f>
        <v>0</v>
      </c>
      <c r="J30" s="195">
        <f>'compras-ventas-gastos'!H21</f>
        <v>0</v>
      </c>
      <c r="K30" s="195">
        <f>'compras-ventas-gastos'!I21</f>
        <v>0</v>
      </c>
      <c r="L30" s="195">
        <f>'compras-ventas-gastos'!J21</f>
        <v>0</v>
      </c>
      <c r="M30" s="195">
        <f>'compras-ventas-gastos'!K21</f>
        <v>0</v>
      </c>
      <c r="N30" s="195">
        <f>'compras-ventas-gastos'!L21</f>
        <v>0</v>
      </c>
      <c r="O30" s="195">
        <f>'compras-ventas-gastos'!M21</f>
        <v>0</v>
      </c>
      <c r="P30" s="185">
        <f t="shared" si="7"/>
        <v>853567</v>
      </c>
      <c r="Q30" s="306">
        <f t="shared" ref="Q30" si="17">P31-P30</f>
        <v>351208.28021184052</v>
      </c>
      <c r="R30" s="53"/>
      <c r="S30" s="56"/>
      <c r="T30" s="56"/>
      <c r="U30" s="56"/>
      <c r="V30" s="56"/>
      <c r="W30" s="56"/>
      <c r="X30" s="56"/>
      <c r="Y30" s="56"/>
      <c r="Z30" s="56"/>
    </row>
    <row r="31" spans="2:26" x14ac:dyDescent="0.2">
      <c r="B31" s="60" t="s">
        <v>148</v>
      </c>
      <c r="C31" s="300"/>
      <c r="D31" s="195">
        <f>D30*D5</f>
        <v>663010.60059087374</v>
      </c>
      <c r="E31" s="195">
        <f t="shared" ref="E31:O31" si="18">E30*E5</f>
        <v>319829.58216657309</v>
      </c>
      <c r="F31" s="195">
        <f t="shared" si="18"/>
        <v>184655.82922675493</v>
      </c>
      <c r="G31" s="195">
        <f t="shared" si="18"/>
        <v>0</v>
      </c>
      <c r="H31" s="195">
        <f t="shared" si="18"/>
        <v>37279.268227638808</v>
      </c>
      <c r="I31" s="195">
        <f t="shared" si="18"/>
        <v>0</v>
      </c>
      <c r="J31" s="195">
        <f t="shared" si="18"/>
        <v>0</v>
      </c>
      <c r="K31" s="195">
        <f t="shared" si="18"/>
        <v>0</v>
      </c>
      <c r="L31" s="195">
        <f t="shared" si="18"/>
        <v>0</v>
      </c>
      <c r="M31" s="195">
        <f t="shared" si="18"/>
        <v>0</v>
      </c>
      <c r="N31" s="195">
        <f t="shared" si="18"/>
        <v>0</v>
      </c>
      <c r="O31" s="195">
        <f t="shared" si="18"/>
        <v>0</v>
      </c>
      <c r="P31" s="185">
        <f t="shared" si="7"/>
        <v>1204775.2802118405</v>
      </c>
      <c r="Q31" s="307"/>
      <c r="R31" s="53"/>
      <c r="S31" s="56"/>
      <c r="T31" s="56"/>
      <c r="U31" s="56"/>
      <c r="V31" s="56"/>
      <c r="W31" s="56"/>
      <c r="X31" s="56"/>
      <c r="Y31" s="56"/>
      <c r="Z31" s="56"/>
    </row>
    <row r="32" spans="2:26" x14ac:dyDescent="0.2">
      <c r="B32" s="59" t="s">
        <v>147</v>
      </c>
      <c r="C32" s="299" t="s">
        <v>13</v>
      </c>
      <c r="D32" s="195">
        <f>'compras-ventas-gastos'!B22</f>
        <v>13582</v>
      </c>
      <c r="E32" s="195">
        <f>'compras-ventas-gastos'!C22</f>
        <v>0</v>
      </c>
      <c r="F32" s="195">
        <f>'compras-ventas-gastos'!D22</f>
        <v>0</v>
      </c>
      <c r="G32" s="195">
        <f>'compras-ventas-gastos'!E22</f>
        <v>0</v>
      </c>
      <c r="H32" s="195">
        <f>'compras-ventas-gastos'!F22</f>
        <v>10000</v>
      </c>
      <c r="I32" s="195">
        <f>'compras-ventas-gastos'!G22</f>
        <v>0</v>
      </c>
      <c r="J32" s="195">
        <f>'compras-ventas-gastos'!H22</f>
        <v>0</v>
      </c>
      <c r="K32" s="195">
        <f>'compras-ventas-gastos'!I22</f>
        <v>0</v>
      </c>
      <c r="L32" s="195">
        <f>'compras-ventas-gastos'!J22</f>
        <v>0</v>
      </c>
      <c r="M32" s="195">
        <f>'compras-ventas-gastos'!K22</f>
        <v>0</v>
      </c>
      <c r="N32" s="195">
        <f>'compras-ventas-gastos'!L22</f>
        <v>0</v>
      </c>
      <c r="O32" s="195">
        <f>'compras-ventas-gastos'!M22</f>
        <v>0</v>
      </c>
      <c r="P32" s="185">
        <f t="shared" si="3"/>
        <v>23582</v>
      </c>
      <c r="Q32" s="306">
        <f>P33-P32</f>
        <v>8547.5307697766693</v>
      </c>
      <c r="R32" s="53"/>
      <c r="S32" s="56"/>
      <c r="T32" s="56"/>
      <c r="U32" s="56"/>
      <c r="V32" s="56"/>
      <c r="W32" s="56"/>
      <c r="X32" s="56"/>
      <c r="Y32" s="56"/>
      <c r="Z32" s="56"/>
    </row>
    <row r="33" spans="2:26" x14ac:dyDescent="0.2">
      <c r="B33" s="60" t="s">
        <v>148</v>
      </c>
      <c r="C33" s="300"/>
      <c r="D33" s="195">
        <f>D32*D5</f>
        <v>19703.108027230403</v>
      </c>
      <c r="E33" s="195">
        <f t="shared" ref="E33:O33" si="19">E32*E5</f>
        <v>0</v>
      </c>
      <c r="F33" s="195">
        <f t="shared" si="19"/>
        <v>0</v>
      </c>
      <c r="G33" s="195">
        <f t="shared" si="19"/>
        <v>0</v>
      </c>
      <c r="H33" s="195">
        <f t="shared" si="19"/>
        <v>12426.422742546269</v>
      </c>
      <c r="I33" s="195">
        <f t="shared" si="19"/>
        <v>0</v>
      </c>
      <c r="J33" s="195">
        <f t="shared" si="19"/>
        <v>0</v>
      </c>
      <c r="K33" s="195">
        <f t="shared" si="19"/>
        <v>0</v>
      </c>
      <c r="L33" s="195">
        <f t="shared" si="19"/>
        <v>0</v>
      </c>
      <c r="M33" s="195">
        <f t="shared" si="19"/>
        <v>0</v>
      </c>
      <c r="N33" s="195">
        <f t="shared" si="19"/>
        <v>0</v>
      </c>
      <c r="O33" s="195">
        <f t="shared" si="19"/>
        <v>0</v>
      </c>
      <c r="P33" s="185">
        <f t="shared" si="3"/>
        <v>32129.530769776669</v>
      </c>
      <c r="Q33" s="307"/>
      <c r="R33" s="53"/>
      <c r="S33" s="56"/>
      <c r="T33" s="56"/>
      <c r="U33" s="56"/>
      <c r="V33" s="56"/>
      <c r="W33" s="56"/>
      <c r="X33" s="56"/>
      <c r="Y33" s="56"/>
      <c r="Z33" s="56"/>
    </row>
    <row r="34" spans="2:26" x14ac:dyDescent="0.2">
      <c r="B34" s="59" t="s">
        <v>147</v>
      </c>
      <c r="C34" s="299" t="s">
        <v>12</v>
      </c>
      <c r="D34" s="195">
        <f>'compras-ventas-gastos'!B23</f>
        <v>81828</v>
      </c>
      <c r="E34" s="195">
        <f>'compras-ventas-gastos'!C23</f>
        <v>56393</v>
      </c>
      <c r="F34" s="195">
        <f>'compras-ventas-gastos'!D23</f>
        <v>71857</v>
      </c>
      <c r="G34" s="195">
        <f>'compras-ventas-gastos'!E23</f>
        <v>0</v>
      </c>
      <c r="H34" s="195">
        <f>'compras-ventas-gastos'!F23</f>
        <v>0</v>
      </c>
      <c r="I34" s="195">
        <f>'compras-ventas-gastos'!G23</f>
        <v>0</v>
      </c>
      <c r="J34" s="195">
        <f>'compras-ventas-gastos'!H23</f>
        <v>0</v>
      </c>
      <c r="K34" s="195">
        <f>'compras-ventas-gastos'!I23</f>
        <v>0</v>
      </c>
      <c r="L34" s="195">
        <f>'compras-ventas-gastos'!J23</f>
        <v>0</v>
      </c>
      <c r="M34" s="195">
        <f>'compras-ventas-gastos'!K23</f>
        <v>0</v>
      </c>
      <c r="N34" s="195">
        <f>'compras-ventas-gastos'!L23</f>
        <v>0</v>
      </c>
      <c r="O34" s="195">
        <f>'compras-ventas-gastos'!M23</f>
        <v>0</v>
      </c>
      <c r="P34" s="185">
        <f t="shared" si="3"/>
        <v>210078</v>
      </c>
      <c r="Q34" s="306">
        <f>P35-P34</f>
        <v>83636.93189696077</v>
      </c>
      <c r="R34" s="53"/>
      <c r="S34" s="56"/>
      <c r="T34" s="56"/>
      <c r="U34" s="56"/>
      <c r="V34" s="56"/>
      <c r="W34" s="56"/>
      <c r="X34" s="56"/>
      <c r="Y34" s="56"/>
      <c r="Z34" s="56"/>
    </row>
    <row r="35" spans="2:26" x14ac:dyDescent="0.2">
      <c r="B35" s="60" t="s">
        <v>148</v>
      </c>
      <c r="C35" s="300"/>
      <c r="D35" s="195">
        <f>D34*D5</f>
        <v>118706.07595731183</v>
      </c>
      <c r="E35" s="195">
        <f t="shared" ref="E35:O35" si="20">E34*E5</f>
        <v>78984.671018697409</v>
      </c>
      <c r="F35" s="195">
        <f t="shared" si="20"/>
        <v>96024.184920951564</v>
      </c>
      <c r="G35" s="195">
        <f t="shared" si="20"/>
        <v>0</v>
      </c>
      <c r="H35" s="195">
        <f t="shared" si="20"/>
        <v>0</v>
      </c>
      <c r="I35" s="195">
        <f t="shared" si="20"/>
        <v>0</v>
      </c>
      <c r="J35" s="195">
        <f t="shared" si="20"/>
        <v>0</v>
      </c>
      <c r="K35" s="195">
        <f t="shared" si="20"/>
        <v>0</v>
      </c>
      <c r="L35" s="195">
        <f t="shared" si="20"/>
        <v>0</v>
      </c>
      <c r="M35" s="195">
        <f t="shared" si="20"/>
        <v>0</v>
      </c>
      <c r="N35" s="195">
        <f t="shared" si="20"/>
        <v>0</v>
      </c>
      <c r="O35" s="195">
        <f t="shared" si="20"/>
        <v>0</v>
      </c>
      <c r="P35" s="185">
        <f t="shared" si="3"/>
        <v>293714.93189696077</v>
      </c>
      <c r="Q35" s="307"/>
      <c r="R35" s="53"/>
      <c r="S35" s="56">
        <v>2098943.0299999998</v>
      </c>
      <c r="T35" s="56"/>
      <c r="U35" s="56"/>
      <c r="V35" s="56"/>
      <c r="W35" s="56"/>
      <c r="X35" s="56"/>
      <c r="Y35" s="56"/>
      <c r="Z35" s="56"/>
    </row>
    <row r="36" spans="2:26" x14ac:dyDescent="0.2">
      <c r="B36" s="59" t="s">
        <v>147</v>
      </c>
      <c r="C36" s="299" t="s">
        <v>174</v>
      </c>
      <c r="D36" s="195">
        <f>'compras-ventas-gastos'!B25</f>
        <v>2790</v>
      </c>
      <c r="E36" s="195">
        <f>'compras-ventas-gastos'!C25</f>
        <v>2790</v>
      </c>
      <c r="F36" s="195">
        <f>'compras-ventas-gastos'!D25</f>
        <v>2790</v>
      </c>
      <c r="G36" s="195">
        <f>'compras-ventas-gastos'!E25</f>
        <v>3378</v>
      </c>
      <c r="H36" s="195">
        <f>'compras-ventas-gastos'!F25</f>
        <v>3378</v>
      </c>
      <c r="I36" s="195">
        <f>'compras-ventas-gastos'!G25</f>
        <v>3378</v>
      </c>
      <c r="J36" s="195">
        <f>'compras-ventas-gastos'!H25</f>
        <v>3378</v>
      </c>
      <c r="K36" s="195">
        <f>'compras-ventas-gastos'!I25</f>
        <v>0</v>
      </c>
      <c r="L36" s="195">
        <f>'compras-ventas-gastos'!J25</f>
        <v>0</v>
      </c>
      <c r="M36" s="195">
        <f>'compras-ventas-gastos'!K25</f>
        <v>0</v>
      </c>
      <c r="N36" s="195">
        <f>'compras-ventas-gastos'!L25</f>
        <v>0</v>
      </c>
      <c r="O36" s="195">
        <f>'compras-ventas-gastos'!M25</f>
        <v>0</v>
      </c>
      <c r="P36" s="185">
        <f t="shared" si="3"/>
        <v>21882</v>
      </c>
      <c r="Q36" s="306">
        <f>P37-P36</f>
        <v>6354.8100318062789</v>
      </c>
      <c r="R36" s="53"/>
      <c r="S36" s="56"/>
      <c r="T36" s="56"/>
      <c r="U36" s="56"/>
      <c r="V36" s="56"/>
      <c r="W36" s="56"/>
      <c r="X36" s="56"/>
      <c r="Y36" s="56"/>
      <c r="Z36" s="56"/>
    </row>
    <row r="37" spans="2:26" x14ac:dyDescent="0.2">
      <c r="B37" s="60" t="s">
        <v>148</v>
      </c>
      <c r="C37" s="300"/>
      <c r="D37" s="195">
        <f t="shared" ref="D37:O37" si="21">D36*D5</f>
        <v>4047.391503163954</v>
      </c>
      <c r="E37" s="195">
        <f t="shared" si="21"/>
        <v>3907.7054269530931</v>
      </c>
      <c r="F37" s="195">
        <f t="shared" si="21"/>
        <v>3728.3420672927459</v>
      </c>
      <c r="G37" s="195">
        <f t="shared" si="21"/>
        <v>4337.1324454100431</v>
      </c>
      <c r="H37" s="195">
        <f t="shared" si="21"/>
        <v>4197.6456024321296</v>
      </c>
      <c r="I37" s="195">
        <f t="shared" si="21"/>
        <v>4068.489452857074</v>
      </c>
      <c r="J37" s="195">
        <f t="shared" si="21"/>
        <v>3950.1035336972368</v>
      </c>
      <c r="K37" s="195">
        <f t="shared" si="21"/>
        <v>0</v>
      </c>
      <c r="L37" s="195">
        <f t="shared" si="21"/>
        <v>0</v>
      </c>
      <c r="M37" s="195">
        <f t="shared" si="21"/>
        <v>0</v>
      </c>
      <c r="N37" s="195">
        <f t="shared" si="21"/>
        <v>0</v>
      </c>
      <c r="O37" s="195">
        <f t="shared" si="21"/>
        <v>0</v>
      </c>
      <c r="P37" s="185">
        <f t="shared" si="3"/>
        <v>28236.810031806279</v>
      </c>
      <c r="Q37" s="307"/>
      <c r="R37" s="53"/>
      <c r="S37" s="56"/>
      <c r="T37" s="56"/>
      <c r="U37" s="56"/>
      <c r="V37" s="56"/>
      <c r="W37" s="56"/>
      <c r="X37" s="56"/>
      <c r="Y37" s="56"/>
      <c r="Z37" s="56"/>
    </row>
    <row r="38" spans="2:26" x14ac:dyDescent="0.2">
      <c r="B38" s="59" t="s">
        <v>147</v>
      </c>
      <c r="C38" s="299" t="s">
        <v>17</v>
      </c>
      <c r="D38" s="195">
        <f>'compras-ventas-gastos'!B26</f>
        <v>493736</v>
      </c>
      <c r="E38" s="195">
        <f>'compras-ventas-gastos'!C26</f>
        <v>984668</v>
      </c>
      <c r="F38" s="195">
        <f>'compras-ventas-gastos'!D26</f>
        <v>93401</v>
      </c>
      <c r="G38" s="195">
        <f>'compras-ventas-gastos'!E26</f>
        <v>173875.34</v>
      </c>
      <c r="H38" s="195">
        <f>'compras-ventas-gastos'!F26</f>
        <v>214934</v>
      </c>
      <c r="I38" s="195">
        <f>'compras-ventas-gastos'!G26</f>
        <v>89510</v>
      </c>
      <c r="J38" s="195">
        <f>'compras-ventas-gastos'!H26</f>
        <v>707471</v>
      </c>
      <c r="K38" s="195">
        <f>'compras-ventas-gastos'!I26</f>
        <v>0</v>
      </c>
      <c r="L38" s="195">
        <f>'compras-ventas-gastos'!J26</f>
        <v>0</v>
      </c>
      <c r="M38" s="195">
        <f>'compras-ventas-gastos'!K26</f>
        <v>0</v>
      </c>
      <c r="N38" s="195">
        <f>'compras-ventas-gastos'!L26</f>
        <v>0</v>
      </c>
      <c r="O38" s="195">
        <f>'compras-ventas-gastos'!M26</f>
        <v>0</v>
      </c>
      <c r="P38" s="196">
        <f t="shared" si="3"/>
        <v>2757595.34</v>
      </c>
      <c r="Q38" s="306">
        <f>P39-P38</f>
        <v>888034.29956420604</v>
      </c>
      <c r="R38" s="53"/>
      <c r="S38" s="56"/>
      <c r="T38" s="56"/>
      <c r="U38" s="56"/>
      <c r="V38" s="56"/>
      <c r="W38" s="56"/>
      <c r="X38" s="56"/>
      <c r="Y38" s="56"/>
      <c r="Z38" s="56"/>
    </row>
    <row r="39" spans="2:26" x14ac:dyDescent="0.2">
      <c r="B39" s="60" t="s">
        <v>148</v>
      </c>
      <c r="C39" s="300"/>
      <c r="D39" s="195">
        <f t="shared" ref="D39:O39" si="22">D38*D5</f>
        <v>716251.93233195622</v>
      </c>
      <c r="E39" s="195">
        <f t="shared" si="22"/>
        <v>1379137.0922390856</v>
      </c>
      <c r="F39" s="195">
        <f t="shared" si="22"/>
        <v>124813.93456172393</v>
      </c>
      <c r="G39" s="195">
        <f t="shared" si="22"/>
        <v>223244.63545609909</v>
      </c>
      <c r="H39" s="195">
        <f t="shared" si="22"/>
        <v>267086.07457464398</v>
      </c>
      <c r="I39" s="195">
        <f t="shared" si="22"/>
        <v>107806.53964631046</v>
      </c>
      <c r="J39" s="195">
        <f t="shared" si="22"/>
        <v>827289.43075438647</v>
      </c>
      <c r="K39" s="195">
        <f t="shared" si="22"/>
        <v>0</v>
      </c>
      <c r="L39" s="195">
        <f t="shared" si="22"/>
        <v>0</v>
      </c>
      <c r="M39" s="195">
        <f t="shared" si="22"/>
        <v>0</v>
      </c>
      <c r="N39" s="195">
        <f t="shared" si="22"/>
        <v>0</v>
      </c>
      <c r="O39" s="195">
        <f t="shared" si="22"/>
        <v>0</v>
      </c>
      <c r="P39" s="196">
        <f t="shared" si="3"/>
        <v>3645629.6395642059</v>
      </c>
      <c r="Q39" s="307"/>
      <c r="R39" s="53"/>
      <c r="S39" s="56"/>
      <c r="T39" s="56"/>
      <c r="U39" s="56"/>
      <c r="V39" s="56"/>
      <c r="W39" s="56"/>
      <c r="X39" s="56"/>
      <c r="Y39" s="56"/>
      <c r="Z39" s="56"/>
    </row>
    <row r="40" spans="2:26" x14ac:dyDescent="0.2">
      <c r="B40" s="59" t="s">
        <v>147</v>
      </c>
      <c r="C40" s="299" t="s">
        <v>20</v>
      </c>
      <c r="D40" s="195">
        <f>'compras-ventas-gastos'!B27</f>
        <v>545484</v>
      </c>
      <c r="E40" s="195">
        <f>'compras-ventas-gastos'!C27</f>
        <v>183326</v>
      </c>
      <c r="F40" s="195">
        <f>'compras-ventas-gastos'!D27</f>
        <v>105718</v>
      </c>
      <c r="G40" s="195">
        <f>'compras-ventas-gastos'!E27</f>
        <v>1989916</v>
      </c>
      <c r="H40" s="195">
        <f>'compras-ventas-gastos'!F27</f>
        <v>613115</v>
      </c>
      <c r="I40" s="195">
        <f>'compras-ventas-gastos'!G27</f>
        <v>154996</v>
      </c>
      <c r="J40" s="195">
        <f>'compras-ventas-gastos'!H27</f>
        <v>261303</v>
      </c>
      <c r="K40" s="195">
        <f>'compras-ventas-gastos'!I27</f>
        <v>0</v>
      </c>
      <c r="L40" s="195">
        <f>'compras-ventas-gastos'!J27</f>
        <v>0</v>
      </c>
      <c r="M40" s="195">
        <f>'compras-ventas-gastos'!K27</f>
        <v>0</v>
      </c>
      <c r="N40" s="195">
        <f>'compras-ventas-gastos'!L27</f>
        <v>0</v>
      </c>
      <c r="O40" s="195">
        <f>'compras-ventas-gastos'!M27</f>
        <v>0</v>
      </c>
      <c r="P40" s="185">
        <f t="shared" ref="P40:P45" si="23">SUM(D40:O40)</f>
        <v>3853858</v>
      </c>
      <c r="Q40" s="306">
        <f>P41-P40</f>
        <v>1144547.0162823293</v>
      </c>
      <c r="R40" s="53"/>
      <c r="S40" s="56"/>
      <c r="T40" s="56"/>
      <c r="U40" s="56"/>
      <c r="V40" s="56"/>
      <c r="W40" s="56"/>
      <c r="X40" s="56"/>
      <c r="Y40" s="56"/>
      <c r="Z40" s="56"/>
    </row>
    <row r="41" spans="2:26" x14ac:dyDescent="0.2">
      <c r="B41" s="60" t="s">
        <v>148</v>
      </c>
      <c r="C41" s="300"/>
      <c r="D41" s="195">
        <f t="shared" ref="D41:O41" si="24">D40*D5</f>
        <v>791321.61530891981</v>
      </c>
      <c r="E41" s="195">
        <f t="shared" si="24"/>
        <v>256768.46060989346</v>
      </c>
      <c r="F41" s="195">
        <f t="shared" si="24"/>
        <v>141273.42891399804</v>
      </c>
      <c r="G41" s="195">
        <f t="shared" si="24"/>
        <v>2554922.8085377654</v>
      </c>
      <c r="H41" s="195">
        <f t="shared" si="24"/>
        <v>761882.61797962547</v>
      </c>
      <c r="I41" s="195">
        <f t="shared" si="24"/>
        <v>186678.38698491268</v>
      </c>
      <c r="J41" s="195">
        <f t="shared" si="24"/>
        <v>305557.69794721401</v>
      </c>
      <c r="K41" s="195">
        <f t="shared" si="24"/>
        <v>0</v>
      </c>
      <c r="L41" s="195">
        <f t="shared" si="24"/>
        <v>0</v>
      </c>
      <c r="M41" s="195">
        <f t="shared" si="24"/>
        <v>0</v>
      </c>
      <c r="N41" s="195">
        <f t="shared" si="24"/>
        <v>0</v>
      </c>
      <c r="O41" s="195">
        <f t="shared" si="24"/>
        <v>0</v>
      </c>
      <c r="P41" s="185">
        <f t="shared" si="23"/>
        <v>4998405.0162823293</v>
      </c>
      <c r="Q41" s="307"/>
      <c r="R41" s="53"/>
      <c r="S41" s="56"/>
      <c r="T41" s="56"/>
      <c r="U41" s="56"/>
      <c r="V41" s="56"/>
      <c r="W41" s="56"/>
      <c r="X41" s="56"/>
      <c r="Y41" s="56"/>
      <c r="Z41" s="56"/>
    </row>
    <row r="42" spans="2:26" x14ac:dyDescent="0.2">
      <c r="B42" s="59" t="s">
        <v>147</v>
      </c>
      <c r="C42" s="299" t="s">
        <v>267</v>
      </c>
      <c r="D42" s="195">
        <f>'compras-ventas-gastos'!B28</f>
        <v>0</v>
      </c>
      <c r="E42" s="195">
        <f>'compras-ventas-gastos'!C28</f>
        <v>0</v>
      </c>
      <c r="F42" s="195">
        <f>'compras-ventas-gastos'!D28</f>
        <v>0</v>
      </c>
      <c r="G42" s="195">
        <f>'compras-ventas-gastos'!E28</f>
        <v>0</v>
      </c>
      <c r="H42" s="195">
        <f>'compras-ventas-gastos'!F28</f>
        <v>38678</v>
      </c>
      <c r="I42" s="195">
        <f>'compras-ventas-gastos'!G28</f>
        <v>116985</v>
      </c>
      <c r="J42" s="195">
        <f>'compras-ventas-gastos'!H28</f>
        <v>178576</v>
      </c>
      <c r="K42" s="195">
        <f>'compras-ventas-gastos'!I28</f>
        <v>0</v>
      </c>
      <c r="L42" s="195">
        <f>'compras-ventas-gastos'!J28</f>
        <v>0</v>
      </c>
      <c r="M42" s="195">
        <f>'compras-ventas-gastos'!K28</f>
        <v>0</v>
      </c>
      <c r="N42" s="195">
        <f>'compras-ventas-gastos'!L28</f>
        <v>0</v>
      </c>
      <c r="O42" s="195">
        <f>'compras-ventas-gastos'!M28</f>
        <v>0</v>
      </c>
      <c r="P42" s="197">
        <f t="shared" si="23"/>
        <v>334239</v>
      </c>
      <c r="Q42" s="306">
        <f>P43-P42</f>
        <v>63541.480724355322</v>
      </c>
      <c r="R42" s="53"/>
      <c r="S42" s="56"/>
      <c r="T42" s="56"/>
      <c r="U42" s="56"/>
      <c r="V42" s="56"/>
      <c r="W42" s="56"/>
      <c r="X42" s="56"/>
      <c r="Y42" s="56"/>
      <c r="Z42" s="56"/>
    </row>
    <row r="43" spans="2:26" x14ac:dyDescent="0.2">
      <c r="B43" s="60" t="s">
        <v>148</v>
      </c>
      <c r="C43" s="300"/>
      <c r="D43" s="195">
        <f>D42*D5</f>
        <v>0</v>
      </c>
      <c r="E43" s="195">
        <f t="shared" ref="E43:O43" si="25">E42*E5</f>
        <v>0</v>
      </c>
      <c r="F43" s="195">
        <f t="shared" si="25"/>
        <v>0</v>
      </c>
      <c r="G43" s="195">
        <f t="shared" si="25"/>
        <v>0</v>
      </c>
      <c r="H43" s="195">
        <f t="shared" si="25"/>
        <v>48062.917883620459</v>
      </c>
      <c r="I43" s="195">
        <f t="shared" si="25"/>
        <v>140897.643174211</v>
      </c>
      <c r="J43" s="195">
        <f t="shared" si="25"/>
        <v>208819.9196665239</v>
      </c>
      <c r="K43" s="195">
        <f t="shared" si="25"/>
        <v>0</v>
      </c>
      <c r="L43" s="195">
        <f t="shared" si="25"/>
        <v>0</v>
      </c>
      <c r="M43" s="195">
        <f t="shared" si="25"/>
        <v>0</v>
      </c>
      <c r="N43" s="195">
        <f t="shared" si="25"/>
        <v>0</v>
      </c>
      <c r="O43" s="195">
        <f t="shared" si="25"/>
        <v>0</v>
      </c>
      <c r="P43" s="197">
        <f t="shared" si="23"/>
        <v>397780.48072435532</v>
      </c>
      <c r="Q43" s="307"/>
      <c r="R43" s="53"/>
      <c r="S43" s="56"/>
      <c r="T43" s="56"/>
      <c r="U43" s="56"/>
      <c r="V43" s="56"/>
      <c r="W43" s="56"/>
      <c r="X43" s="56"/>
      <c r="Y43" s="56"/>
      <c r="Z43" s="56"/>
    </row>
    <row r="44" spans="2:26" x14ac:dyDescent="0.2">
      <c r="B44" s="59" t="s">
        <v>147</v>
      </c>
      <c r="C44" s="299" t="s">
        <v>175</v>
      </c>
      <c r="D44" s="195">
        <f>'compras-ventas-gastos'!B35</f>
        <v>257157.82</v>
      </c>
      <c r="E44" s="195">
        <f>'compras-ventas-gastos'!C35</f>
        <v>229564.4</v>
      </c>
      <c r="F44" s="195">
        <f>'compras-ventas-gastos'!D35</f>
        <v>252157.77</v>
      </c>
      <c r="G44" s="195">
        <f>'compras-ventas-gastos'!E35</f>
        <v>252082.44</v>
      </c>
      <c r="H44" s="195">
        <f>'compras-ventas-gastos'!F35</f>
        <v>290863.02</v>
      </c>
      <c r="I44" s="195">
        <f>'compras-ventas-gastos'!G35</f>
        <v>431690.49</v>
      </c>
      <c r="J44" s="195">
        <f>'compras-ventas-gastos'!H35</f>
        <v>0</v>
      </c>
      <c r="K44" s="195">
        <f>'compras-ventas-gastos'!I35</f>
        <v>0</v>
      </c>
      <c r="L44" s="195">
        <f>'compras-ventas-gastos'!J35</f>
        <v>0</v>
      </c>
      <c r="M44" s="195">
        <f>'compras-ventas-gastos'!K35</f>
        <v>0</v>
      </c>
      <c r="N44" s="195">
        <f>'compras-ventas-gastos'!L35</f>
        <v>0</v>
      </c>
      <c r="O44" s="195">
        <f>'compras-ventas-gastos'!M35</f>
        <v>0</v>
      </c>
      <c r="P44" s="197">
        <f t="shared" si="23"/>
        <v>1713515.94</v>
      </c>
      <c r="Q44" s="306">
        <f>P45-P44</f>
        <v>523059.56904770946</v>
      </c>
      <c r="R44" s="53"/>
      <c r="S44" s="56"/>
      <c r="T44" s="56"/>
      <c r="U44" s="56"/>
      <c r="V44" s="56"/>
      <c r="W44" s="56"/>
      <c r="X44" s="56"/>
      <c r="Y44" s="56"/>
      <c r="Z44" s="56"/>
    </row>
    <row r="45" spans="2:26" x14ac:dyDescent="0.2">
      <c r="B45" s="60" t="s">
        <v>148</v>
      </c>
      <c r="C45" s="300"/>
      <c r="D45" s="195">
        <f t="shared" ref="D45:O45" si="26">D44*D5</f>
        <v>373053.18123303424</v>
      </c>
      <c r="E45" s="195">
        <f t="shared" si="26"/>
        <v>321530.48448574578</v>
      </c>
      <c r="F45" s="195">
        <f t="shared" si="26"/>
        <v>336964.30877624685</v>
      </c>
      <c r="G45" s="195">
        <f t="shared" si="26"/>
        <v>323657.46875137079</v>
      </c>
      <c r="H45" s="195">
        <f t="shared" si="26"/>
        <v>361438.68466936902</v>
      </c>
      <c r="I45" s="195">
        <f t="shared" si="26"/>
        <v>519931.38113194262</v>
      </c>
      <c r="J45" s="195">
        <f t="shared" si="26"/>
        <v>0</v>
      </c>
      <c r="K45" s="195">
        <f t="shared" si="26"/>
        <v>0</v>
      </c>
      <c r="L45" s="195">
        <f t="shared" si="26"/>
        <v>0</v>
      </c>
      <c r="M45" s="195">
        <f t="shared" si="26"/>
        <v>0</v>
      </c>
      <c r="N45" s="195">
        <f t="shared" si="26"/>
        <v>0</v>
      </c>
      <c r="O45" s="195">
        <f t="shared" si="26"/>
        <v>0</v>
      </c>
      <c r="P45" s="197">
        <f t="shared" si="23"/>
        <v>2236575.5090477094</v>
      </c>
      <c r="Q45" s="307"/>
      <c r="R45" s="53" t="s">
        <v>192</v>
      </c>
      <c r="S45" s="56"/>
      <c r="T45" s="56"/>
      <c r="U45" s="56"/>
      <c r="V45" s="56"/>
      <c r="W45" s="56"/>
      <c r="X45" s="56"/>
      <c r="Y45" s="56"/>
      <c r="Z45" s="56"/>
    </row>
    <row r="46" spans="2:26" x14ac:dyDescent="0.2">
      <c r="B46" s="59" t="s">
        <v>147</v>
      </c>
      <c r="C46" s="301" t="s">
        <v>268</v>
      </c>
      <c r="D46" s="195">
        <f>'compras-ventas-gastos'!B40+'compras-ventas-gastos'!B41</f>
        <v>67410.45</v>
      </c>
      <c r="E46" s="195">
        <f>'compras-ventas-gastos'!C40+'compras-ventas-gastos'!C41</f>
        <v>60526.73</v>
      </c>
      <c r="F46" s="195">
        <f>'compras-ventas-gastos'!D40+'compras-ventas-gastos'!D41</f>
        <v>60449.68</v>
      </c>
      <c r="G46" s="195">
        <f>'compras-ventas-gastos'!E40+'compras-ventas-gastos'!E41</f>
        <v>60820.7</v>
      </c>
      <c r="H46" s="195">
        <f>'compras-ventas-gastos'!F40+'compras-ventas-gastos'!F41</f>
        <v>72249.289999999994</v>
      </c>
      <c r="I46" s="195">
        <f>'compras-ventas-gastos'!G40+'compras-ventas-gastos'!G41</f>
        <v>122545.05</v>
      </c>
      <c r="J46" s="195">
        <f>'compras-ventas-gastos'!H40+'compras-ventas-gastos'!H41</f>
        <v>0</v>
      </c>
      <c r="K46" s="195">
        <f>'compras-ventas-gastos'!I40+'compras-ventas-gastos'!I41</f>
        <v>0</v>
      </c>
      <c r="L46" s="195">
        <f>'compras-ventas-gastos'!J40+'compras-ventas-gastos'!J41</f>
        <v>0</v>
      </c>
      <c r="M46" s="195">
        <f>'compras-ventas-gastos'!K40+'compras-ventas-gastos'!K41</f>
        <v>0</v>
      </c>
      <c r="N46" s="195">
        <f>'compras-ventas-gastos'!L40+'compras-ventas-gastos'!L41</f>
        <v>0</v>
      </c>
      <c r="O46" s="195">
        <f>'compras-ventas-gastos'!M40+'compras-ventas-gastos'!M41</f>
        <v>0</v>
      </c>
      <c r="P46" s="185">
        <f t="shared" ref="P46:P47" si="27">SUM(D46:O46)</f>
        <v>444001.89999999997</v>
      </c>
      <c r="Q46" s="306">
        <f>P47-P46</f>
        <v>134807.74932584638</v>
      </c>
      <c r="R46" s="53"/>
      <c r="S46" s="56"/>
      <c r="T46" s="56"/>
      <c r="U46" s="56"/>
      <c r="V46" s="56"/>
      <c r="W46" s="56"/>
      <c r="X46" s="56"/>
      <c r="Y46" s="56"/>
      <c r="Z46" s="56"/>
    </row>
    <row r="47" spans="2:26" x14ac:dyDescent="0.2">
      <c r="B47" s="60" t="s">
        <v>148</v>
      </c>
      <c r="C47" s="302"/>
      <c r="D47" s="195">
        <f t="shared" ref="D47:O47" si="28">D46*D5</f>
        <v>97790.853962171517</v>
      </c>
      <c r="E47" s="195">
        <f t="shared" si="28"/>
        <v>84774.419819614559</v>
      </c>
      <c r="F47" s="195">
        <f t="shared" si="28"/>
        <v>80780.317167879912</v>
      </c>
      <c r="G47" s="195">
        <f t="shared" si="28"/>
        <v>78089.825731956968</v>
      </c>
      <c r="H47" s="195">
        <f t="shared" si="28"/>
        <v>89780.02203888206</v>
      </c>
      <c r="I47" s="195">
        <f t="shared" si="28"/>
        <v>147594.21060534127</v>
      </c>
      <c r="J47" s="195">
        <f t="shared" si="28"/>
        <v>0</v>
      </c>
      <c r="K47" s="195">
        <f t="shared" si="28"/>
        <v>0</v>
      </c>
      <c r="L47" s="195">
        <f t="shared" si="28"/>
        <v>0</v>
      </c>
      <c r="M47" s="195">
        <f t="shared" si="28"/>
        <v>0</v>
      </c>
      <c r="N47" s="195">
        <f t="shared" si="28"/>
        <v>0</v>
      </c>
      <c r="O47" s="195">
        <f t="shared" si="28"/>
        <v>0</v>
      </c>
      <c r="P47" s="185">
        <f t="shared" si="27"/>
        <v>578809.64932584635</v>
      </c>
      <c r="Q47" s="307"/>
      <c r="R47" s="53"/>
      <c r="S47" s="56"/>
      <c r="T47" s="56"/>
      <c r="U47" s="56"/>
      <c r="V47" s="56"/>
      <c r="W47" s="56"/>
      <c r="X47" s="56"/>
      <c r="Y47" s="56"/>
      <c r="Z47" s="56"/>
    </row>
    <row r="48" spans="2:26" x14ac:dyDescent="0.2">
      <c r="B48" s="59" t="s">
        <v>147</v>
      </c>
      <c r="C48" s="299" t="s">
        <v>80</v>
      </c>
      <c r="D48" s="195">
        <f>'compras-ventas-gastos'!B55</f>
        <v>67311.679999999993</v>
      </c>
      <c r="E48" s="195">
        <f>'compras-ventas-gastos'!C55</f>
        <v>46602.38</v>
      </c>
      <c r="F48" s="195">
        <f>'compras-ventas-gastos'!D55</f>
        <v>86173.4</v>
      </c>
      <c r="G48" s="195">
        <f>'compras-ventas-gastos'!E55</f>
        <v>79740.56</v>
      </c>
      <c r="H48" s="195">
        <f>'compras-ventas-gastos'!F55</f>
        <v>96578.54</v>
      </c>
      <c r="I48" s="195">
        <f>'compras-ventas-gastos'!G55</f>
        <v>30556.39</v>
      </c>
      <c r="J48" s="195">
        <f>'compras-ventas-gastos'!H55</f>
        <v>562495.9</v>
      </c>
      <c r="K48" s="195">
        <f>'compras-ventas-gastos'!I55</f>
        <v>368349.23</v>
      </c>
      <c r="L48" s="195">
        <f>'compras-ventas-gastos'!J55</f>
        <v>119459.63</v>
      </c>
      <c r="M48" s="195">
        <f>'compras-ventas-gastos'!K55</f>
        <v>122114.4</v>
      </c>
      <c r="N48" s="195">
        <f>'compras-ventas-gastos'!L55</f>
        <v>130902.54</v>
      </c>
      <c r="O48" s="195">
        <f>'compras-ventas-gastos'!M55</f>
        <v>143479.53</v>
      </c>
      <c r="P48" s="197">
        <f t="shared" ref="P48:P57" si="29">SUM(D48:O48)</f>
        <v>1853764.18</v>
      </c>
      <c r="Q48" s="306">
        <f>P49-P48</f>
        <v>302701.88777720067</v>
      </c>
      <c r="R48" s="53"/>
      <c r="S48" s="56"/>
      <c r="T48" s="56"/>
      <c r="U48" s="56"/>
      <c r="V48" s="56"/>
      <c r="W48" s="56"/>
      <c r="X48" s="56"/>
      <c r="Y48" s="56"/>
      <c r="Z48" s="56"/>
    </row>
    <row r="49" spans="2:26" x14ac:dyDescent="0.2">
      <c r="B49" s="60" t="s">
        <v>148</v>
      </c>
      <c r="C49" s="300"/>
      <c r="D49" s="195">
        <f t="shared" ref="D49:O49" si="30">D48*D5</f>
        <v>97647.570500247675</v>
      </c>
      <c r="E49" s="195">
        <f t="shared" si="30"/>
        <v>65271.818363774299</v>
      </c>
      <c r="F49" s="195">
        <f t="shared" si="30"/>
        <v>115155.52412245329</v>
      </c>
      <c r="G49" s="195">
        <f t="shared" si="30"/>
        <v>102381.69626736717</v>
      </c>
      <c r="H49" s="195">
        <f t="shared" si="30"/>
        <v>120012.57658979144</v>
      </c>
      <c r="I49" s="195">
        <f t="shared" si="30"/>
        <v>36802.353591588915</v>
      </c>
      <c r="J49" s="195">
        <f t="shared" si="30"/>
        <v>657761.11375968251</v>
      </c>
      <c r="K49" s="195">
        <f t="shared" si="30"/>
        <v>420356.99393277784</v>
      </c>
      <c r="L49" s="195">
        <f t="shared" si="30"/>
        <v>131656.72420481069</v>
      </c>
      <c r="M49" s="195">
        <f t="shared" si="30"/>
        <v>130011.00777911537</v>
      </c>
      <c r="N49" s="195">
        <f t="shared" si="30"/>
        <v>135929.15866559197</v>
      </c>
      <c r="O49" s="195">
        <f t="shared" si="30"/>
        <v>143479.53</v>
      </c>
      <c r="P49" s="197">
        <f t="shared" si="29"/>
        <v>2156466.0677772006</v>
      </c>
      <c r="Q49" s="307"/>
      <c r="R49" s="53"/>
      <c r="S49" s="56"/>
      <c r="T49" s="56"/>
      <c r="U49" s="56"/>
      <c r="V49" s="56"/>
      <c r="W49" s="56"/>
      <c r="X49" s="56"/>
      <c r="Y49" s="56"/>
      <c r="Z49" s="56"/>
    </row>
    <row r="50" spans="2:26" x14ac:dyDescent="0.2">
      <c r="B50" s="59" t="s">
        <v>147</v>
      </c>
      <c r="C50" s="303" t="s">
        <v>176</v>
      </c>
      <c r="D50" s="195">
        <f>'compras-ventas-gastos'!B63</f>
        <v>1600</v>
      </c>
      <c r="E50" s="195">
        <f>'compras-ventas-gastos'!C63</f>
        <v>1910</v>
      </c>
      <c r="F50" s="195">
        <f>'compras-ventas-gastos'!D63</f>
        <v>2998</v>
      </c>
      <c r="G50" s="195">
        <f>'compras-ventas-gastos'!E63</f>
        <v>2829.44</v>
      </c>
      <c r="H50" s="195">
        <f>'compras-ventas-gastos'!F63</f>
        <v>34810</v>
      </c>
      <c r="I50" s="195">
        <f>'compras-ventas-gastos'!G63</f>
        <v>3595.37</v>
      </c>
      <c r="J50" s="195">
        <f>'compras-ventas-gastos'!H63</f>
        <v>2110</v>
      </c>
      <c r="K50" s="195">
        <f>'compras-ventas-gastos'!I63</f>
        <v>52165</v>
      </c>
      <c r="L50" s="195">
        <f>'compras-ventas-gastos'!J63</f>
        <v>2980</v>
      </c>
      <c r="M50" s="195">
        <f>'compras-ventas-gastos'!K63</f>
        <v>2980</v>
      </c>
      <c r="N50" s="195">
        <f>'compras-ventas-gastos'!L63</f>
        <v>2500</v>
      </c>
      <c r="O50" s="195">
        <f>'compras-ventas-gastos'!M63</f>
        <v>2860</v>
      </c>
      <c r="P50" s="198">
        <f t="shared" si="29"/>
        <v>113337.81</v>
      </c>
      <c r="Q50" s="306">
        <f>P51-P50</f>
        <v>20794.79859459927</v>
      </c>
      <c r="R50" s="53"/>
      <c r="S50" s="56"/>
      <c r="T50" s="56"/>
      <c r="U50" s="56"/>
      <c r="V50" s="56"/>
      <c r="W50" s="56"/>
      <c r="X50" s="56"/>
      <c r="Y50" s="56"/>
      <c r="Z50" s="56"/>
    </row>
    <row r="51" spans="2:26" x14ac:dyDescent="0.2">
      <c r="B51" s="60" t="s">
        <v>148</v>
      </c>
      <c r="C51" s="302"/>
      <c r="D51" s="195">
        <f t="shared" ref="D51:O51" si="31">D50*D5</f>
        <v>2321.0847329972494</v>
      </c>
      <c r="E51" s="195">
        <f t="shared" si="31"/>
        <v>2675.1675145091067</v>
      </c>
      <c r="F51" s="195">
        <f t="shared" si="31"/>
        <v>4006.2973181876891</v>
      </c>
      <c r="G51" s="195">
        <f t="shared" si="31"/>
        <v>3632.8170593075765</v>
      </c>
      <c r="H51" s="195">
        <f t="shared" si="31"/>
        <v>43256.37756680356</v>
      </c>
      <c r="I51" s="195">
        <f t="shared" si="31"/>
        <v>4330.2915701950078</v>
      </c>
      <c r="J51" s="195">
        <f t="shared" si="31"/>
        <v>2467.3530065426789</v>
      </c>
      <c r="K51" s="195">
        <f t="shared" si="31"/>
        <v>59530.252278532942</v>
      </c>
      <c r="L51" s="195">
        <f t="shared" si="31"/>
        <v>3284.2646350933437</v>
      </c>
      <c r="M51" s="195">
        <f t="shared" si="31"/>
        <v>3172.7036547840698</v>
      </c>
      <c r="N51" s="195">
        <f t="shared" si="31"/>
        <v>2595.9992576460318</v>
      </c>
      <c r="O51" s="195">
        <f t="shared" si="31"/>
        <v>2860</v>
      </c>
      <c r="P51" s="198">
        <f t="shared" si="29"/>
        <v>134132.60859459927</v>
      </c>
      <c r="Q51" s="307"/>
      <c r="R51" s="53"/>
      <c r="S51" s="56"/>
      <c r="T51" s="56"/>
      <c r="U51" s="56"/>
      <c r="V51" s="56"/>
      <c r="W51" s="56"/>
      <c r="X51" s="56"/>
      <c r="Y51" s="56"/>
      <c r="Z51" s="56"/>
    </row>
    <row r="52" spans="2:26" x14ac:dyDescent="0.2">
      <c r="B52" s="59" t="s">
        <v>147</v>
      </c>
      <c r="C52" s="308" t="s">
        <v>177</v>
      </c>
      <c r="D52" s="195">
        <v>0</v>
      </c>
      <c r="E52" s="195">
        <v>0</v>
      </c>
      <c r="F52" s="195">
        <v>0</v>
      </c>
      <c r="G52" s="195">
        <v>0</v>
      </c>
      <c r="H52" s="195">
        <v>0</v>
      </c>
      <c r="I52" s="195">
        <v>0</v>
      </c>
      <c r="J52" s="195">
        <v>0</v>
      </c>
      <c r="K52" s="195">
        <v>0</v>
      </c>
      <c r="L52" s="195">
        <v>0</v>
      </c>
      <c r="M52" s="195">
        <v>0</v>
      </c>
      <c r="N52" s="195">
        <v>0</v>
      </c>
      <c r="O52" s="195">
        <v>0</v>
      </c>
      <c r="P52" s="198">
        <f t="shared" si="29"/>
        <v>0</v>
      </c>
      <c r="Q52" s="306">
        <f>P53-P52</f>
        <v>0</v>
      </c>
      <c r="R52" s="53"/>
      <c r="S52" s="56"/>
      <c r="T52" s="56"/>
      <c r="U52" s="56"/>
      <c r="V52" s="56"/>
      <c r="W52" s="56"/>
      <c r="X52" s="56"/>
      <c r="Y52" s="56"/>
      <c r="Z52" s="56"/>
    </row>
    <row r="53" spans="2:26" x14ac:dyDescent="0.2">
      <c r="B53" s="60" t="s">
        <v>148</v>
      </c>
      <c r="C53" s="308"/>
      <c r="D53" s="195">
        <f t="shared" ref="D53:O53" si="32">D52*D5</f>
        <v>0</v>
      </c>
      <c r="E53" s="195">
        <f t="shared" si="32"/>
        <v>0</v>
      </c>
      <c r="F53" s="195">
        <f t="shared" si="32"/>
        <v>0</v>
      </c>
      <c r="G53" s="195">
        <f t="shared" si="32"/>
        <v>0</v>
      </c>
      <c r="H53" s="195">
        <f t="shared" si="32"/>
        <v>0</v>
      </c>
      <c r="I53" s="195">
        <f t="shared" si="32"/>
        <v>0</v>
      </c>
      <c r="J53" s="195">
        <f t="shared" si="32"/>
        <v>0</v>
      </c>
      <c r="K53" s="195">
        <f t="shared" si="32"/>
        <v>0</v>
      </c>
      <c r="L53" s="195">
        <f t="shared" si="32"/>
        <v>0</v>
      </c>
      <c r="M53" s="195">
        <f t="shared" si="32"/>
        <v>0</v>
      </c>
      <c r="N53" s="195">
        <f t="shared" si="32"/>
        <v>0</v>
      </c>
      <c r="O53" s="195">
        <f t="shared" si="32"/>
        <v>0</v>
      </c>
      <c r="P53" s="198">
        <f t="shared" si="29"/>
        <v>0</v>
      </c>
      <c r="Q53" s="307"/>
      <c r="R53" s="53"/>
      <c r="S53" s="56"/>
      <c r="T53" s="56"/>
      <c r="U53" s="56"/>
      <c r="V53" s="56"/>
      <c r="W53" s="56"/>
      <c r="X53" s="56"/>
      <c r="Y53" s="56"/>
      <c r="Z53" s="56"/>
    </row>
    <row r="54" spans="2:26" x14ac:dyDescent="0.2">
      <c r="B54" s="59" t="s">
        <v>147</v>
      </c>
      <c r="C54" s="303" t="s">
        <v>180</v>
      </c>
      <c r="D54" s="195">
        <f>'compras-ventas-gastos'!B69</f>
        <v>742</v>
      </c>
      <c r="E54" s="195">
        <f>'compras-ventas-gastos'!C69</f>
        <v>340</v>
      </c>
      <c r="F54" s="195">
        <f>'compras-ventas-gastos'!D69</f>
        <v>1576</v>
      </c>
      <c r="G54" s="195">
        <f>'compras-ventas-gastos'!E69</f>
        <v>462</v>
      </c>
      <c r="H54" s="195">
        <f>'compras-ventas-gastos'!F69</f>
        <v>857</v>
      </c>
      <c r="I54" s="195">
        <f>'compras-ventas-gastos'!G69</f>
        <v>617</v>
      </c>
      <c r="J54" s="195">
        <f>'compras-ventas-gastos'!H69</f>
        <v>617</v>
      </c>
      <c r="K54" s="195">
        <f>'compras-ventas-gastos'!I69</f>
        <v>1449</v>
      </c>
      <c r="L54" s="195">
        <f>'compras-ventas-gastos'!J69</f>
        <v>1234</v>
      </c>
      <c r="M54" s="195">
        <f>'compras-ventas-gastos'!K69</f>
        <v>1234</v>
      </c>
      <c r="N54" s="195">
        <f>'compras-ventas-gastos'!L69</f>
        <v>1384</v>
      </c>
      <c r="O54" s="195">
        <f>'compras-ventas-gastos'!M69</f>
        <v>1546</v>
      </c>
      <c r="P54" s="198">
        <f t="shared" si="29"/>
        <v>12058</v>
      </c>
      <c r="Q54" s="306">
        <f>P55-P54</f>
        <v>2033.9177171517495</v>
      </c>
      <c r="R54" s="53"/>
      <c r="S54" s="56"/>
      <c r="T54" s="56"/>
      <c r="U54" s="56"/>
      <c r="V54" s="56"/>
      <c r="W54" s="56"/>
      <c r="X54" s="56"/>
      <c r="Y54" s="56"/>
      <c r="Z54" s="56"/>
    </row>
    <row r="55" spans="2:26" x14ac:dyDescent="0.2">
      <c r="B55" s="60" t="s">
        <v>148</v>
      </c>
      <c r="C55" s="302"/>
      <c r="D55" s="195">
        <f>D54*D5</f>
        <v>1076.4030449274744</v>
      </c>
      <c r="E55" s="195">
        <f t="shared" ref="E55:O55" si="33">E54*E5</f>
        <v>476.20782980790386</v>
      </c>
      <c r="F55" s="195">
        <f t="shared" si="33"/>
        <v>2106.0455548578379</v>
      </c>
      <c r="G55" s="195">
        <f t="shared" si="33"/>
        <v>593.17797210759034</v>
      </c>
      <c r="H55" s="195">
        <f t="shared" si="33"/>
        <v>1064.9444290362151</v>
      </c>
      <c r="I55" s="195">
        <f t="shared" si="33"/>
        <v>743.11959514884984</v>
      </c>
      <c r="J55" s="195">
        <f t="shared" si="33"/>
        <v>721.49611613120044</v>
      </c>
      <c r="K55" s="195">
        <f t="shared" si="33"/>
        <v>1653.5864190854834</v>
      </c>
      <c r="L55" s="195">
        <f t="shared" si="33"/>
        <v>1359.9941475520759</v>
      </c>
      <c r="M55" s="195">
        <f t="shared" si="33"/>
        <v>1313.7974194642759</v>
      </c>
      <c r="N55" s="195">
        <f t="shared" si="33"/>
        <v>1437.1451890328431</v>
      </c>
      <c r="O55" s="195">
        <f t="shared" si="33"/>
        <v>1546</v>
      </c>
      <c r="P55" s="198">
        <f t="shared" si="29"/>
        <v>14091.917717151749</v>
      </c>
      <c r="Q55" s="307"/>
      <c r="R55" s="53"/>
      <c r="S55" s="56"/>
      <c r="T55" s="56"/>
      <c r="U55" s="56"/>
      <c r="V55" s="56"/>
      <c r="W55" s="56"/>
      <c r="X55" s="56"/>
      <c r="Y55" s="56"/>
      <c r="Z55" s="56"/>
    </row>
    <row r="56" spans="2:26" x14ac:dyDescent="0.2">
      <c r="B56" s="59" t="s">
        <v>147</v>
      </c>
      <c r="C56" s="308" t="s">
        <v>181</v>
      </c>
      <c r="D56" s="195">
        <v>0</v>
      </c>
      <c r="E56" s="195">
        <v>0</v>
      </c>
      <c r="F56" s="195">
        <v>0</v>
      </c>
      <c r="G56" s="195">
        <v>0</v>
      </c>
      <c r="H56" s="195">
        <v>0</v>
      </c>
      <c r="I56" s="195">
        <v>0</v>
      </c>
      <c r="J56" s="195">
        <v>0</v>
      </c>
      <c r="K56" s="195">
        <v>0</v>
      </c>
      <c r="L56" s="195">
        <v>0</v>
      </c>
      <c r="M56" s="195">
        <v>0</v>
      </c>
      <c r="N56" s="195">
        <v>0</v>
      </c>
      <c r="O56" s="195">
        <v>0</v>
      </c>
      <c r="P56" s="198">
        <f t="shared" si="29"/>
        <v>0</v>
      </c>
      <c r="Q56" s="306">
        <f>P57-P56</f>
        <v>0</v>
      </c>
      <c r="R56" s="53"/>
      <c r="S56" s="56"/>
      <c r="T56" s="56"/>
      <c r="U56" s="56"/>
      <c r="V56" s="56"/>
      <c r="W56" s="56"/>
      <c r="X56" s="56"/>
      <c r="Y56" s="56"/>
      <c r="Z56" s="56"/>
    </row>
    <row r="57" spans="2:26" x14ac:dyDescent="0.2">
      <c r="B57" s="60" t="s">
        <v>148</v>
      </c>
      <c r="C57" s="308"/>
      <c r="D57" s="195">
        <f>D56*D5</f>
        <v>0</v>
      </c>
      <c r="E57" s="195">
        <f t="shared" ref="E57:O57" si="34">E56*E5</f>
        <v>0</v>
      </c>
      <c r="F57" s="195">
        <f t="shared" si="34"/>
        <v>0</v>
      </c>
      <c r="G57" s="195">
        <f t="shared" si="34"/>
        <v>0</v>
      </c>
      <c r="H57" s="195">
        <f t="shared" si="34"/>
        <v>0</v>
      </c>
      <c r="I57" s="195">
        <f t="shared" si="34"/>
        <v>0</v>
      </c>
      <c r="J57" s="195">
        <f t="shared" si="34"/>
        <v>0</v>
      </c>
      <c r="K57" s="195">
        <f t="shared" si="34"/>
        <v>0</v>
      </c>
      <c r="L57" s="195">
        <f t="shared" si="34"/>
        <v>0</v>
      </c>
      <c r="M57" s="195">
        <f t="shared" si="34"/>
        <v>0</v>
      </c>
      <c r="N57" s="195">
        <f t="shared" si="34"/>
        <v>0</v>
      </c>
      <c r="O57" s="195">
        <f t="shared" si="34"/>
        <v>0</v>
      </c>
      <c r="P57" s="198">
        <f t="shared" si="29"/>
        <v>0</v>
      </c>
      <c r="Q57" s="307"/>
      <c r="R57" s="53"/>
      <c r="S57" s="56"/>
      <c r="T57" s="56"/>
      <c r="U57" s="56"/>
      <c r="V57" s="56"/>
      <c r="W57" s="56"/>
      <c r="X57" s="56"/>
      <c r="Y57" s="56"/>
      <c r="Z57" s="56"/>
    </row>
    <row r="58" spans="2:26" x14ac:dyDescent="0.2">
      <c r="B58" s="59" t="s">
        <v>147</v>
      </c>
      <c r="C58" s="303" t="s">
        <v>178</v>
      </c>
      <c r="D58" s="195" t="e">
        <f>'compras-ventas-gastos'!#REF!</f>
        <v>#REF!</v>
      </c>
      <c r="E58" s="195" t="e">
        <f>'compras-ventas-gastos'!#REF!</f>
        <v>#REF!</v>
      </c>
      <c r="F58" s="195" t="e">
        <f>'compras-ventas-gastos'!#REF!</f>
        <v>#REF!</v>
      </c>
      <c r="G58" s="195" t="e">
        <f>'compras-ventas-gastos'!#REF!</f>
        <v>#REF!</v>
      </c>
      <c r="H58" s="195" t="e">
        <f>'compras-ventas-gastos'!#REF!</f>
        <v>#REF!</v>
      </c>
      <c r="I58" s="195" t="e">
        <f>'compras-ventas-gastos'!#REF!</f>
        <v>#REF!</v>
      </c>
      <c r="J58" s="195" t="e">
        <f>'compras-ventas-gastos'!#REF!</f>
        <v>#REF!</v>
      </c>
      <c r="K58" s="195" t="e">
        <f>'compras-ventas-gastos'!#REF!</f>
        <v>#REF!</v>
      </c>
      <c r="L58" s="195" t="e">
        <f>'compras-ventas-gastos'!#REF!</f>
        <v>#REF!</v>
      </c>
      <c r="M58" s="195" t="e">
        <f>'compras-ventas-gastos'!#REF!</f>
        <v>#REF!</v>
      </c>
      <c r="N58" s="195" t="e">
        <f>'compras-ventas-gastos'!#REF!</f>
        <v>#REF!</v>
      </c>
      <c r="O58" s="195" t="e">
        <f>'compras-ventas-gastos'!#REF!</f>
        <v>#REF!</v>
      </c>
      <c r="P58" s="198" t="e">
        <f t="shared" ref="P58:P61" si="35">SUM(D58:O58)</f>
        <v>#REF!</v>
      </c>
      <c r="Q58" s="306" t="e">
        <f>P59-P58</f>
        <v>#REF!</v>
      </c>
      <c r="R58" s="53"/>
      <c r="S58" s="56"/>
      <c r="T58" s="56"/>
      <c r="U58" s="56"/>
      <c r="V58" s="56"/>
      <c r="W58" s="56"/>
      <c r="X58" s="56"/>
      <c r="Y58" s="56"/>
      <c r="Z58" s="56"/>
    </row>
    <row r="59" spans="2:26" x14ac:dyDescent="0.2">
      <c r="B59" s="60" t="s">
        <v>148</v>
      </c>
      <c r="C59" s="302"/>
      <c r="D59" s="195" t="e">
        <f t="shared" ref="D59:O59" si="36">D58*D5</f>
        <v>#REF!</v>
      </c>
      <c r="E59" s="195" t="e">
        <f t="shared" si="36"/>
        <v>#REF!</v>
      </c>
      <c r="F59" s="195" t="e">
        <f t="shared" si="36"/>
        <v>#REF!</v>
      </c>
      <c r="G59" s="195" t="e">
        <f t="shared" si="36"/>
        <v>#REF!</v>
      </c>
      <c r="H59" s="195" t="e">
        <f t="shared" si="36"/>
        <v>#REF!</v>
      </c>
      <c r="I59" s="195" t="e">
        <f t="shared" si="36"/>
        <v>#REF!</v>
      </c>
      <c r="J59" s="195" t="e">
        <f t="shared" si="36"/>
        <v>#REF!</v>
      </c>
      <c r="K59" s="195" t="e">
        <f t="shared" si="36"/>
        <v>#REF!</v>
      </c>
      <c r="L59" s="195" t="e">
        <f t="shared" si="36"/>
        <v>#REF!</v>
      </c>
      <c r="M59" s="195" t="e">
        <f t="shared" si="36"/>
        <v>#REF!</v>
      </c>
      <c r="N59" s="195" t="e">
        <f t="shared" si="36"/>
        <v>#REF!</v>
      </c>
      <c r="O59" s="195" t="e">
        <f t="shared" si="36"/>
        <v>#REF!</v>
      </c>
      <c r="P59" s="198" t="e">
        <f t="shared" si="35"/>
        <v>#REF!</v>
      </c>
      <c r="Q59" s="307"/>
      <c r="R59" s="53"/>
      <c r="S59" s="56"/>
      <c r="T59" s="56"/>
      <c r="U59" s="56"/>
      <c r="V59" s="56"/>
      <c r="W59" s="56"/>
      <c r="X59" s="56"/>
      <c r="Y59" s="56"/>
      <c r="Z59" s="56"/>
    </row>
    <row r="60" spans="2:26" x14ac:dyDescent="0.2">
      <c r="B60" s="59" t="s">
        <v>147</v>
      </c>
      <c r="C60" s="303" t="s">
        <v>179</v>
      </c>
      <c r="D60" s="195">
        <v>0</v>
      </c>
      <c r="E60" s="195">
        <v>0</v>
      </c>
      <c r="F60" s="195">
        <v>0</v>
      </c>
      <c r="G60" s="195">
        <v>0</v>
      </c>
      <c r="H60" s="195">
        <v>0</v>
      </c>
      <c r="I60" s="195">
        <v>0</v>
      </c>
      <c r="J60" s="195">
        <v>0</v>
      </c>
      <c r="K60" s="195">
        <v>0</v>
      </c>
      <c r="L60" s="195">
        <v>0</v>
      </c>
      <c r="M60" s="195">
        <v>0</v>
      </c>
      <c r="N60" s="195">
        <v>0</v>
      </c>
      <c r="O60" s="195">
        <v>0</v>
      </c>
      <c r="P60" s="198">
        <f t="shared" si="35"/>
        <v>0</v>
      </c>
      <c r="Q60" s="306">
        <f>P61-P60</f>
        <v>0</v>
      </c>
      <c r="R60" s="53"/>
      <c r="S60" s="56"/>
      <c r="T60" s="56"/>
      <c r="U60" s="56"/>
      <c r="V60" s="56"/>
      <c r="W60" s="56"/>
      <c r="X60" s="56"/>
      <c r="Y60" s="56"/>
      <c r="Z60" s="56"/>
    </row>
    <row r="61" spans="2:26" x14ac:dyDescent="0.2">
      <c r="B61" s="60" t="s">
        <v>148</v>
      </c>
      <c r="C61" s="302"/>
      <c r="D61" s="195">
        <f t="shared" ref="D61:O61" si="37">D60*D5</f>
        <v>0</v>
      </c>
      <c r="E61" s="195">
        <f t="shared" si="37"/>
        <v>0</v>
      </c>
      <c r="F61" s="195">
        <f t="shared" si="37"/>
        <v>0</v>
      </c>
      <c r="G61" s="195">
        <f t="shared" si="37"/>
        <v>0</v>
      </c>
      <c r="H61" s="195">
        <f t="shared" si="37"/>
        <v>0</v>
      </c>
      <c r="I61" s="195">
        <f t="shared" si="37"/>
        <v>0</v>
      </c>
      <c r="J61" s="195">
        <f t="shared" si="37"/>
        <v>0</v>
      </c>
      <c r="K61" s="195">
        <f t="shared" si="37"/>
        <v>0</v>
      </c>
      <c r="L61" s="195">
        <f t="shared" si="37"/>
        <v>0</v>
      </c>
      <c r="M61" s="195">
        <f t="shared" si="37"/>
        <v>0</v>
      </c>
      <c r="N61" s="195">
        <f t="shared" si="37"/>
        <v>0</v>
      </c>
      <c r="O61" s="195">
        <f t="shared" si="37"/>
        <v>0</v>
      </c>
      <c r="P61" s="198">
        <f t="shared" si="35"/>
        <v>0</v>
      </c>
      <c r="Q61" s="307"/>
      <c r="R61" s="53"/>
      <c r="S61" s="56"/>
      <c r="T61" s="56"/>
      <c r="U61" s="56"/>
      <c r="V61" s="56"/>
      <c r="W61" s="56"/>
      <c r="X61" s="56"/>
      <c r="Y61" s="56"/>
      <c r="Z61" s="56"/>
    </row>
    <row r="62" spans="2:26" x14ac:dyDescent="0.2">
      <c r="B62" s="59" t="s">
        <v>147</v>
      </c>
      <c r="C62" s="303" t="s">
        <v>238</v>
      </c>
      <c r="D62" s="195">
        <f>'compras-ventas-gastos'!B75</f>
        <v>4400</v>
      </c>
      <c r="E62" s="195">
        <f>'compras-ventas-gastos'!C75</f>
        <v>6165</v>
      </c>
      <c r="F62" s="195">
        <f>'compras-ventas-gastos'!D75</f>
        <v>11500</v>
      </c>
      <c r="G62" s="195">
        <f>'compras-ventas-gastos'!E75</f>
        <v>4400</v>
      </c>
      <c r="H62" s="195">
        <f>'compras-ventas-gastos'!F75</f>
        <v>4200</v>
      </c>
      <c r="I62" s="195">
        <f>'compras-ventas-gastos'!G75</f>
        <v>4200</v>
      </c>
      <c r="J62" s="195">
        <f>'compras-ventas-gastos'!H75</f>
        <v>4500</v>
      </c>
      <c r="K62" s="195">
        <f>'compras-ventas-gastos'!I75</f>
        <v>4900</v>
      </c>
      <c r="L62" s="195">
        <f>'compras-ventas-gastos'!J75</f>
        <v>4800</v>
      </c>
      <c r="M62" s="195">
        <f>'compras-ventas-gastos'!K75</f>
        <v>4800</v>
      </c>
      <c r="N62" s="195">
        <f>'compras-ventas-gastos'!L75</f>
        <v>5300</v>
      </c>
      <c r="O62" s="195">
        <f>'compras-ventas-gastos'!M75</f>
        <v>11600</v>
      </c>
      <c r="P62" s="198">
        <f t="shared" ref="P62:P65" si="38">SUM(D62:O62)</f>
        <v>70765</v>
      </c>
      <c r="Q62" s="306">
        <f>P63-P62</f>
        <v>13905.363530404269</v>
      </c>
      <c r="R62" s="53"/>
      <c r="S62" s="56"/>
      <c r="T62" s="56"/>
      <c r="U62" s="56"/>
      <c r="V62" s="56"/>
      <c r="W62" s="56"/>
      <c r="X62" s="56"/>
      <c r="Y62" s="56"/>
      <c r="Z62" s="56"/>
    </row>
    <row r="63" spans="2:26" x14ac:dyDescent="0.2">
      <c r="B63" s="60" t="s">
        <v>148</v>
      </c>
      <c r="C63" s="302"/>
      <c r="D63" s="195">
        <f>D62*D5</f>
        <v>6382.9830157424358</v>
      </c>
      <c r="E63" s="195">
        <f t="shared" ref="E63:O63" si="39">E62*E5</f>
        <v>8634.7684434286093</v>
      </c>
      <c r="F63" s="195">
        <f t="shared" si="39"/>
        <v>15367.718198518487</v>
      </c>
      <c r="G63" s="195">
        <f t="shared" si="39"/>
        <v>5649.3140200722892</v>
      </c>
      <c r="H63" s="195">
        <f t="shared" si="39"/>
        <v>5219.0975518694322</v>
      </c>
      <c r="I63" s="195">
        <f t="shared" si="39"/>
        <v>5058.5126412077298</v>
      </c>
      <c r="J63" s="195">
        <f t="shared" si="39"/>
        <v>5262.1272651384143</v>
      </c>
      <c r="K63" s="195">
        <f t="shared" si="39"/>
        <v>5591.8381321731322</v>
      </c>
      <c r="L63" s="195">
        <f t="shared" si="39"/>
        <v>5290.0906873986742</v>
      </c>
      <c r="M63" s="195">
        <f t="shared" si="39"/>
        <v>5110.3951486454816</v>
      </c>
      <c r="N63" s="195">
        <f t="shared" si="39"/>
        <v>5503.5184262095872</v>
      </c>
      <c r="O63" s="195">
        <f t="shared" si="39"/>
        <v>11600</v>
      </c>
      <c r="P63" s="198">
        <f t="shared" si="38"/>
        <v>84670.363530404269</v>
      </c>
      <c r="Q63" s="307"/>
      <c r="R63" s="53"/>
      <c r="S63" s="56"/>
      <c r="T63" s="56"/>
      <c r="U63" s="56"/>
      <c r="V63" s="56"/>
      <c r="W63" s="56"/>
      <c r="X63" s="56"/>
      <c r="Y63" s="56"/>
      <c r="Z63" s="56"/>
    </row>
    <row r="64" spans="2:26" x14ac:dyDescent="0.2">
      <c r="B64" s="59" t="s">
        <v>147</v>
      </c>
      <c r="C64" s="303" t="s">
        <v>240</v>
      </c>
      <c r="D64" s="195">
        <v>1755523.49</v>
      </c>
      <c r="E64" s="195">
        <v>0</v>
      </c>
      <c r="F64" s="195">
        <v>0</v>
      </c>
      <c r="G64" s="195">
        <v>0</v>
      </c>
      <c r="H64" s="195">
        <v>0</v>
      </c>
      <c r="I64" s="195">
        <v>0</v>
      </c>
      <c r="J64" s="195">
        <v>0</v>
      </c>
      <c r="K64" s="195">
        <v>0</v>
      </c>
      <c r="L64" s="195">
        <v>0</v>
      </c>
      <c r="M64" s="195">
        <v>0</v>
      </c>
      <c r="N64" s="195">
        <v>0</v>
      </c>
      <c r="O64" s="195">
        <v>0</v>
      </c>
      <c r="P64" s="198">
        <f t="shared" si="38"/>
        <v>1755523.49</v>
      </c>
      <c r="Q64" s="306">
        <f>P65-P64</f>
        <v>894292.34304527077</v>
      </c>
      <c r="R64" s="53"/>
      <c r="S64" s="56"/>
      <c r="T64" s="56"/>
      <c r="U64" s="56"/>
      <c r="V64" s="56"/>
      <c r="W64" s="56"/>
      <c r="X64" s="56"/>
      <c r="Y64" s="56"/>
      <c r="Z64" s="56"/>
    </row>
    <row r="65" spans="1:26" x14ac:dyDescent="0.2">
      <c r="B65" s="60" t="s">
        <v>148</v>
      </c>
      <c r="C65" s="302"/>
      <c r="D65" s="195">
        <f>D64*C5</f>
        <v>2649815.8330452708</v>
      </c>
      <c r="E65" s="195">
        <f t="shared" ref="E65:O65" si="40">E64*E5</f>
        <v>0</v>
      </c>
      <c r="F65" s="195">
        <f t="shared" si="40"/>
        <v>0</v>
      </c>
      <c r="G65" s="195">
        <f t="shared" si="40"/>
        <v>0</v>
      </c>
      <c r="H65" s="195">
        <f t="shared" si="40"/>
        <v>0</v>
      </c>
      <c r="I65" s="195">
        <f t="shared" si="40"/>
        <v>0</v>
      </c>
      <c r="J65" s="195">
        <f t="shared" si="40"/>
        <v>0</v>
      </c>
      <c r="K65" s="195">
        <f t="shared" si="40"/>
        <v>0</v>
      </c>
      <c r="L65" s="195">
        <f t="shared" si="40"/>
        <v>0</v>
      </c>
      <c r="M65" s="195">
        <f t="shared" si="40"/>
        <v>0</v>
      </c>
      <c r="N65" s="195">
        <f t="shared" si="40"/>
        <v>0</v>
      </c>
      <c r="O65" s="195">
        <f t="shared" si="40"/>
        <v>0</v>
      </c>
      <c r="P65" s="198">
        <f t="shared" si="38"/>
        <v>2649815.8330452708</v>
      </c>
      <c r="Q65" s="307"/>
      <c r="R65" s="53"/>
      <c r="S65" s="56"/>
      <c r="T65" s="56"/>
      <c r="U65" s="56"/>
      <c r="V65" s="56"/>
      <c r="W65" s="56"/>
      <c r="X65" s="56"/>
      <c r="Y65" s="56"/>
      <c r="Z65" s="56"/>
    </row>
    <row r="66" spans="1:26" x14ac:dyDescent="0.2">
      <c r="C66" s="67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9"/>
      <c r="Q66" s="65"/>
      <c r="R66" s="53"/>
      <c r="S66" s="56"/>
      <c r="T66" s="56"/>
      <c r="U66" s="56"/>
      <c r="V66" s="56"/>
      <c r="W66" s="56"/>
      <c r="X66" s="56"/>
      <c r="Y66" s="56"/>
      <c r="Z66" s="56"/>
    </row>
    <row r="67" spans="1:26" x14ac:dyDescent="0.2">
      <c r="B67" s="70" t="s">
        <v>182</v>
      </c>
      <c r="C67" s="64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3"/>
      <c r="Q67" s="58"/>
      <c r="R67" s="56"/>
      <c r="S67" s="56"/>
      <c r="T67" s="56"/>
      <c r="U67" s="56"/>
      <c r="V67" s="56"/>
      <c r="W67" s="56"/>
      <c r="X67" s="56"/>
      <c r="Y67" s="56"/>
      <c r="Z67" s="56"/>
    </row>
    <row r="68" spans="1:26" x14ac:dyDescent="0.2">
      <c r="A68" s="56"/>
      <c r="B68" s="66" t="s">
        <v>22</v>
      </c>
      <c r="C68" s="54">
        <v>44166</v>
      </c>
      <c r="D68" s="55" t="s">
        <v>0</v>
      </c>
      <c r="E68" s="55" t="s">
        <v>1</v>
      </c>
      <c r="F68" s="55" t="s">
        <v>2</v>
      </c>
      <c r="G68" s="55" t="s">
        <v>3</v>
      </c>
      <c r="H68" s="55" t="s">
        <v>4</v>
      </c>
      <c r="I68" s="55" t="s">
        <v>5</v>
      </c>
      <c r="J68" s="55" t="s">
        <v>6</v>
      </c>
      <c r="K68" s="55" t="s">
        <v>7</v>
      </c>
      <c r="L68" s="55" t="s">
        <v>8</v>
      </c>
      <c r="M68" s="55" t="s">
        <v>9</v>
      </c>
      <c r="N68" s="55" t="s">
        <v>10</v>
      </c>
      <c r="O68" s="55" t="s">
        <v>11</v>
      </c>
      <c r="P68" s="55" t="s">
        <v>18</v>
      </c>
      <c r="Q68" s="65"/>
      <c r="R68" s="56"/>
      <c r="S68" s="56"/>
      <c r="T68" s="56"/>
      <c r="U68" s="56"/>
      <c r="V68" s="56"/>
      <c r="W68" s="56"/>
      <c r="X68" s="56"/>
      <c r="Y68" s="56"/>
      <c r="Z68" s="56"/>
    </row>
    <row r="69" spans="1:26" x14ac:dyDescent="0.2">
      <c r="A69" s="59" t="s">
        <v>147</v>
      </c>
      <c r="B69" s="296" t="s">
        <v>183</v>
      </c>
      <c r="C69" s="69">
        <v>282692.3093748478</v>
      </c>
      <c r="D69" s="97">
        <v>37176.86</v>
      </c>
      <c r="E69" s="97">
        <v>152307.79999999999</v>
      </c>
      <c r="F69" s="97"/>
      <c r="G69" s="97"/>
      <c r="H69" s="97"/>
      <c r="I69" s="97"/>
      <c r="J69" s="97">
        <v>102746.73999999999</v>
      </c>
      <c r="K69" s="97"/>
      <c r="L69" s="97"/>
      <c r="M69" s="97">
        <v>298175.05</v>
      </c>
      <c r="N69" s="97"/>
      <c r="O69" s="97"/>
      <c r="P69" s="97">
        <f>SUM(C69:O69)</f>
        <v>873098.75937484787</v>
      </c>
      <c r="Q69" s="297">
        <f>P70-P69</f>
        <v>258462.13091799873</v>
      </c>
      <c r="R69" s="56"/>
      <c r="S69" s="56"/>
      <c r="T69" s="56"/>
      <c r="U69" s="56"/>
      <c r="V69" s="56"/>
      <c r="W69" s="56"/>
      <c r="X69" s="56"/>
      <c r="Y69" s="56"/>
      <c r="Z69" s="56"/>
    </row>
    <row r="70" spans="1:26" x14ac:dyDescent="0.2">
      <c r="A70" s="60" t="s">
        <v>148</v>
      </c>
      <c r="B70" s="296"/>
      <c r="C70" s="97">
        <f>C69*C5</f>
        <v>426700.38967214484</v>
      </c>
      <c r="D70" s="97">
        <f t="shared" ref="D70:O70" si="41">D69*D5</f>
        <v>53931.65135423508</v>
      </c>
      <c r="E70" s="97">
        <f t="shared" si="41"/>
        <v>213324.0202965184</v>
      </c>
      <c r="F70" s="97">
        <f t="shared" si="41"/>
        <v>0</v>
      </c>
      <c r="G70" s="97">
        <f t="shared" si="41"/>
        <v>0</v>
      </c>
      <c r="H70" s="97">
        <f t="shared" si="41"/>
        <v>0</v>
      </c>
      <c r="I70" s="97">
        <f t="shared" si="41"/>
        <v>0</v>
      </c>
      <c r="J70" s="97">
        <f t="shared" si="41"/>
        <v>120148.09376846394</v>
      </c>
      <c r="K70" s="97">
        <f t="shared" si="41"/>
        <v>0</v>
      </c>
      <c r="L70" s="97">
        <f t="shared" si="41"/>
        <v>0</v>
      </c>
      <c r="M70" s="97">
        <f t="shared" si="41"/>
        <v>317456.73520148417</v>
      </c>
      <c r="N70" s="97">
        <f t="shared" si="41"/>
        <v>0</v>
      </c>
      <c r="O70" s="97">
        <f t="shared" si="41"/>
        <v>0</v>
      </c>
      <c r="P70" s="97">
        <f t="shared" ref="P70:P88" si="42">SUM(C70:O70)</f>
        <v>1131560.8902928466</v>
      </c>
      <c r="Q70" s="297"/>
      <c r="R70" s="56"/>
      <c r="S70" s="56"/>
      <c r="T70" s="56"/>
      <c r="U70" s="56"/>
      <c r="V70" s="56"/>
      <c r="W70" s="56"/>
      <c r="X70" s="56"/>
      <c r="Y70" s="56"/>
      <c r="Z70" s="56"/>
    </row>
    <row r="71" spans="1:26" x14ac:dyDescent="0.2">
      <c r="A71" s="59" t="s">
        <v>147</v>
      </c>
      <c r="B71" s="296" t="s">
        <v>35</v>
      </c>
      <c r="C71" s="69">
        <v>3616642.5696591451</v>
      </c>
      <c r="D71" s="97"/>
      <c r="E71" s="97"/>
      <c r="F71" s="97"/>
      <c r="G71" s="97"/>
      <c r="H71" s="97">
        <v>58305.79</v>
      </c>
      <c r="I71" s="97"/>
      <c r="J71" s="97"/>
      <c r="K71" s="97"/>
      <c r="L71" s="97"/>
      <c r="M71" s="97">
        <v>7000000</v>
      </c>
      <c r="N71" s="97"/>
      <c r="O71" s="97"/>
      <c r="P71" s="97">
        <f t="shared" si="42"/>
        <v>10674948.359659145</v>
      </c>
      <c r="Q71" s="297">
        <f t="shared" ref="Q71" si="43">P72-P71</f>
        <v>2309183.8456752393</v>
      </c>
      <c r="R71" s="56"/>
      <c r="S71" s="56"/>
      <c r="T71" s="56"/>
      <c r="U71" s="56"/>
      <c r="V71" s="56"/>
      <c r="W71" s="56"/>
      <c r="X71" s="56"/>
      <c r="Y71" s="56"/>
      <c r="Z71" s="56"/>
    </row>
    <row r="72" spans="1:26" x14ac:dyDescent="0.2">
      <c r="A72" s="60" t="s">
        <v>148</v>
      </c>
      <c r="B72" s="296"/>
      <c r="C72" s="97">
        <f>C71*C5</f>
        <v>5459019.374071911</v>
      </c>
      <c r="D72" s="97">
        <f t="shared" ref="D72:O72" si="44">D71*D5</f>
        <v>0</v>
      </c>
      <c r="E72" s="97">
        <f t="shared" si="44"/>
        <v>0</v>
      </c>
      <c r="F72" s="97">
        <f t="shared" si="44"/>
        <v>0</v>
      </c>
      <c r="G72" s="97">
        <f t="shared" si="44"/>
        <v>0</v>
      </c>
      <c r="H72" s="97">
        <f t="shared" si="44"/>
        <v>72453.23948781268</v>
      </c>
      <c r="I72" s="97">
        <f t="shared" si="44"/>
        <v>0</v>
      </c>
      <c r="J72" s="97">
        <f t="shared" si="44"/>
        <v>0</v>
      </c>
      <c r="K72" s="97">
        <f t="shared" si="44"/>
        <v>0</v>
      </c>
      <c r="L72" s="97">
        <f t="shared" si="44"/>
        <v>0</v>
      </c>
      <c r="M72" s="97">
        <f t="shared" si="44"/>
        <v>7452659.5917746611</v>
      </c>
      <c r="N72" s="97">
        <f t="shared" si="44"/>
        <v>0</v>
      </c>
      <c r="O72" s="97">
        <f t="shared" si="44"/>
        <v>0</v>
      </c>
      <c r="P72" s="97">
        <f t="shared" si="42"/>
        <v>12984132.205334384</v>
      </c>
      <c r="Q72" s="297"/>
      <c r="R72" s="56"/>
      <c r="S72" s="56"/>
      <c r="T72" s="56"/>
      <c r="U72" s="56"/>
      <c r="V72" s="56"/>
      <c r="W72" s="56"/>
      <c r="X72" s="56"/>
      <c r="Y72" s="56"/>
      <c r="Z72" s="56"/>
    </row>
    <row r="73" spans="1:26" x14ac:dyDescent="0.2">
      <c r="A73" s="59" t="s">
        <v>147</v>
      </c>
      <c r="B73" s="296" t="s">
        <v>184</v>
      </c>
      <c r="C73" s="69">
        <v>244493.58831660691</v>
      </c>
      <c r="D73" s="97"/>
      <c r="E73" s="97">
        <v>47302.5</v>
      </c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>
        <f t="shared" si="42"/>
        <v>291796.08831660694</v>
      </c>
      <c r="Q73" s="297">
        <f t="shared" ref="Q73" si="45">P74-P73</f>
        <v>143498.94211954169</v>
      </c>
      <c r="R73" s="56"/>
      <c r="S73" s="56"/>
      <c r="T73" s="56"/>
      <c r="U73" s="56"/>
      <c r="V73" s="56"/>
      <c r="W73" s="56"/>
      <c r="X73" s="56"/>
      <c r="Y73" s="56"/>
      <c r="Z73" s="56"/>
    </row>
    <row r="74" spans="1:26" x14ac:dyDescent="0.2">
      <c r="A74" s="60" t="s">
        <v>148</v>
      </c>
      <c r="B74" s="296"/>
      <c r="C74" s="97">
        <f>C73*C5</f>
        <v>369042.61611412402</v>
      </c>
      <c r="D74" s="97">
        <f t="shared" ref="D74:O74" si="46">D73*D5</f>
        <v>0</v>
      </c>
      <c r="E74" s="97">
        <f t="shared" si="46"/>
        <v>66252.414322024619</v>
      </c>
      <c r="F74" s="97">
        <f t="shared" si="46"/>
        <v>0</v>
      </c>
      <c r="G74" s="97">
        <f t="shared" si="46"/>
        <v>0</v>
      </c>
      <c r="H74" s="97">
        <f t="shared" si="46"/>
        <v>0</v>
      </c>
      <c r="I74" s="97">
        <f t="shared" si="46"/>
        <v>0</v>
      </c>
      <c r="J74" s="97">
        <f t="shared" si="46"/>
        <v>0</v>
      </c>
      <c r="K74" s="97">
        <f t="shared" si="46"/>
        <v>0</v>
      </c>
      <c r="L74" s="97">
        <f t="shared" si="46"/>
        <v>0</v>
      </c>
      <c r="M74" s="97">
        <f t="shared" si="46"/>
        <v>0</v>
      </c>
      <c r="N74" s="97">
        <f t="shared" si="46"/>
        <v>0</v>
      </c>
      <c r="O74" s="97">
        <f t="shared" si="46"/>
        <v>0</v>
      </c>
      <c r="P74" s="97">
        <f t="shared" si="42"/>
        <v>435295.03043614863</v>
      </c>
      <c r="Q74" s="297"/>
      <c r="R74" s="56"/>
      <c r="S74" s="56"/>
      <c r="T74" s="56"/>
      <c r="U74" s="56"/>
      <c r="V74" s="56"/>
      <c r="W74" s="56"/>
      <c r="X74" s="56"/>
      <c r="Y74" s="56"/>
      <c r="Z74" s="56"/>
    </row>
    <row r="75" spans="1:26" x14ac:dyDescent="0.2">
      <c r="A75" s="59" t="s">
        <v>147</v>
      </c>
      <c r="B75" s="296" t="s">
        <v>32</v>
      </c>
      <c r="C75" s="69">
        <v>15275025.086949939</v>
      </c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>
        <v>483195.95</v>
      </c>
      <c r="P75" s="97">
        <f t="shared" si="42"/>
        <v>15758221.036949938</v>
      </c>
      <c r="Q75" s="297">
        <f t="shared" ref="Q75" si="47">P76-P75</f>
        <v>7781347.3034665864</v>
      </c>
      <c r="R75" s="56"/>
      <c r="S75" s="56"/>
      <c r="T75" s="56"/>
      <c r="U75" s="56"/>
      <c r="V75" s="56"/>
      <c r="W75" s="56"/>
      <c r="X75" s="56"/>
      <c r="Y75" s="56"/>
      <c r="Z75" s="56"/>
    </row>
    <row r="76" spans="1:26" x14ac:dyDescent="0.2">
      <c r="A76" s="60" t="s">
        <v>148</v>
      </c>
      <c r="B76" s="296"/>
      <c r="C76" s="97">
        <f>C75*C5</f>
        <v>23056372.390416525</v>
      </c>
      <c r="D76" s="97">
        <f t="shared" ref="D76:O76" si="48">D75*D5</f>
        <v>0</v>
      </c>
      <c r="E76" s="97">
        <f t="shared" si="48"/>
        <v>0</v>
      </c>
      <c r="F76" s="97">
        <f t="shared" si="48"/>
        <v>0</v>
      </c>
      <c r="G76" s="97">
        <f t="shared" si="48"/>
        <v>0</v>
      </c>
      <c r="H76" s="97">
        <f t="shared" si="48"/>
        <v>0</v>
      </c>
      <c r="I76" s="97">
        <f t="shared" si="48"/>
        <v>0</v>
      </c>
      <c r="J76" s="97">
        <f t="shared" si="48"/>
        <v>0</v>
      </c>
      <c r="K76" s="97">
        <f t="shared" si="48"/>
        <v>0</v>
      </c>
      <c r="L76" s="97">
        <f t="shared" si="48"/>
        <v>0</v>
      </c>
      <c r="M76" s="97">
        <f t="shared" si="48"/>
        <v>0</v>
      </c>
      <c r="N76" s="97">
        <f t="shared" si="48"/>
        <v>0</v>
      </c>
      <c r="O76" s="97">
        <f t="shared" si="48"/>
        <v>483195.95</v>
      </c>
      <c r="P76" s="97">
        <f t="shared" si="42"/>
        <v>23539568.340416525</v>
      </c>
      <c r="Q76" s="297"/>
      <c r="R76" s="56"/>
      <c r="S76" s="56"/>
      <c r="T76" s="56"/>
      <c r="U76" s="56"/>
      <c r="V76" s="56"/>
      <c r="W76" s="56"/>
      <c r="X76" s="56"/>
      <c r="Y76" s="56"/>
      <c r="Z76" s="56"/>
    </row>
    <row r="77" spans="1:26" x14ac:dyDescent="0.2">
      <c r="A77" s="59" t="s">
        <v>147</v>
      </c>
      <c r="B77" s="296" t="s">
        <v>36</v>
      </c>
      <c r="C77" s="69">
        <v>596801.29195632413</v>
      </c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>
        <f t="shared" si="42"/>
        <v>596801.29195632413</v>
      </c>
      <c r="Q77" s="297">
        <f t="shared" ref="Q77:Q87" si="49">P78-P77</f>
        <v>304020.32713106321</v>
      </c>
      <c r="R77" s="56"/>
      <c r="S77" s="56"/>
      <c r="T77" s="56"/>
      <c r="U77" s="56"/>
      <c r="V77" s="56"/>
      <c r="W77" s="56"/>
      <c r="X77" s="56"/>
      <c r="Y77" s="56"/>
      <c r="Z77" s="56"/>
    </row>
    <row r="78" spans="1:26" x14ac:dyDescent="0.2">
      <c r="A78" s="60" t="s">
        <v>148</v>
      </c>
      <c r="B78" s="296"/>
      <c r="C78" s="97">
        <f>C77*C5</f>
        <v>900821.61908738734</v>
      </c>
      <c r="D78" s="97">
        <f t="shared" ref="D78:O78" si="50">D77*D5</f>
        <v>0</v>
      </c>
      <c r="E78" s="97">
        <f t="shared" si="50"/>
        <v>0</v>
      </c>
      <c r="F78" s="97">
        <f t="shared" si="50"/>
        <v>0</v>
      </c>
      <c r="G78" s="97">
        <f t="shared" si="50"/>
        <v>0</v>
      </c>
      <c r="H78" s="97">
        <f t="shared" si="50"/>
        <v>0</v>
      </c>
      <c r="I78" s="97">
        <f t="shared" si="50"/>
        <v>0</v>
      </c>
      <c r="J78" s="97">
        <f t="shared" si="50"/>
        <v>0</v>
      </c>
      <c r="K78" s="97">
        <f t="shared" si="50"/>
        <v>0</v>
      </c>
      <c r="L78" s="97">
        <f t="shared" si="50"/>
        <v>0</v>
      </c>
      <c r="M78" s="97">
        <f t="shared" si="50"/>
        <v>0</v>
      </c>
      <c r="N78" s="97">
        <f t="shared" si="50"/>
        <v>0</v>
      </c>
      <c r="O78" s="97">
        <f t="shared" si="50"/>
        <v>0</v>
      </c>
      <c r="P78" s="97">
        <f t="shared" si="42"/>
        <v>900821.61908738734</v>
      </c>
      <c r="Q78" s="297"/>
      <c r="R78" s="56"/>
      <c r="S78" s="56"/>
      <c r="T78" s="56"/>
      <c r="U78" s="56"/>
      <c r="V78" s="56"/>
      <c r="W78" s="56"/>
      <c r="X78" s="56"/>
      <c r="Y78" s="56"/>
      <c r="Z78" s="56"/>
    </row>
    <row r="79" spans="1:26" x14ac:dyDescent="0.2">
      <c r="A79" s="59" t="s">
        <v>147</v>
      </c>
      <c r="B79" s="298" t="s">
        <v>185</v>
      </c>
      <c r="C79" s="69">
        <v>19937.271750884302</v>
      </c>
      <c r="D79" s="193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  <c r="P79" s="97">
        <f t="shared" si="42"/>
        <v>19937.271750884302</v>
      </c>
      <c r="Q79" s="297">
        <f t="shared" si="49"/>
        <v>10156.371913900512</v>
      </c>
      <c r="R79" s="56"/>
      <c r="S79" s="56"/>
      <c r="T79" s="56"/>
      <c r="U79" s="56"/>
      <c r="V79" s="56"/>
      <c r="W79" s="56"/>
      <c r="X79" s="56"/>
      <c r="Y79" s="56"/>
      <c r="Z79" s="56"/>
    </row>
    <row r="80" spans="1:26" x14ac:dyDescent="0.2">
      <c r="A80" s="60" t="s">
        <v>148</v>
      </c>
      <c r="B80" s="298"/>
      <c r="C80" s="97">
        <f>C79*C5</f>
        <v>30093.643664784813</v>
      </c>
      <c r="D80" s="97">
        <f t="shared" ref="D80:O80" si="51">D79*D5</f>
        <v>0</v>
      </c>
      <c r="E80" s="97">
        <f t="shared" si="51"/>
        <v>0</v>
      </c>
      <c r="F80" s="97">
        <f t="shared" si="51"/>
        <v>0</v>
      </c>
      <c r="G80" s="97">
        <f t="shared" si="51"/>
        <v>0</v>
      </c>
      <c r="H80" s="97">
        <f t="shared" si="51"/>
        <v>0</v>
      </c>
      <c r="I80" s="97">
        <f t="shared" si="51"/>
        <v>0</v>
      </c>
      <c r="J80" s="97">
        <f t="shared" si="51"/>
        <v>0</v>
      </c>
      <c r="K80" s="97">
        <f t="shared" si="51"/>
        <v>0</v>
      </c>
      <c r="L80" s="97">
        <f t="shared" si="51"/>
        <v>0</v>
      </c>
      <c r="M80" s="97">
        <f t="shared" si="51"/>
        <v>0</v>
      </c>
      <c r="N80" s="97">
        <f t="shared" si="51"/>
        <v>0</v>
      </c>
      <c r="O80" s="97">
        <f t="shared" si="51"/>
        <v>0</v>
      </c>
      <c r="P80" s="97">
        <f t="shared" si="42"/>
        <v>30093.643664784813</v>
      </c>
      <c r="Q80" s="297"/>
      <c r="R80" s="56"/>
      <c r="S80" s="56"/>
      <c r="T80" s="56"/>
      <c r="U80" s="56"/>
      <c r="V80" s="56"/>
      <c r="W80" s="56"/>
      <c r="X80" s="56"/>
      <c r="Y80" s="56"/>
      <c r="Z80" s="56"/>
    </row>
    <row r="81" spans="1:26" x14ac:dyDescent="0.2">
      <c r="A81" s="59" t="s">
        <v>147</v>
      </c>
      <c r="B81" s="298" t="s">
        <v>186</v>
      </c>
      <c r="C81" s="69">
        <v>101475.28692045207</v>
      </c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  <c r="P81" s="97">
        <f t="shared" si="42"/>
        <v>101475.28692045207</v>
      </c>
      <c r="Q81" s="297">
        <f t="shared" si="49"/>
        <v>51693.168800197702</v>
      </c>
      <c r="R81" s="56"/>
      <c r="S81" s="56"/>
      <c r="T81" s="56"/>
      <c r="U81" s="56"/>
      <c r="V81" s="56"/>
      <c r="W81" s="56"/>
      <c r="X81" s="56"/>
      <c r="Y81" s="56"/>
      <c r="Z81" s="56"/>
    </row>
    <row r="82" spans="1:26" x14ac:dyDescent="0.2">
      <c r="A82" s="60" t="s">
        <v>148</v>
      </c>
      <c r="B82" s="298"/>
      <c r="C82" s="97">
        <f>C81*C5</f>
        <v>153168.45572064977</v>
      </c>
      <c r="D82" s="97">
        <f t="shared" ref="D82:O82" si="52">D81*D5</f>
        <v>0</v>
      </c>
      <c r="E82" s="97">
        <f t="shared" si="52"/>
        <v>0</v>
      </c>
      <c r="F82" s="97">
        <f t="shared" si="52"/>
        <v>0</v>
      </c>
      <c r="G82" s="97">
        <f t="shared" si="52"/>
        <v>0</v>
      </c>
      <c r="H82" s="97">
        <f t="shared" si="52"/>
        <v>0</v>
      </c>
      <c r="I82" s="97">
        <f t="shared" si="52"/>
        <v>0</v>
      </c>
      <c r="J82" s="97">
        <f t="shared" si="52"/>
        <v>0</v>
      </c>
      <c r="K82" s="97">
        <f t="shared" si="52"/>
        <v>0</v>
      </c>
      <c r="L82" s="97">
        <f t="shared" si="52"/>
        <v>0</v>
      </c>
      <c r="M82" s="97">
        <f t="shared" si="52"/>
        <v>0</v>
      </c>
      <c r="N82" s="97">
        <f t="shared" si="52"/>
        <v>0</v>
      </c>
      <c r="O82" s="97">
        <f t="shared" si="52"/>
        <v>0</v>
      </c>
      <c r="P82" s="97">
        <f t="shared" si="42"/>
        <v>153168.45572064977</v>
      </c>
      <c r="Q82" s="297"/>
    </row>
    <row r="83" spans="1:26" x14ac:dyDescent="0.2">
      <c r="A83" s="59" t="s">
        <v>147</v>
      </c>
      <c r="B83" s="298" t="s">
        <v>187</v>
      </c>
      <c r="C83" s="69">
        <v>64645.20092769582</v>
      </c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3"/>
      <c r="P83" s="97">
        <f t="shared" si="42"/>
        <v>64645.20092769582</v>
      </c>
      <c r="Q83" s="297">
        <f t="shared" si="49"/>
        <v>32931.321360024296</v>
      </c>
    </row>
    <row r="84" spans="1:26" x14ac:dyDescent="0.2">
      <c r="A84" s="60" t="s">
        <v>148</v>
      </c>
      <c r="B84" s="298"/>
      <c r="C84" s="97">
        <f>C83*C5</f>
        <v>97576.522287720116</v>
      </c>
      <c r="D84" s="97">
        <f t="shared" ref="D84:O84" si="53">D83*D5</f>
        <v>0</v>
      </c>
      <c r="E84" s="97">
        <f t="shared" si="53"/>
        <v>0</v>
      </c>
      <c r="F84" s="97">
        <f t="shared" si="53"/>
        <v>0</v>
      </c>
      <c r="G84" s="97">
        <f t="shared" si="53"/>
        <v>0</v>
      </c>
      <c r="H84" s="97">
        <f t="shared" si="53"/>
        <v>0</v>
      </c>
      <c r="I84" s="97">
        <f t="shared" si="53"/>
        <v>0</v>
      </c>
      <c r="J84" s="97">
        <f t="shared" si="53"/>
        <v>0</v>
      </c>
      <c r="K84" s="97">
        <f t="shared" si="53"/>
        <v>0</v>
      </c>
      <c r="L84" s="97">
        <f t="shared" si="53"/>
        <v>0</v>
      </c>
      <c r="M84" s="97">
        <f t="shared" si="53"/>
        <v>0</v>
      </c>
      <c r="N84" s="97">
        <f t="shared" si="53"/>
        <v>0</v>
      </c>
      <c r="O84" s="97">
        <f t="shared" si="53"/>
        <v>0</v>
      </c>
      <c r="P84" s="97">
        <f t="shared" si="42"/>
        <v>97576.522287720116</v>
      </c>
      <c r="Q84" s="297"/>
    </row>
    <row r="85" spans="1:26" x14ac:dyDescent="0.2">
      <c r="A85" s="59" t="s">
        <v>147</v>
      </c>
      <c r="B85" s="298" t="s">
        <v>188</v>
      </c>
      <c r="C85" s="69">
        <v>3069968.3900423357</v>
      </c>
      <c r="D85" s="193"/>
      <c r="E85" s="193"/>
      <c r="F85" s="193"/>
      <c r="G85" s="193"/>
      <c r="H85" s="193"/>
      <c r="I85" s="193"/>
      <c r="J85" s="193"/>
      <c r="K85" s="193"/>
      <c r="L85" s="193"/>
      <c r="M85" s="193"/>
      <c r="N85" s="193"/>
      <c r="O85" s="193"/>
      <c r="P85" s="97">
        <f t="shared" si="42"/>
        <v>3069968.3900423357</v>
      </c>
      <c r="Q85" s="297">
        <f t="shared" si="49"/>
        <v>1563892.0471556196</v>
      </c>
    </row>
    <row r="86" spans="1:26" x14ac:dyDescent="0.2">
      <c r="A86" s="60" t="s">
        <v>148</v>
      </c>
      <c r="B86" s="298"/>
      <c r="C86" s="97">
        <f>C85*C5</f>
        <v>4633860.4371979553</v>
      </c>
      <c r="D86" s="97">
        <f t="shared" ref="D86:O86" si="54">D85*D5</f>
        <v>0</v>
      </c>
      <c r="E86" s="97">
        <f t="shared" si="54"/>
        <v>0</v>
      </c>
      <c r="F86" s="97">
        <f t="shared" si="54"/>
        <v>0</v>
      </c>
      <c r="G86" s="97">
        <f t="shared" si="54"/>
        <v>0</v>
      </c>
      <c r="H86" s="97">
        <f t="shared" si="54"/>
        <v>0</v>
      </c>
      <c r="I86" s="97">
        <f t="shared" si="54"/>
        <v>0</v>
      </c>
      <c r="J86" s="97">
        <f t="shared" si="54"/>
        <v>0</v>
      </c>
      <c r="K86" s="97">
        <f t="shared" si="54"/>
        <v>0</v>
      </c>
      <c r="L86" s="97">
        <f t="shared" si="54"/>
        <v>0</v>
      </c>
      <c r="M86" s="97">
        <f t="shared" si="54"/>
        <v>0</v>
      </c>
      <c r="N86" s="97">
        <f t="shared" si="54"/>
        <v>0</v>
      </c>
      <c r="O86" s="97">
        <f t="shared" si="54"/>
        <v>0</v>
      </c>
      <c r="P86" s="97">
        <f t="shared" si="42"/>
        <v>4633860.4371979553</v>
      </c>
      <c r="Q86" s="297"/>
    </row>
    <row r="87" spans="1:26" x14ac:dyDescent="0.2">
      <c r="A87" s="59" t="s">
        <v>147</v>
      </c>
      <c r="B87" s="298" t="s">
        <v>189</v>
      </c>
      <c r="C87" s="69">
        <v>53233.420365207683</v>
      </c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97">
        <f t="shared" si="42"/>
        <v>53233.420365207683</v>
      </c>
      <c r="Q87" s="297">
        <f t="shared" si="49"/>
        <v>27117.973925097074</v>
      </c>
    </row>
    <row r="88" spans="1:26" x14ac:dyDescent="0.2">
      <c r="A88" s="60" t="s">
        <v>148</v>
      </c>
      <c r="B88" s="298"/>
      <c r="C88" s="97">
        <f>C87*C5</f>
        <v>80351.394290304757</v>
      </c>
      <c r="D88" s="97">
        <f t="shared" ref="D88:O88" si="55">D87*D5</f>
        <v>0</v>
      </c>
      <c r="E88" s="97">
        <f t="shared" si="55"/>
        <v>0</v>
      </c>
      <c r="F88" s="97">
        <f t="shared" si="55"/>
        <v>0</v>
      </c>
      <c r="G88" s="97">
        <f t="shared" si="55"/>
        <v>0</v>
      </c>
      <c r="H88" s="97">
        <f t="shared" si="55"/>
        <v>0</v>
      </c>
      <c r="I88" s="97">
        <f t="shared" si="55"/>
        <v>0</v>
      </c>
      <c r="J88" s="97">
        <f t="shared" si="55"/>
        <v>0</v>
      </c>
      <c r="K88" s="97">
        <f t="shared" si="55"/>
        <v>0</v>
      </c>
      <c r="L88" s="97">
        <f t="shared" si="55"/>
        <v>0</v>
      </c>
      <c r="M88" s="97">
        <f t="shared" si="55"/>
        <v>0</v>
      </c>
      <c r="N88" s="97">
        <f t="shared" si="55"/>
        <v>0</v>
      </c>
      <c r="O88" s="97">
        <f t="shared" si="55"/>
        <v>0</v>
      </c>
      <c r="P88" s="97">
        <f t="shared" si="42"/>
        <v>80351.394290304757</v>
      </c>
      <c r="Q88" s="297"/>
    </row>
    <row r="90" spans="1:26" x14ac:dyDescent="0.2">
      <c r="B90" s="70" t="s">
        <v>190</v>
      </c>
    </row>
    <row r="91" spans="1:26" x14ac:dyDescent="0.2">
      <c r="A91" s="56"/>
      <c r="B91" s="66" t="s">
        <v>22</v>
      </c>
      <c r="C91" s="54">
        <v>44166</v>
      </c>
      <c r="D91" s="55" t="s">
        <v>0</v>
      </c>
      <c r="E91" s="55" t="s">
        <v>1</v>
      </c>
      <c r="F91" s="55" t="s">
        <v>2</v>
      </c>
      <c r="G91" s="55" t="s">
        <v>3</v>
      </c>
      <c r="H91" s="55" t="s">
        <v>4</v>
      </c>
      <c r="I91" s="55" t="s">
        <v>5</v>
      </c>
      <c r="J91" s="55" t="s">
        <v>6</v>
      </c>
      <c r="K91" s="55" t="s">
        <v>7</v>
      </c>
      <c r="L91" s="55" t="s">
        <v>8</v>
      </c>
      <c r="M91" s="55" t="s">
        <v>9</v>
      </c>
      <c r="N91" s="55" t="s">
        <v>10</v>
      </c>
      <c r="O91" s="55" t="s">
        <v>11</v>
      </c>
      <c r="P91" s="55" t="s">
        <v>18</v>
      </c>
      <c r="Q91" s="65"/>
    </row>
    <row r="92" spans="1:26" x14ac:dyDescent="0.2">
      <c r="A92" s="59" t="s">
        <v>147</v>
      </c>
      <c r="B92" s="296" t="s">
        <v>61</v>
      </c>
      <c r="C92" s="199">
        <v>197129.35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8">
        <f>SUM(C92:O92)</f>
        <v>197129.35</v>
      </c>
      <c r="Q92" s="297">
        <f t="shared" ref="Q92:Q94" si="56">P93-P92</f>
        <v>100420.91108361716</v>
      </c>
    </row>
    <row r="93" spans="1:26" x14ac:dyDescent="0.2">
      <c r="A93" s="60" t="s">
        <v>148</v>
      </c>
      <c r="B93" s="296"/>
      <c r="C93" s="199">
        <f>C92*C5</f>
        <v>297550.26108361717</v>
      </c>
      <c r="D93" s="200">
        <f t="shared" ref="D93:O93" si="57">D92*D5</f>
        <v>0</v>
      </c>
      <c r="E93" s="200">
        <f t="shared" si="57"/>
        <v>0</v>
      </c>
      <c r="F93" s="200">
        <f t="shared" si="57"/>
        <v>0</v>
      </c>
      <c r="G93" s="200">
        <f t="shared" si="57"/>
        <v>0</v>
      </c>
      <c r="H93" s="200">
        <f t="shared" si="57"/>
        <v>0</v>
      </c>
      <c r="I93" s="200">
        <f t="shared" si="57"/>
        <v>0</v>
      </c>
      <c r="J93" s="200">
        <f t="shared" si="57"/>
        <v>0</v>
      </c>
      <c r="K93" s="200">
        <f t="shared" si="57"/>
        <v>0</v>
      </c>
      <c r="L93" s="200">
        <f t="shared" si="57"/>
        <v>0</v>
      </c>
      <c r="M93" s="200">
        <f t="shared" si="57"/>
        <v>0</v>
      </c>
      <c r="N93" s="200">
        <f t="shared" si="57"/>
        <v>0</v>
      </c>
      <c r="O93" s="200">
        <f t="shared" si="57"/>
        <v>0</v>
      </c>
      <c r="P93" s="198">
        <f t="shared" ref="P93:P95" si="58">SUM(C93:O93)</f>
        <v>297550.26108361717</v>
      </c>
      <c r="Q93" s="297"/>
    </row>
    <row r="94" spans="1:26" x14ac:dyDescent="0.2">
      <c r="A94" s="59" t="s">
        <v>147</v>
      </c>
      <c r="B94" s="296" t="s">
        <v>79</v>
      </c>
      <c r="C94" s="199">
        <v>7673166.29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8">
        <f t="shared" si="58"/>
        <v>7673166.29</v>
      </c>
      <c r="Q94" s="297">
        <f t="shared" si="56"/>
        <v>3908836.2526325909</v>
      </c>
    </row>
    <row r="95" spans="1:26" x14ac:dyDescent="0.2">
      <c r="A95" s="60" t="s">
        <v>148</v>
      </c>
      <c r="B95" s="296"/>
      <c r="C95" s="199">
        <f>C94*C5</f>
        <v>11582002.542632591</v>
      </c>
      <c r="D95" s="200">
        <f t="shared" ref="D95:O95" si="59">D94*D5</f>
        <v>0</v>
      </c>
      <c r="E95" s="200">
        <f t="shared" si="59"/>
        <v>0</v>
      </c>
      <c r="F95" s="200">
        <f t="shared" si="59"/>
        <v>0</v>
      </c>
      <c r="G95" s="200">
        <f t="shared" si="59"/>
        <v>0</v>
      </c>
      <c r="H95" s="200">
        <f t="shared" si="59"/>
        <v>0</v>
      </c>
      <c r="I95" s="200">
        <f t="shared" si="59"/>
        <v>0</v>
      </c>
      <c r="J95" s="200">
        <f t="shared" si="59"/>
        <v>0</v>
      </c>
      <c r="K95" s="200">
        <f t="shared" si="59"/>
        <v>0</v>
      </c>
      <c r="L95" s="200">
        <f t="shared" si="59"/>
        <v>0</v>
      </c>
      <c r="M95" s="200">
        <f t="shared" si="59"/>
        <v>0</v>
      </c>
      <c r="N95" s="200">
        <f t="shared" si="59"/>
        <v>0</v>
      </c>
      <c r="O95" s="200">
        <f t="shared" si="59"/>
        <v>0</v>
      </c>
      <c r="P95" s="198">
        <f t="shared" si="58"/>
        <v>11582002.542632591</v>
      </c>
      <c r="Q95" s="297"/>
    </row>
    <row r="96" spans="1:26" x14ac:dyDescent="0.2">
      <c r="B96" s="296" t="s">
        <v>243</v>
      </c>
      <c r="C96" s="199">
        <v>39425.870000000003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8">
        <f t="shared" ref="P96:P97" si="60">SUM(C96:O96)</f>
        <v>39425.870000000003</v>
      </c>
      <c r="Q96" s="297">
        <f t="shared" ref="Q96" si="61">P97-P96</f>
        <v>20084.182216723428</v>
      </c>
    </row>
    <row r="97" spans="2:17" x14ac:dyDescent="0.2">
      <c r="B97" s="296"/>
      <c r="C97" s="199">
        <f>C96*C5</f>
        <v>59510.05221672343</v>
      </c>
      <c r="D97" s="200">
        <f t="shared" ref="D97:O97" si="62">D96*D7</f>
        <v>0</v>
      </c>
      <c r="E97" s="200">
        <f t="shared" si="62"/>
        <v>0</v>
      </c>
      <c r="F97" s="200">
        <f t="shared" si="62"/>
        <v>0</v>
      </c>
      <c r="G97" s="200">
        <f t="shared" si="62"/>
        <v>0</v>
      </c>
      <c r="H97" s="200">
        <f t="shared" si="62"/>
        <v>0</v>
      </c>
      <c r="I97" s="200">
        <f t="shared" si="62"/>
        <v>0</v>
      </c>
      <c r="J97" s="200">
        <f t="shared" si="62"/>
        <v>0</v>
      </c>
      <c r="K97" s="200">
        <f t="shared" si="62"/>
        <v>0</v>
      </c>
      <c r="L97" s="200">
        <f t="shared" si="62"/>
        <v>0</v>
      </c>
      <c r="M97" s="200">
        <f t="shared" si="62"/>
        <v>0</v>
      </c>
      <c r="N97" s="200">
        <f t="shared" si="62"/>
        <v>0</v>
      </c>
      <c r="O97" s="200">
        <f t="shared" si="62"/>
        <v>0</v>
      </c>
      <c r="P97" s="198">
        <f t="shared" si="60"/>
        <v>59510.05221672343</v>
      </c>
      <c r="Q97" s="297"/>
    </row>
  </sheetData>
  <mergeCells count="82">
    <mergeCell ref="B96:B97"/>
    <mergeCell ref="Q96:Q97"/>
    <mergeCell ref="C42:C43"/>
    <mergeCell ref="Q42:Q43"/>
    <mergeCell ref="Q26:Q27"/>
    <mergeCell ref="C62:C63"/>
    <mergeCell ref="Q62:Q63"/>
    <mergeCell ref="Q44:Q45"/>
    <mergeCell ref="Q46:Q47"/>
    <mergeCell ref="Q40:Q41"/>
    <mergeCell ref="Q38:Q39"/>
    <mergeCell ref="Q36:Q37"/>
    <mergeCell ref="C64:C65"/>
    <mergeCell ref="Q64:Q65"/>
    <mergeCell ref="Q58:Q59"/>
    <mergeCell ref="Q60:Q61"/>
    <mergeCell ref="Q48:Q49"/>
    <mergeCell ref="C52:C53"/>
    <mergeCell ref="C50:C51"/>
    <mergeCell ref="Q50:Q51"/>
    <mergeCell ref="Q52:Q53"/>
    <mergeCell ref="C54:C55"/>
    <mergeCell ref="Q54:Q55"/>
    <mergeCell ref="C56:C57"/>
    <mergeCell ref="Q56:Q57"/>
    <mergeCell ref="Q9:Q10"/>
    <mergeCell ref="Q14:Q15"/>
    <mergeCell ref="Q16:Q17"/>
    <mergeCell ref="Q34:Q35"/>
    <mergeCell ref="Q32:Q33"/>
    <mergeCell ref="Q20:Q21"/>
    <mergeCell ref="Q18:Q19"/>
    <mergeCell ref="Q30:Q31"/>
    <mergeCell ref="Q28:Q29"/>
    <mergeCell ref="Q24:Q25"/>
    <mergeCell ref="Q22:Q23"/>
    <mergeCell ref="C48:C49"/>
    <mergeCell ref="C7:E7"/>
    <mergeCell ref="C12:E12"/>
    <mergeCell ref="C20:C21"/>
    <mergeCell ref="C18:C19"/>
    <mergeCell ref="C16:C17"/>
    <mergeCell ref="C14:C15"/>
    <mergeCell ref="C9:C10"/>
    <mergeCell ref="B73:B74"/>
    <mergeCell ref="B75:B76"/>
    <mergeCell ref="C30:C31"/>
    <mergeCell ref="C24:C25"/>
    <mergeCell ref="C22:C23"/>
    <mergeCell ref="C28:C29"/>
    <mergeCell ref="C46:C47"/>
    <mergeCell ref="C36:C37"/>
    <mergeCell ref="C34:C35"/>
    <mergeCell ref="C32:C33"/>
    <mergeCell ref="C40:C41"/>
    <mergeCell ref="C38:C39"/>
    <mergeCell ref="C44:C45"/>
    <mergeCell ref="C58:C59"/>
    <mergeCell ref="C60:C61"/>
    <mergeCell ref="C26:C27"/>
    <mergeCell ref="Q85:Q86"/>
    <mergeCell ref="Q83:Q84"/>
    <mergeCell ref="Q81:Q82"/>
    <mergeCell ref="Q69:Q70"/>
    <mergeCell ref="B79:B80"/>
    <mergeCell ref="B81:B82"/>
    <mergeCell ref="B83:B84"/>
    <mergeCell ref="B85:B86"/>
    <mergeCell ref="Q79:Q80"/>
    <mergeCell ref="B77:B78"/>
    <mergeCell ref="Q77:Q78"/>
    <mergeCell ref="Q75:Q76"/>
    <mergeCell ref="Q73:Q74"/>
    <mergeCell ref="Q71:Q72"/>
    <mergeCell ref="B69:B70"/>
    <mergeCell ref="B71:B72"/>
    <mergeCell ref="B92:B93"/>
    <mergeCell ref="B94:B95"/>
    <mergeCell ref="Q92:Q93"/>
    <mergeCell ref="Q94:Q95"/>
    <mergeCell ref="B87:B88"/>
    <mergeCell ref="Q87:Q88"/>
  </mergeCells>
  <pageMargins left="0.7" right="0.7" top="0.75" bottom="0.75" header="0.3" footer="0.3"/>
  <pageSetup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workbookViewId="0">
      <selection activeCell="I16" sqref="I16"/>
    </sheetView>
  </sheetViews>
  <sheetFormatPr baseColWidth="10" defaultRowHeight="15" x14ac:dyDescent="0.25"/>
  <cols>
    <col min="1" max="1" width="24.42578125" bestFit="1" customWidth="1"/>
    <col min="2" max="2" width="12.7109375" style="4" bestFit="1" customWidth="1"/>
    <col min="3" max="3" width="14.42578125" bestFit="1" customWidth="1"/>
    <col min="4" max="4" width="18.5703125" style="19" customWidth="1"/>
    <col min="6" max="6" width="12.5703125" bestFit="1" customWidth="1"/>
    <col min="7" max="7" width="11.7109375" bestFit="1" customWidth="1"/>
  </cols>
  <sheetData>
    <row r="1" spans="2:7" ht="15.75" thickBot="1" x14ac:dyDescent="0.3"/>
    <row r="2" spans="2:7" ht="15.75" thickBot="1" x14ac:dyDescent="0.3">
      <c r="B2" s="248">
        <v>1.5094163354346632</v>
      </c>
    </row>
    <row r="5" spans="2:7" ht="15.75" thickBot="1" x14ac:dyDescent="0.3">
      <c r="C5" s="250">
        <v>37735.1</v>
      </c>
      <c r="D5" s="249">
        <f>C5*$B$2</f>
        <v>56957.97635926056</v>
      </c>
    </row>
    <row r="6" spans="2:7" ht="15.75" thickBot="1" x14ac:dyDescent="0.3">
      <c r="C6" s="250">
        <v>1631902.35</v>
      </c>
      <c r="D6" s="249">
        <f t="shared" ref="D6:D26" si="0">C6*$B$2</f>
        <v>2463220.0649242154</v>
      </c>
      <c r="F6" s="253">
        <v>9061350.7699999996</v>
      </c>
      <c r="G6" s="254">
        <v>1411275.97</v>
      </c>
    </row>
    <row r="7" spans="2:7" x14ac:dyDescent="0.25">
      <c r="C7" s="251">
        <v>0</v>
      </c>
      <c r="D7" s="249">
        <f t="shared" si="0"/>
        <v>0</v>
      </c>
      <c r="F7" s="4">
        <f>F6*$B$2</f>
        <v>13677350.873341464</v>
      </c>
      <c r="G7" s="4">
        <f>G6*$B$2</f>
        <v>2130203.0029243999</v>
      </c>
    </row>
    <row r="8" spans="2:7" x14ac:dyDescent="0.25">
      <c r="C8" s="250">
        <v>1538023.47</v>
      </c>
      <c r="D8" s="249">
        <f t="shared" si="0"/>
        <v>2321517.7498999047</v>
      </c>
    </row>
    <row r="9" spans="2:7" x14ac:dyDescent="0.25">
      <c r="C9" s="250">
        <v>807935.67</v>
      </c>
      <c r="D9" s="249">
        <f t="shared" si="0"/>
        <v>1219511.2982783495</v>
      </c>
    </row>
    <row r="10" spans="2:7" x14ac:dyDescent="0.25">
      <c r="C10" s="250">
        <v>254345.09</v>
      </c>
      <c r="D10" s="249">
        <f t="shared" si="0"/>
        <v>383912.63368359959</v>
      </c>
    </row>
    <row r="11" spans="2:7" x14ac:dyDescent="0.25">
      <c r="C11" s="250">
        <v>325133.45</v>
      </c>
      <c r="D11" s="249">
        <f t="shared" si="0"/>
        <v>490761.74062622932</v>
      </c>
    </row>
    <row r="12" spans="2:7" x14ac:dyDescent="0.25">
      <c r="C12" s="250">
        <v>83265.899999999994</v>
      </c>
      <c r="D12" s="249">
        <f t="shared" si="0"/>
        <v>125682.90964466911</v>
      </c>
    </row>
    <row r="13" spans="2:7" x14ac:dyDescent="0.25">
      <c r="C13" s="250">
        <v>23861.759999999998</v>
      </c>
      <c r="D13" s="249">
        <f t="shared" si="0"/>
        <v>36017.330336221428</v>
      </c>
    </row>
    <row r="14" spans="2:7" x14ac:dyDescent="0.25">
      <c r="C14" s="250">
        <v>14068.13</v>
      </c>
      <c r="D14" s="249">
        <f t="shared" si="0"/>
        <v>21234.665231018447</v>
      </c>
    </row>
    <row r="15" spans="2:7" x14ac:dyDescent="0.25">
      <c r="C15" s="250">
        <v>66389.09</v>
      </c>
      <c r="D15" s="249">
        <f t="shared" si="0"/>
        <v>100208.77694064204</v>
      </c>
    </row>
    <row r="16" spans="2:7" x14ac:dyDescent="0.25">
      <c r="C16" s="250">
        <v>981676.8</v>
      </c>
      <c r="D16" s="249">
        <f t="shared" si="0"/>
        <v>1481758.998037227</v>
      </c>
    </row>
    <row r="17" spans="3:4" x14ac:dyDescent="0.25">
      <c r="C17" s="250">
        <v>729650.42</v>
      </c>
      <c r="D17" s="249">
        <f t="shared" si="0"/>
        <v>1101346.2631047629</v>
      </c>
    </row>
    <row r="18" spans="3:4" x14ac:dyDescent="0.25">
      <c r="C18" s="250">
        <v>292238.06</v>
      </c>
      <c r="D18" s="249">
        <f t="shared" si="0"/>
        <v>441108.90159973525</v>
      </c>
    </row>
    <row r="19" spans="3:4" x14ac:dyDescent="0.25">
      <c r="C19" s="250">
        <v>26163.29</v>
      </c>
      <c r="D19" s="249">
        <f t="shared" si="0"/>
        <v>39491.297314714371</v>
      </c>
    </row>
    <row r="20" spans="3:4" x14ac:dyDescent="0.25">
      <c r="C20" s="250">
        <v>343441.45</v>
      </c>
      <c r="D20" s="249">
        <f t="shared" si="0"/>
        <v>518396.13489536714</v>
      </c>
    </row>
    <row r="21" spans="3:4" x14ac:dyDescent="0.25">
      <c r="C21" s="250">
        <v>30776.58</v>
      </c>
      <c r="D21" s="249">
        <f t="shared" si="0"/>
        <v>46454.672600811748</v>
      </c>
    </row>
    <row r="22" spans="3:4" x14ac:dyDescent="0.25">
      <c r="C22" s="250">
        <v>2813005.02</v>
      </c>
      <c r="D22" s="249">
        <f t="shared" si="0"/>
        <v>4245995.7288477113</v>
      </c>
    </row>
    <row r="23" spans="3:4" x14ac:dyDescent="0.25">
      <c r="C23" s="250">
        <v>43038.83</v>
      </c>
      <c r="D23" s="249">
        <f t="shared" si="0"/>
        <v>64963.51305999545</v>
      </c>
    </row>
    <row r="24" spans="3:4" x14ac:dyDescent="0.25">
      <c r="C24" s="250">
        <v>26118.21</v>
      </c>
      <c r="D24" s="249">
        <f t="shared" si="0"/>
        <v>39423.252826312972</v>
      </c>
    </row>
    <row r="25" spans="3:4" ht="15.75" thickBot="1" x14ac:dyDescent="0.3">
      <c r="C25" s="250">
        <v>403858.07</v>
      </c>
      <c r="D25" s="249">
        <f t="shared" si="0"/>
        <v>609589.96805511566</v>
      </c>
    </row>
    <row r="26" spans="3:4" ht="15.75" thickBot="1" x14ac:dyDescent="0.3">
      <c r="C26" s="252">
        <v>10472626.74</v>
      </c>
      <c r="D26" s="249">
        <f t="shared" si="0"/>
        <v>15807553.876265865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63"/>
  <sheetViews>
    <sheetView topLeftCell="B46" workbookViewId="0">
      <selection activeCell="O54" sqref="O54:O57"/>
    </sheetView>
  </sheetViews>
  <sheetFormatPr baseColWidth="10" defaultRowHeight="15" x14ac:dyDescent="0.25"/>
  <cols>
    <col min="3" max="3" width="12.5703125" bestFit="1" customWidth="1"/>
    <col min="7" max="7" width="12.7109375" bestFit="1" customWidth="1"/>
    <col min="11" max="11" width="14.42578125" bestFit="1" customWidth="1"/>
    <col min="13" max="13" width="12.5703125" bestFit="1" customWidth="1"/>
  </cols>
  <sheetData>
    <row r="5" spans="3:13" x14ac:dyDescent="0.25">
      <c r="C5" s="128">
        <v>3616642.57</v>
      </c>
      <c r="E5" s="130">
        <v>8792.18</v>
      </c>
      <c r="G5" s="132">
        <v>342247.9</v>
      </c>
      <c r="I5" s="132">
        <v>7224431.04</v>
      </c>
      <c r="K5" s="133">
        <v>37735.1</v>
      </c>
      <c r="L5" s="134"/>
      <c r="M5" s="135">
        <v>37735.1</v>
      </c>
    </row>
    <row r="6" spans="3:13" x14ac:dyDescent="0.25">
      <c r="C6" s="128">
        <v>244493.59</v>
      </c>
      <c r="E6" s="130">
        <v>66280.92</v>
      </c>
      <c r="G6" s="132">
        <v>490080.27</v>
      </c>
      <c r="I6" s="132">
        <v>639000</v>
      </c>
      <c r="K6" s="133">
        <v>1631902.35</v>
      </c>
      <c r="L6" s="134"/>
      <c r="M6" s="135">
        <v>1631902.35</v>
      </c>
    </row>
    <row r="7" spans="3:13" ht="15.75" thickBot="1" x14ac:dyDescent="0.3">
      <c r="C7" s="128">
        <v>15275025.09</v>
      </c>
      <c r="E7" s="131">
        <v>53938.95</v>
      </c>
      <c r="G7" s="132">
        <v>1460289.31</v>
      </c>
      <c r="I7" s="132">
        <v>204678.69</v>
      </c>
      <c r="K7" s="136">
        <v>0</v>
      </c>
      <c r="L7" s="134"/>
      <c r="M7" s="134">
        <v>0</v>
      </c>
    </row>
    <row r="8" spans="3:13" ht="15.75" thickBot="1" x14ac:dyDescent="0.3">
      <c r="C8" s="128">
        <v>596801.29</v>
      </c>
      <c r="E8" s="131">
        <v>75666.64</v>
      </c>
      <c r="I8" s="132">
        <v>96534.25</v>
      </c>
      <c r="K8" s="133">
        <v>1538023.47</v>
      </c>
      <c r="L8" s="134"/>
      <c r="M8" s="135">
        <v>1538023.47</v>
      </c>
    </row>
    <row r="9" spans="3:13" x14ac:dyDescent="0.25">
      <c r="C9" s="128">
        <v>282692.31</v>
      </c>
      <c r="G9" s="132">
        <v>1755523.49</v>
      </c>
      <c r="I9" s="132">
        <v>1423790.67</v>
      </c>
      <c r="K9" s="136"/>
      <c r="L9" s="135">
        <v>807935.67</v>
      </c>
      <c r="M9" s="135">
        <v>807935.67</v>
      </c>
    </row>
    <row r="10" spans="3:13" x14ac:dyDescent="0.25">
      <c r="C10" s="128">
        <v>-444916.74</v>
      </c>
      <c r="G10" s="132">
        <v>13450015.189999999</v>
      </c>
      <c r="K10" s="136"/>
      <c r="L10" s="135">
        <v>254345.09</v>
      </c>
      <c r="M10" s="135">
        <v>254345.09</v>
      </c>
    </row>
    <row r="11" spans="3:13" x14ac:dyDescent="0.25">
      <c r="C11" s="128">
        <v>-95421.78</v>
      </c>
      <c r="K11" s="136"/>
      <c r="L11" s="135">
        <v>325133.45</v>
      </c>
      <c r="M11" s="135">
        <v>325133.45</v>
      </c>
    </row>
    <row r="12" spans="3:13" x14ac:dyDescent="0.25">
      <c r="C12" s="128">
        <v>-5882973.4100000001</v>
      </c>
      <c r="K12" s="133">
        <v>83265.899999999994</v>
      </c>
      <c r="L12" s="134"/>
      <c r="M12" s="135">
        <v>83265.899999999994</v>
      </c>
    </row>
    <row r="13" spans="3:13" x14ac:dyDescent="0.25">
      <c r="C13" s="128">
        <v>-96272.25</v>
      </c>
      <c r="K13" s="136"/>
      <c r="L13" s="135">
        <v>23861.759999999998</v>
      </c>
      <c r="M13" s="135">
        <v>23861.759999999998</v>
      </c>
    </row>
    <row r="14" spans="3:13" ht="15.75" thickBot="1" x14ac:dyDescent="0.3">
      <c r="C14" s="129">
        <v>-46055.48</v>
      </c>
      <c r="K14" s="133">
        <v>14068.13</v>
      </c>
      <c r="L14" s="134"/>
      <c r="M14" s="135">
        <v>14068.13</v>
      </c>
    </row>
    <row r="15" spans="3:13" x14ac:dyDescent="0.25">
      <c r="K15" s="133">
        <v>66389.09</v>
      </c>
      <c r="L15" s="134"/>
      <c r="M15" s="135">
        <v>66389.09</v>
      </c>
    </row>
    <row r="16" spans="3:13" x14ac:dyDescent="0.25">
      <c r="K16" s="133">
        <v>981676.8</v>
      </c>
      <c r="L16" s="134"/>
      <c r="M16" s="135">
        <v>981676.8</v>
      </c>
    </row>
    <row r="17" spans="11:13" x14ac:dyDescent="0.25">
      <c r="K17" s="133">
        <v>729650.42</v>
      </c>
      <c r="L17" s="134"/>
      <c r="M17" s="135">
        <v>729650.42</v>
      </c>
    </row>
    <row r="18" spans="11:13" x14ac:dyDescent="0.25">
      <c r="K18" s="133">
        <v>292238.06</v>
      </c>
      <c r="L18" s="134"/>
      <c r="M18" s="135">
        <v>292238.06</v>
      </c>
    </row>
    <row r="19" spans="11:13" x14ac:dyDescent="0.25">
      <c r="K19" s="133">
        <v>26163.29</v>
      </c>
      <c r="L19" s="134"/>
      <c r="M19" s="135">
        <v>26163.29</v>
      </c>
    </row>
    <row r="20" spans="11:13" x14ac:dyDescent="0.25">
      <c r="K20" s="133">
        <v>343441.45</v>
      </c>
      <c r="L20" s="134"/>
      <c r="M20" s="135">
        <v>343441.45</v>
      </c>
    </row>
    <row r="21" spans="11:13" x14ac:dyDescent="0.25">
      <c r="K21" s="133">
        <v>30776.58</v>
      </c>
      <c r="L21" s="134"/>
      <c r="M21" s="135">
        <v>30776.58</v>
      </c>
    </row>
    <row r="22" spans="11:13" x14ac:dyDescent="0.25">
      <c r="K22" s="133">
        <v>2813005.02</v>
      </c>
      <c r="L22" s="134"/>
      <c r="M22" s="135">
        <v>2813005.02</v>
      </c>
    </row>
    <row r="23" spans="11:13" x14ac:dyDescent="0.25">
      <c r="K23" s="133">
        <v>43038.83</v>
      </c>
      <c r="L23" s="134"/>
      <c r="M23" s="135">
        <v>43038.83</v>
      </c>
    </row>
    <row r="24" spans="11:13" x14ac:dyDescent="0.25">
      <c r="K24" s="133">
        <v>26118.21</v>
      </c>
      <c r="L24" s="134"/>
      <c r="M24" s="135">
        <v>26118.21</v>
      </c>
    </row>
    <row r="25" spans="11:13" x14ac:dyDescent="0.25">
      <c r="K25" s="133">
        <v>403858.07</v>
      </c>
      <c r="L25" s="134"/>
      <c r="M25" s="135">
        <v>403858.07</v>
      </c>
    </row>
    <row r="26" spans="11:13" x14ac:dyDescent="0.25">
      <c r="K26" s="4">
        <f>SUM(K5:K25)</f>
        <v>9061350.7700000014</v>
      </c>
      <c r="L26" s="4">
        <f t="shared" ref="L26:M26" si="0">SUM(L5:L25)</f>
        <v>1411275.97</v>
      </c>
      <c r="M26" s="4">
        <f t="shared" si="0"/>
        <v>10472626.74</v>
      </c>
    </row>
    <row r="30" spans="11:13" x14ac:dyDescent="0.25">
      <c r="K30" s="137">
        <v>21675565.050000001</v>
      </c>
    </row>
    <row r="31" spans="11:13" x14ac:dyDescent="0.25">
      <c r="K31" s="137">
        <v>-10759449.24</v>
      </c>
    </row>
    <row r="32" spans="11:13" x14ac:dyDescent="0.25">
      <c r="K32" s="137">
        <v>10916115.810000001</v>
      </c>
    </row>
    <row r="33" spans="2:14" x14ac:dyDescent="0.25">
      <c r="K33" s="137">
        <v>-9061350.7699999996</v>
      </c>
    </row>
    <row r="34" spans="2:14" x14ac:dyDescent="0.25">
      <c r="K34" s="137">
        <v>-1411275.97</v>
      </c>
    </row>
    <row r="35" spans="2:14" x14ac:dyDescent="0.25">
      <c r="K35" s="138"/>
    </row>
    <row r="36" spans="2:14" x14ac:dyDescent="0.25">
      <c r="K36" s="137">
        <v>-21620.54</v>
      </c>
    </row>
    <row r="37" spans="2:14" x14ac:dyDescent="0.25">
      <c r="K37" s="137">
        <v>2334157.27</v>
      </c>
    </row>
    <row r="38" spans="2:14" x14ac:dyDescent="0.25">
      <c r="K38" s="137">
        <v>2756025.8</v>
      </c>
    </row>
    <row r="39" spans="2:14" x14ac:dyDescent="0.25">
      <c r="K39" s="137">
        <v>-347808.11</v>
      </c>
    </row>
    <row r="45" spans="2:14" ht="15.75" thickBot="1" x14ac:dyDescent="0.3"/>
    <row r="46" spans="2:14" ht="15.75" thickBot="1" x14ac:dyDescent="0.3">
      <c r="B46" s="140">
        <v>50000</v>
      </c>
      <c r="C46" s="140">
        <v>94798.37</v>
      </c>
      <c r="D46" s="140">
        <v>144798.37</v>
      </c>
      <c r="E46" s="141" t="s">
        <v>244</v>
      </c>
      <c r="F46" s="141" t="s">
        <v>244</v>
      </c>
      <c r="G46" s="142">
        <v>3896247.66</v>
      </c>
      <c r="H46" s="142">
        <v>4041046.03</v>
      </c>
    </row>
    <row r="47" spans="2:14" ht="15.75" thickBot="1" x14ac:dyDescent="0.3">
      <c r="B47" s="143" t="s">
        <v>244</v>
      </c>
      <c r="C47" s="143" t="s">
        <v>244</v>
      </c>
      <c r="D47" s="143" t="s">
        <v>244</v>
      </c>
      <c r="E47" s="143" t="s">
        <v>244</v>
      </c>
      <c r="F47" s="143" t="s">
        <v>244</v>
      </c>
      <c r="G47" s="143" t="s">
        <v>244</v>
      </c>
      <c r="H47" s="143" t="s">
        <v>244</v>
      </c>
      <c r="K47" s="151">
        <v>3884689.86</v>
      </c>
      <c r="N47" s="166">
        <v>3896247.66</v>
      </c>
    </row>
    <row r="48" spans="2:14" ht="15.75" thickBot="1" x14ac:dyDescent="0.3">
      <c r="B48" s="144">
        <v>50000</v>
      </c>
      <c r="C48" s="144">
        <v>94798.37</v>
      </c>
      <c r="D48" s="144">
        <v>144798.37</v>
      </c>
      <c r="E48" s="145" t="s">
        <v>244</v>
      </c>
      <c r="F48" s="145" t="s">
        <v>244</v>
      </c>
      <c r="G48" s="144">
        <v>3896247.66</v>
      </c>
      <c r="H48" s="144">
        <v>4041046.03</v>
      </c>
      <c r="K48" s="151">
        <v>-5463100.6699999999</v>
      </c>
      <c r="N48" s="132">
        <v>1408103.06</v>
      </c>
    </row>
    <row r="49" spans="2:18" ht="15.75" thickBot="1" x14ac:dyDescent="0.3">
      <c r="B49" s="146" t="s">
        <v>244</v>
      </c>
      <c r="C49" s="147">
        <v>52330.98</v>
      </c>
      <c r="D49" s="147">
        <v>52330.98</v>
      </c>
      <c r="E49" s="146" t="s">
        <v>244</v>
      </c>
      <c r="F49" s="146" t="s">
        <v>244</v>
      </c>
      <c r="G49" s="147">
        <v>1408126.81</v>
      </c>
      <c r="H49" s="38">
        <f>SUM(D49:G49)</f>
        <v>1460457.79</v>
      </c>
      <c r="K49" s="152">
        <v>1351917.05</v>
      </c>
      <c r="N49" s="132">
        <v>-39425.870000000003</v>
      </c>
    </row>
    <row r="50" spans="2:18" x14ac:dyDescent="0.25">
      <c r="B50" s="146" t="s">
        <v>244</v>
      </c>
      <c r="C50" s="146" t="s">
        <v>244</v>
      </c>
      <c r="D50" s="146" t="s">
        <v>244</v>
      </c>
      <c r="E50" s="147">
        <v>39425.870000000003</v>
      </c>
      <c r="F50" s="146" t="s">
        <v>244</v>
      </c>
      <c r="G50" s="147">
        <v>-39425.870000000003</v>
      </c>
      <c r="H50" s="38">
        <f t="shared" ref="H50:H51" si="1">SUM(D50:G50)</f>
        <v>0</v>
      </c>
      <c r="N50" s="132">
        <v>2408241.44</v>
      </c>
    </row>
    <row r="51" spans="2:18" ht="15.75" thickBot="1" x14ac:dyDescent="0.3">
      <c r="B51" s="146" t="s">
        <v>244</v>
      </c>
      <c r="C51" s="146" t="s">
        <v>244</v>
      </c>
      <c r="D51" s="146" t="s">
        <v>244</v>
      </c>
      <c r="E51" s="146" t="s">
        <v>244</v>
      </c>
      <c r="F51" s="146" t="s">
        <v>244</v>
      </c>
      <c r="G51" s="147">
        <v>2408217.69</v>
      </c>
      <c r="H51" s="38">
        <f t="shared" si="1"/>
        <v>2408217.69</v>
      </c>
    </row>
    <row r="52" spans="2:18" ht="15.75" thickBot="1" x14ac:dyDescent="0.3">
      <c r="B52" s="148">
        <v>50000</v>
      </c>
      <c r="C52" s="148">
        <v>147129.35</v>
      </c>
      <c r="D52" s="148">
        <v>197129.35</v>
      </c>
      <c r="E52" s="148">
        <v>39425.870000000003</v>
      </c>
      <c r="F52" s="149" t="s">
        <v>244</v>
      </c>
      <c r="G52" s="148">
        <v>7673166.29</v>
      </c>
      <c r="H52" s="150">
        <f>H48+H49+H50+H51</f>
        <v>7909721.5099999998</v>
      </c>
      <c r="N52" s="132">
        <v>52330.98</v>
      </c>
      <c r="O52" s="132">
        <v>52330.98</v>
      </c>
      <c r="P52" s="167" t="s">
        <v>244</v>
      </c>
      <c r="Q52" s="167" t="s">
        <v>244</v>
      </c>
      <c r="R52" s="132">
        <v>1408103.06</v>
      </c>
    </row>
    <row r="53" spans="2:18" ht="15.75" thickBot="1" x14ac:dyDescent="0.3"/>
    <row r="54" spans="2:18" ht="15.75" thickBot="1" x14ac:dyDescent="0.3">
      <c r="O54" s="166">
        <v>4041046.03</v>
      </c>
    </row>
    <row r="55" spans="2:18" ht="15.75" thickBot="1" x14ac:dyDescent="0.3">
      <c r="O55" s="132">
        <v>1460434.04</v>
      </c>
    </row>
    <row r="56" spans="2:18" ht="39" thickBot="1" x14ac:dyDescent="0.3">
      <c r="B56" s="309" t="s">
        <v>247</v>
      </c>
      <c r="C56" s="311" t="s">
        <v>248</v>
      </c>
      <c r="D56" s="312"/>
      <c r="E56" s="312"/>
      <c r="F56" s="313"/>
      <c r="G56" s="311" t="s">
        <v>249</v>
      </c>
      <c r="H56" s="312"/>
      <c r="I56" s="312"/>
      <c r="J56" s="312"/>
      <c r="K56" s="313"/>
      <c r="L56" s="158" t="s">
        <v>250</v>
      </c>
      <c r="M56" s="158" t="s">
        <v>250</v>
      </c>
      <c r="O56" s="168">
        <v>0</v>
      </c>
    </row>
    <row r="57" spans="2:18" ht="26.25" thickBot="1" x14ac:dyDescent="0.3">
      <c r="B57" s="310"/>
      <c r="C57" s="159" t="s">
        <v>251</v>
      </c>
      <c r="D57" s="160" t="s">
        <v>252</v>
      </c>
      <c r="E57" s="160" t="s">
        <v>253</v>
      </c>
      <c r="F57" s="159" t="s">
        <v>254</v>
      </c>
      <c r="G57" s="160" t="s">
        <v>255</v>
      </c>
      <c r="H57" s="160" t="s">
        <v>253</v>
      </c>
      <c r="I57" s="161" t="s">
        <v>205</v>
      </c>
      <c r="J57" s="161" t="s">
        <v>256</v>
      </c>
      <c r="K57" s="161" t="s">
        <v>257</v>
      </c>
      <c r="L57" s="162">
        <v>44196</v>
      </c>
      <c r="M57" s="163">
        <v>43830</v>
      </c>
      <c r="O57" s="132">
        <v>2408241.44</v>
      </c>
    </row>
    <row r="58" spans="2:18" ht="15.75" thickBot="1" x14ac:dyDescent="0.3">
      <c r="B58" s="153" t="s">
        <v>35</v>
      </c>
      <c r="C58" s="154">
        <v>279263.65000000002</v>
      </c>
      <c r="D58" s="154">
        <f>F58-C58</f>
        <v>3337378.92</v>
      </c>
      <c r="E58" s="155" t="s">
        <v>244</v>
      </c>
      <c r="F58" s="154">
        <v>3616642.57</v>
      </c>
      <c r="G58" s="154">
        <v>74537.13</v>
      </c>
      <c r="H58" s="155" t="s">
        <v>244</v>
      </c>
      <c r="I58" s="154">
        <v>26938.16</v>
      </c>
      <c r="J58" s="154">
        <v>343441.45</v>
      </c>
      <c r="K58" s="154">
        <v>444916.74</v>
      </c>
      <c r="L58" s="164">
        <f>F58-K58</f>
        <v>3171725.83</v>
      </c>
      <c r="M58" s="154">
        <v>204726.52</v>
      </c>
    </row>
    <row r="59" spans="2:18" ht="29.25" thickBot="1" x14ac:dyDescent="0.3">
      <c r="B59" s="153" t="s">
        <v>245</v>
      </c>
      <c r="C59" s="154">
        <v>179589.05</v>
      </c>
      <c r="D59" s="154">
        <f t="shared" ref="D59:D62" si="2">F59-C59</f>
        <v>64904.540000000008</v>
      </c>
      <c r="E59" s="155" t="s">
        <v>244</v>
      </c>
      <c r="F59" s="154">
        <v>244493.59</v>
      </c>
      <c r="G59" s="154">
        <v>47484.15</v>
      </c>
      <c r="H59" s="155" t="s">
        <v>244</v>
      </c>
      <c r="I59" s="154">
        <v>17161.05</v>
      </c>
      <c r="J59" s="154">
        <v>30776.58</v>
      </c>
      <c r="K59" s="154">
        <v>95421.78</v>
      </c>
      <c r="L59" s="164">
        <f t="shared" ref="L59:L62" si="3">F59-K59</f>
        <v>149071.81</v>
      </c>
      <c r="M59" s="154">
        <v>132104.9</v>
      </c>
    </row>
    <row r="60" spans="2:18" ht="15.75" thickBot="1" x14ac:dyDescent="0.3">
      <c r="B60" s="153" t="s">
        <v>32</v>
      </c>
      <c r="C60" s="154">
        <v>11220037.560000001</v>
      </c>
      <c r="D60" s="154">
        <f t="shared" si="2"/>
        <v>4054987.5299999993</v>
      </c>
      <c r="E60" s="155" t="s">
        <v>244</v>
      </c>
      <c r="F60" s="154">
        <v>15275025.09</v>
      </c>
      <c r="G60" s="154">
        <v>2254998.63</v>
      </c>
      <c r="H60" s="155" t="s">
        <v>244</v>
      </c>
      <c r="I60" s="154">
        <v>814969.76</v>
      </c>
      <c r="J60" s="154">
        <v>2813005.02</v>
      </c>
      <c r="K60" s="154">
        <v>5882973.4100000001</v>
      </c>
      <c r="L60" s="164">
        <f t="shared" si="3"/>
        <v>9392051.6799999997</v>
      </c>
      <c r="M60" s="154">
        <v>8965038.9299999997</v>
      </c>
    </row>
    <row r="61" spans="2:18" ht="15.75" thickBot="1" x14ac:dyDescent="0.3">
      <c r="B61" s="153" t="s">
        <v>36</v>
      </c>
      <c r="C61" s="154">
        <v>177615.25</v>
      </c>
      <c r="D61" s="154">
        <f t="shared" si="2"/>
        <v>419186.04000000004</v>
      </c>
      <c r="E61" s="155" t="s">
        <v>244</v>
      </c>
      <c r="F61" s="154">
        <v>596801.29</v>
      </c>
      <c r="G61" s="154">
        <v>39101.800000000003</v>
      </c>
      <c r="H61" s="155" t="s">
        <v>244</v>
      </c>
      <c r="I61" s="154">
        <v>14131.62</v>
      </c>
      <c r="J61" s="154">
        <v>43038.83</v>
      </c>
      <c r="K61" s="154">
        <v>96272.25</v>
      </c>
      <c r="L61" s="164">
        <f t="shared" si="3"/>
        <v>500529.04000000004</v>
      </c>
      <c r="M61" s="154">
        <v>138513.45000000001</v>
      </c>
    </row>
    <row r="62" spans="2:18" ht="29.25" thickBot="1" x14ac:dyDescent="0.3">
      <c r="B62" s="153" t="s">
        <v>246</v>
      </c>
      <c r="C62" s="154">
        <v>122386.35</v>
      </c>
      <c r="D62" s="154">
        <f t="shared" si="2"/>
        <v>160305.96</v>
      </c>
      <c r="E62" s="155" t="s">
        <v>244</v>
      </c>
      <c r="F62" s="154">
        <v>282692.31</v>
      </c>
      <c r="G62" s="154">
        <v>14644.62</v>
      </c>
      <c r="H62" s="155" t="s">
        <v>244</v>
      </c>
      <c r="I62" s="154">
        <v>5292.65</v>
      </c>
      <c r="J62" s="154">
        <v>26118.21</v>
      </c>
      <c r="K62" s="154">
        <v>46055.48</v>
      </c>
      <c r="L62" s="164">
        <f t="shared" si="3"/>
        <v>236636.83</v>
      </c>
      <c r="M62" s="154">
        <v>107741.73</v>
      </c>
    </row>
    <row r="63" spans="2:18" ht="15.75" thickBot="1" x14ac:dyDescent="0.3">
      <c r="B63" s="156" t="s">
        <v>228</v>
      </c>
      <c r="C63" s="157">
        <f>SUM(C58:C62)</f>
        <v>11978891.859999999</v>
      </c>
      <c r="D63" s="157">
        <f t="shared" ref="D63:K63" si="4">SUM(D58:D62)</f>
        <v>8036762.9899999993</v>
      </c>
      <c r="E63" s="157">
        <f t="shared" si="4"/>
        <v>0</v>
      </c>
      <c r="F63" s="157">
        <f t="shared" si="4"/>
        <v>20015654.849999998</v>
      </c>
      <c r="G63" s="157">
        <f t="shared" si="4"/>
        <v>2430766.3299999996</v>
      </c>
      <c r="H63" s="157">
        <f t="shared" si="4"/>
        <v>0</v>
      </c>
      <c r="I63" s="157">
        <f t="shared" si="4"/>
        <v>878493.24</v>
      </c>
      <c r="J63" s="157">
        <f t="shared" si="4"/>
        <v>3256380.09</v>
      </c>
      <c r="K63" s="157">
        <f t="shared" si="4"/>
        <v>6565639.6600000001</v>
      </c>
      <c r="L63" s="165">
        <f>F63-K63</f>
        <v>13450015.189999998</v>
      </c>
      <c r="M63" s="157">
        <v>9548125.5299999993</v>
      </c>
    </row>
  </sheetData>
  <mergeCells count="3">
    <mergeCell ref="B56:B57"/>
    <mergeCell ref="C56:F56"/>
    <mergeCell ref="G56:K56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K18" sqref="K18"/>
    </sheetView>
  </sheetViews>
  <sheetFormatPr baseColWidth="10" defaultRowHeight="15" x14ac:dyDescent="0.25"/>
  <cols>
    <col min="2" max="2" width="13.7109375" bestFit="1" customWidth="1"/>
    <col min="3" max="3" width="12.5703125" bestFit="1" customWidth="1"/>
  </cols>
  <sheetData>
    <row r="2" spans="1:6" ht="15.75" thickBot="1" x14ac:dyDescent="0.3">
      <c r="A2" s="127">
        <v>43800</v>
      </c>
      <c r="B2">
        <v>1.3613999999999999</v>
      </c>
    </row>
    <row r="3" spans="1:6" ht="15.75" thickBot="1" x14ac:dyDescent="0.3">
      <c r="E3" s="173">
        <v>4742276.2</v>
      </c>
      <c r="F3" s="174">
        <v>697239.2</v>
      </c>
    </row>
    <row r="4" spans="1:6" ht="15.75" thickBot="1" x14ac:dyDescent="0.3">
      <c r="E4" s="173">
        <f>E3*$B$2</f>
        <v>6456134.8186799996</v>
      </c>
      <c r="F4" s="173">
        <f>F3*$B$2</f>
        <v>949221.44687999994</v>
      </c>
    </row>
    <row r="6" spans="1:6" x14ac:dyDescent="0.25">
      <c r="B6" s="169">
        <v>91280.18</v>
      </c>
      <c r="C6" s="4">
        <f>B6*$B$2</f>
        <v>124268.83705199999</v>
      </c>
    </row>
    <row r="7" spans="1:6" x14ac:dyDescent="0.25">
      <c r="B7" s="169">
        <v>297762.26</v>
      </c>
      <c r="C7" s="4">
        <f t="shared" ref="C7:C28" si="0">B7*$B$2</f>
        <v>405373.54076399998</v>
      </c>
    </row>
    <row r="8" spans="1:6" x14ac:dyDescent="0.25">
      <c r="B8" s="169">
        <v>1011805.77</v>
      </c>
      <c r="C8" s="4">
        <f t="shared" si="0"/>
        <v>1377472.375278</v>
      </c>
    </row>
    <row r="9" spans="1:6" x14ac:dyDescent="0.25">
      <c r="B9" s="169">
        <v>541040.64000000001</v>
      </c>
      <c r="C9" s="4">
        <f t="shared" si="0"/>
        <v>736572.727296</v>
      </c>
    </row>
    <row r="10" spans="1:6" x14ac:dyDescent="0.25">
      <c r="B10" s="169">
        <v>433672.96000000002</v>
      </c>
      <c r="C10" s="4">
        <f t="shared" si="0"/>
        <v>590402.36774400005</v>
      </c>
    </row>
    <row r="11" spans="1:6" x14ac:dyDescent="0.25">
      <c r="B11" s="169">
        <v>123477.96</v>
      </c>
      <c r="C11" s="4">
        <f t="shared" si="0"/>
        <v>168102.89474399999</v>
      </c>
    </row>
    <row r="12" spans="1:6" x14ac:dyDescent="0.25">
      <c r="B12" s="169">
        <v>108984.08</v>
      </c>
      <c r="C12" s="4">
        <f t="shared" si="0"/>
        <v>148370.92651200001</v>
      </c>
    </row>
    <row r="13" spans="1:6" x14ac:dyDescent="0.25">
      <c r="B13" s="169">
        <v>41136.080000000002</v>
      </c>
      <c r="C13" s="4">
        <f t="shared" si="0"/>
        <v>56002.659312000003</v>
      </c>
    </row>
    <row r="14" spans="1:6" x14ac:dyDescent="0.25">
      <c r="B14" s="169">
        <v>32904.199999999997</v>
      </c>
      <c r="C14" s="4">
        <f t="shared" si="0"/>
        <v>44795.777879999994</v>
      </c>
    </row>
    <row r="15" spans="1:6" x14ac:dyDescent="0.25">
      <c r="B15" s="169">
        <v>18136.57</v>
      </c>
      <c r="C15" s="4">
        <f t="shared" si="0"/>
        <v>24691.126398</v>
      </c>
    </row>
    <row r="16" spans="1:6" x14ac:dyDescent="0.25">
      <c r="B16" s="169">
        <v>52228.35</v>
      </c>
      <c r="C16" s="4">
        <f t="shared" si="0"/>
        <v>71103.675689999989</v>
      </c>
    </row>
    <row r="17" spans="2:3" x14ac:dyDescent="0.25">
      <c r="B17" s="169">
        <v>1126719.76</v>
      </c>
      <c r="C17" s="4">
        <f t="shared" si="0"/>
        <v>1533916.2812639999</v>
      </c>
    </row>
    <row r="18" spans="2:3" x14ac:dyDescent="0.25">
      <c r="B18" s="169">
        <v>63112.5</v>
      </c>
      <c r="C18" s="4">
        <f t="shared" si="0"/>
        <v>85921.357499999998</v>
      </c>
    </row>
    <row r="19" spans="2:3" x14ac:dyDescent="0.25">
      <c r="B19" s="169">
        <v>149538.78</v>
      </c>
      <c r="C19" s="4">
        <f t="shared" si="0"/>
        <v>203582.095092</v>
      </c>
    </row>
    <row r="20" spans="2:3" x14ac:dyDescent="0.25">
      <c r="B20" s="169">
        <v>17012.14</v>
      </c>
      <c r="C20" s="4">
        <f t="shared" si="0"/>
        <v>23160.327395999997</v>
      </c>
    </row>
    <row r="21" spans="2:3" x14ac:dyDescent="0.25">
      <c r="B21" s="169">
        <v>25926.37</v>
      </c>
      <c r="C21" s="4">
        <f t="shared" si="0"/>
        <v>35296.160118</v>
      </c>
    </row>
    <row r="22" spans="2:3" x14ac:dyDescent="0.25">
      <c r="B22" s="169">
        <v>17113.599999999999</v>
      </c>
      <c r="C22" s="4">
        <f t="shared" si="0"/>
        <v>23298.455039999997</v>
      </c>
    </row>
    <row r="23" spans="2:3" x14ac:dyDescent="0.25">
      <c r="B23" s="169">
        <v>1265158.8899999999</v>
      </c>
      <c r="C23" s="4">
        <f t="shared" si="0"/>
        <v>1722387.3128459998</v>
      </c>
    </row>
    <row r="24" spans="2:3" x14ac:dyDescent="0.25">
      <c r="B24" s="169">
        <v>16261.52</v>
      </c>
      <c r="C24" s="4">
        <f t="shared" si="0"/>
        <v>22138.433327999999</v>
      </c>
    </row>
    <row r="25" spans="2:3" x14ac:dyDescent="0.25">
      <c r="B25" s="169">
        <v>8042.79</v>
      </c>
      <c r="C25" s="4">
        <f t="shared" si="0"/>
        <v>10949.454306</v>
      </c>
    </row>
    <row r="26" spans="2:3" ht="15.75" thickBot="1" x14ac:dyDescent="0.3">
      <c r="B26" s="170">
        <v>0</v>
      </c>
      <c r="C26" s="4">
        <f t="shared" si="0"/>
        <v>0</v>
      </c>
    </row>
    <row r="27" spans="2:3" ht="15.75" thickBot="1" x14ac:dyDescent="0.3">
      <c r="B27" s="171"/>
      <c r="C27" s="4">
        <f t="shared" si="0"/>
        <v>0</v>
      </c>
    </row>
    <row r="28" spans="2:3" ht="15.75" thickBot="1" x14ac:dyDescent="0.3">
      <c r="B28" s="172">
        <v>5439515.4000000004</v>
      </c>
      <c r="C28" s="4">
        <f t="shared" si="0"/>
        <v>7405356.2655600002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3"/>
  <sheetViews>
    <sheetView workbookViewId="0">
      <selection activeCell="G8" sqref="G8"/>
    </sheetView>
  </sheetViews>
  <sheetFormatPr baseColWidth="10" defaultRowHeight="15" x14ac:dyDescent="0.25"/>
  <cols>
    <col min="5" max="5" width="14" bestFit="1" customWidth="1"/>
  </cols>
  <sheetData>
    <row r="2" spans="5:7" x14ac:dyDescent="0.25">
      <c r="E2" t="s">
        <v>293</v>
      </c>
      <c r="G2">
        <v>7714.53</v>
      </c>
    </row>
    <row r="3" spans="5:7" x14ac:dyDescent="0.25">
      <c r="E3" t="s">
        <v>294</v>
      </c>
      <c r="G3">
        <v>3857.37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compras-ventas-gastos</vt:lpstr>
      <vt:lpstr>asientos</vt:lpstr>
      <vt:lpstr>bs uso</vt:lpstr>
      <vt:lpstr>mayor</vt:lpstr>
      <vt:lpstr>ajuste inflacion</vt:lpstr>
      <vt:lpstr>Hoja1</vt:lpstr>
      <vt:lpstr>Hoja2</vt:lpstr>
      <vt:lpstr>Hoja3</vt:lpstr>
      <vt:lpstr>Hoja4</vt:lpstr>
      <vt:lpstr>Hoja5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Usuario</cp:lastModifiedBy>
  <cp:lastPrinted>2018-09-25T17:15:31Z</cp:lastPrinted>
  <dcterms:created xsi:type="dcterms:W3CDTF">2018-09-20T17:12:24Z</dcterms:created>
  <dcterms:modified xsi:type="dcterms:W3CDTF">2023-07-05T17:06:39Z</dcterms:modified>
</cp:coreProperties>
</file>