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0CA13BC0-A061-4566-88F8-C9B6A233DA89}" xr6:coauthVersionLast="47" xr6:coauthVersionMax="47" xr10:uidLastSave="{00000000-0000-0000-0000-000000000000}"/>
  <bookViews>
    <workbookView xWindow="45960" yWindow="-120" windowWidth="29040" windowHeight="15840" activeTab="1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PortafolioIndizado[[#Totals],[Ganancia / Pérdida %]]</definedName>
    <definedName name="RendimientoPromedio">PortafolioPPR[[#Totals],[Balance %]]</definedName>
    <definedName name="ValorlTotalPortafolio" localSheetId="2">PortafolioIndizado[[#Totals],[Valor Actual]]</definedName>
    <definedName name="ValorlTotalPortafolio">PortafolioPPR[[#Totals],[Market Value]]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D6" i="1"/>
  <c r="D7" i="1"/>
  <c r="G6" i="1"/>
  <c r="A7" i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H17" i="5"/>
  <c r="I17" i="5" s="1"/>
  <c r="G17" i="5"/>
  <c r="G6" i="5"/>
  <c r="G7" i="5"/>
  <c r="G8" i="5"/>
  <c r="G9" i="5"/>
  <c r="G10" i="5"/>
  <c r="G11" i="5"/>
  <c r="G12" i="5"/>
  <c r="G13" i="5"/>
  <c r="G14" i="5"/>
  <c r="G15" i="5"/>
  <c r="F2" i="3"/>
  <c r="F30" i="3"/>
  <c r="N15" i="3"/>
  <c r="N12" i="3"/>
  <c r="N27" i="3"/>
  <c r="N14" i="3"/>
  <c r="N29" i="3"/>
  <c r="N13" i="3"/>
  <c r="N16" i="3"/>
  <c r="N22" i="3"/>
  <c r="N23" i="3"/>
  <c r="N11" i="3"/>
  <c r="N28" i="3"/>
  <c r="N21" i="3"/>
  <c r="N6" i="3"/>
  <c r="N25" i="3"/>
  <c r="N20" i="3"/>
  <c r="N8" i="3"/>
  <c r="N24" i="3"/>
  <c r="N9" i="3"/>
  <c r="N18" i="3"/>
  <c r="N4" i="3"/>
  <c r="N10" i="3"/>
  <c r="N5" i="3"/>
  <c r="N26" i="3"/>
  <c r="N7" i="3"/>
  <c r="N19" i="3"/>
  <c r="N17" i="3"/>
  <c r="W2" i="3"/>
  <c r="S2" i="3"/>
  <c r="P2" i="3"/>
  <c r="O2" i="3"/>
  <c r="K2" i="3"/>
  <c r="I2" i="3"/>
  <c r="H2" i="3"/>
  <c r="G2" i="3"/>
  <c r="E2" i="3"/>
  <c r="J17" i="5" l="1"/>
  <c r="J15" i="5"/>
  <c r="J14" i="5"/>
  <c r="J13" i="5"/>
  <c r="J12" i="5"/>
  <c r="J11" i="5"/>
  <c r="J10" i="5"/>
  <c r="J9" i="5"/>
  <c r="J8" i="5"/>
  <c r="J7" i="5"/>
  <c r="N30" i="3"/>
  <c r="N2" i="3"/>
  <c r="C19" i="4"/>
  <c r="C21" i="3"/>
  <c r="J7" i="3"/>
  <c r="C7" i="3"/>
  <c r="D7" i="3" s="1"/>
  <c r="C18" i="3"/>
  <c r="C26" i="3"/>
  <c r="C16" i="3"/>
  <c r="J16" i="3" s="1"/>
  <c r="J2" i="3" s="1"/>
  <c r="C27" i="3"/>
  <c r="C24" i="3"/>
  <c r="L18" i="5"/>
  <c r="G16" i="5"/>
  <c r="I16" i="5" s="1"/>
  <c r="A7" i="5"/>
  <c r="A8" i="5" s="1"/>
  <c r="A9" i="5" s="1"/>
  <c r="A10" i="5" s="1"/>
  <c r="A11" i="5" s="1"/>
  <c r="A12" i="5" s="1"/>
  <c r="A15" i="5" s="1"/>
  <c r="A16" i="5" s="1"/>
  <c r="J16" i="5" l="1"/>
  <c r="D30" i="3"/>
  <c r="D2" i="3"/>
  <c r="G18" i="5"/>
  <c r="H6" i="5"/>
  <c r="J6" i="5" s="1"/>
  <c r="L8" i="1"/>
  <c r="G7" i="1"/>
  <c r="F7" i="1"/>
  <c r="F6" i="1"/>
  <c r="E7" i="1"/>
  <c r="E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L25" i="2"/>
  <c r="K25" i="2"/>
  <c r="J25" i="2"/>
  <c r="I25" i="2"/>
  <c r="H25" i="2"/>
  <c r="L24" i="2"/>
  <c r="K24" i="2"/>
  <c r="J24" i="2"/>
  <c r="I24" i="2"/>
  <c r="H24" i="2"/>
  <c r="K23" i="2"/>
  <c r="J23" i="2"/>
  <c r="I23" i="2"/>
  <c r="L23" i="2" s="1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L16" i="2"/>
  <c r="K16" i="2"/>
  <c r="J16" i="2"/>
  <c r="I16" i="2"/>
  <c r="H16" i="2"/>
  <c r="K15" i="2"/>
  <c r="J15" i="2"/>
  <c r="I15" i="2"/>
  <c r="L15" i="2" s="1"/>
  <c r="H15" i="2"/>
  <c r="K14" i="2"/>
  <c r="J14" i="2"/>
  <c r="I14" i="2"/>
  <c r="L14" i="2" s="1"/>
  <c r="H14" i="2"/>
  <c r="L13" i="2"/>
  <c r="K13" i="2"/>
  <c r="J13" i="2"/>
  <c r="I13" i="2"/>
  <c r="H13" i="2"/>
  <c r="L12" i="2"/>
  <c r="K12" i="2"/>
  <c r="J12" i="2"/>
  <c r="I12" i="2"/>
  <c r="H12" i="2"/>
  <c r="K11" i="2"/>
  <c r="J11" i="2"/>
  <c r="I11" i="2"/>
  <c r="L11" i="2" s="1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I7" i="2"/>
  <c r="J7" i="2" s="1"/>
  <c r="H7" i="2"/>
  <c r="K7" i="2" s="1"/>
  <c r="D10" i="4" l="1"/>
  <c r="D11" i="4" s="1"/>
  <c r="C15" i="4"/>
  <c r="H18" i="5"/>
  <c r="I6" i="5"/>
  <c r="I18" i="5" s="1"/>
  <c r="J18" i="5"/>
  <c r="I7" i="1"/>
  <c r="I6" i="1"/>
  <c r="G8" i="1"/>
  <c r="I32" i="2"/>
  <c r="L7" i="2" s="1"/>
  <c r="K6" i="2"/>
  <c r="J6" i="2"/>
  <c r="C17" i="4" l="1"/>
  <c r="C16" i="4"/>
  <c r="K6" i="5"/>
  <c r="K7" i="5"/>
  <c r="K8" i="5"/>
  <c r="K9" i="5"/>
  <c r="K10" i="5"/>
  <c r="K11" i="5"/>
  <c r="K12" i="5"/>
  <c r="K13" i="5"/>
  <c r="K16" i="5"/>
  <c r="K15" i="5"/>
  <c r="K14" i="5"/>
  <c r="K17" i="5"/>
  <c r="J7" i="1"/>
  <c r="J6" i="1"/>
  <c r="H8" i="1"/>
  <c r="J8" i="1" s="1"/>
  <c r="I8" i="1"/>
  <c r="L6" i="2"/>
  <c r="K18" i="5" l="1"/>
  <c r="K7" i="1"/>
  <c r="K6" i="1"/>
  <c r="W30" i="3"/>
  <c r="I30" i="3"/>
  <c r="O30" i="3"/>
  <c r="G30" i="3"/>
  <c r="P30" i="3"/>
  <c r="K30" i="3"/>
  <c r="J30" i="3"/>
  <c r="H30" i="3"/>
  <c r="S30" i="3"/>
  <c r="E30" i="3"/>
  <c r="K8" i="1" l="1"/>
</calcChain>
</file>

<file path=xl/sharedStrings.xml><?xml version="1.0" encoding="utf-8"?>
<sst xmlns="http://schemas.openxmlformats.org/spreadsheetml/2006/main" count="223" uniqueCount="187">
  <si>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</si>
  <si>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</si>
  <si>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</si>
  <si>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</si>
  <si>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</si>
  <si>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</si>
  <si>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</si>
  <si>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</si>
  <si>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</si>
  <si>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</si>
  <si>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</si>
  <si>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</si>
  <si>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</si>
  <si>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</si>
  <si>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</si>
  <si>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</si>
  <si>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</si>
  <si>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</si>
  <si>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</si>
  <si>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</si>
  <si>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</si>
  <si>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</si>
  <si>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</si>
  <si>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</si>
  <si>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</si>
  <si>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</si>
  <si>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</si>
  <si>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</si>
  <si>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</si>
  <si>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</si>
  <si>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</si>
  <si>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</si>
  <si>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</si>
  <si>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</si>
  <si>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</si>
  <si>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</si>
  <si>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</si>
  <si>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</si>
  <si>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</si>
  <si>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</si>
  <si>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</si>
  <si>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</si>
  <si>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</si>
  <si>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Valor Actual</t>
  </si>
  <si>
    <t>Numero</t>
  </si>
  <si>
    <t>Nombre</t>
  </si>
  <si>
    <t>Ticker</t>
  </si>
  <si>
    <t>Titulos</t>
  </si>
  <si>
    <t>Costo Promedio Unitario</t>
  </si>
  <si>
    <t>Valor a Compra</t>
  </si>
  <si>
    <t>Total</t>
  </si>
  <si>
    <t>Precio Actual Mercado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</si>
  <si>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</si>
  <si>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</si>
  <si>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</si>
  <si>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</si>
  <si>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</si>
  <si>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</si>
  <si>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</si>
  <si>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</si>
  <si>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</si>
  <si>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</si>
  <si>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</si>
  <si>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</si>
  <si>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</si>
  <si>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</si>
  <si>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</si>
  <si>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</si>
  <si>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</si>
  <si>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</si>
  <si>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</si>
  <si>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</si>
  <si>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</si>
  <si>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</si>
  <si>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</si>
  <si>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</si>
  <si>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</si>
  <si>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</si>
  <si>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</si>
  <si>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</si>
  <si>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</si>
  <si>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</si>
  <si>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</si>
  <si>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</si>
  <si>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</si>
  <si>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</si>
  <si>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</si>
  <si>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</si>
  <si>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</si>
  <si>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</si>
  <si>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</si>
  <si>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</si>
  <si>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</si>
  <si>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</si>
  <si>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</si>
  <si>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</si>
  <si>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</si>
  <si>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</si>
  <si>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</si>
  <si>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</si>
  <si>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</si>
  <si>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</si>
  <si>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</si>
  <si>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</si>
  <si>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</si>
  <si>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</si>
  <si>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</si>
  <si>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</si>
  <si>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</si>
  <si>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</si>
  <si>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</si>
  <si>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</si>
  <si>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</si>
  <si>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</si>
  <si>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</si>
  <si>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</si>
  <si>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</si>
  <si>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</si>
  <si>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</si>
  <si>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</si>
  <si>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</si>
  <si>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</si>
  <si>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</si>
  <si>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</si>
  <si>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</si>
  <si>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</si>
  <si>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</si>
  <si>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</si>
  <si>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</si>
  <si>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</si>
  <si>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</si>
  <si>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</si>
  <si>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</si>
  <si>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</si>
  <si>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</si>
  <si>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</si>
  <si>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</si>
  <si>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</si>
  <si>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</si>
  <si>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</si>
  <si>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</si>
  <si>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</si>
  <si>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</si>
  <si>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</si>
  <si>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</si>
  <si>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</si>
  <si>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Aportacion Ajustada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</si>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</sst>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&quot;$&quot;#,##0.00"/>
    <numFmt numFmtId="165" formatCode="dd/mm/yyyy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10" fontId="6" fillId="7" borderId="4" xfId="0" applyNumberFormat="1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5" fontId="8" fillId="0" borderId="0" xfId="0" applyNumberFormat="1" applyFont="1" applyAlignment="1">
      <alignment horizontal="right" vertical="center" wrapText="1"/>
    </xf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L8" totalsRowCount="1" dataDxfId="102" headerRowBorderDxfId="103" tableBorderDxfId="101" totalsRowBorderDxfId="100">
  <autoFilter ref="A5:L7" xr:uid="{B2E7D05C-1BEA-AD47-92E6-C3CB2B09A194}"/>
  <tableColumns count="12">
    <tableColumn id="1" xr3:uid="{99DAF86F-C0B2-F643-BB81-F37D6D1A1F3A}" name="Number" totalsRowLabel="Total" dataDxfId="23" totalsRowDxfId="22"/>
    <tableColumn id="2" xr3:uid="{17B66D0B-5207-2442-A00C-88E6E2BF7FB9}" name="Name" dataDxfId="21" totalsRowDxfId="20"/>
    <tableColumn id="3" xr3:uid="{18487A8A-6987-A140-B232-8DA643C88388}" name="Ticker" dataDxfId="19" totalsRowDxfId="18"/>
    <tableColumn id="4" xr3:uid="{C07234CC-369B-A84C-B926-494D7F3A1500}" name="Shares" dataDxfId="17" totalsRowDxfId="16"/>
    <tableColumn id="5" xr3:uid="{C2DEBF3E-5FD1-074F-BC1D-E38A6F812833}" name="Average Unit Cost" dataDxfId="15" totalsRowDxfId="14"/>
    <tableColumn id="6" xr3:uid="{90B66C6B-6407-F246-B90D-371FDC2687D5}" name="Current Unit Cost" dataDxfId="13" totalsRowDxfId="12"/>
    <tableColumn id="7" xr3:uid="{EDC496C8-679D-E84E-971B-07C9627E4D21}" name="Purchased Value" totalsRowFunction="sum" dataDxfId="11" totalsRowDxfId="10">
      <calculatedColumnFormula>IF(F6="","",D6*E6)</calculatedColumnFormula>
    </tableColumn>
    <tableColumn id="8" xr3:uid="{49E4EDC3-92B8-484D-899D-3A7EE78101C7}" name="Market Value" totalsRowFunction="sum" dataDxfId="9" totalsRowDxfId="8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7" totalsRowDxfId="6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5" totalsRowDxfId="4">
      <calculatedColumnFormula>IFERROR(PortafolioPPR[[#This Row],[Market Value]] / PortafolioPPR[[#This Row],[Purchased Value]] - 1, 0)</calculatedColumnFormula>
      <totalsRowFormula>(PortafolioPPR[[#Totals],[Market Value]]/PortafolioPPR[[#Totals],[Purchased Value]]) - 1</totalsRowFormula>
    </tableColumn>
    <tableColumn id="11" xr3:uid="{3914D248-815D-0B4A-BD64-B2EF4EA3B2F2}" name="Current Weight %" totalsRowFunction="sum" dataDxfId="3" totalsRowDxfId="2">
      <calculatedColumnFormula>IFERROR(PortafolioPPR[[#This Row],[Market Value]] / PortafolioPPR[[#Totals],[Market Value]], "")</calculatedColumnFormula>
    </tableColumn>
    <tableColumn id="12" xr3:uid="{C10D9C99-F7CF-E546-A3AC-2ADB182840DD}" name="Target Weight %" totalsRowFunction="sum" dataDxfId="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L18" totalsRowCount="1" dataDxfId="98" headerRowBorderDxfId="99" tableBorderDxfId="97" totalsRowBorderDxfId="96">
  <autoFilter ref="A5:L17" xr:uid="{B2E7D05C-1BEA-AD47-92E6-C3CB2B09A194}"/>
  <tableColumns count="12">
    <tableColumn id="1" xr3:uid="{C8814CEB-E8F7-8D41-A31B-1BD2ACD64E50}" name="Numero" totalsRowLabel="Total" dataDxfId="95" totalsRowDxfId="94"/>
    <tableColumn id="2" xr3:uid="{8A548F2D-B426-FF41-B7E0-DACBC870F5AF}" name="Nombre" dataDxfId="93" totalsRowDxfId="92"/>
    <tableColumn id="3" xr3:uid="{1D152614-BF6B-B348-8EB1-A629331F7174}" name="Ticker" dataDxfId="91" totalsRowDxfId="90"/>
    <tableColumn id="4" xr3:uid="{B4514CB4-1F57-7E48-9ECA-00A1D59DA77D}" name="Titulos" dataDxfId="89" totalsRowDxfId="88"/>
    <tableColumn id="5" xr3:uid="{5CAFE9C1-EC03-EF41-84CF-7A1483B7FC7B}" name="Costo Promedio Unitario" dataDxfId="87" totalsRowDxfId="86"/>
    <tableColumn id="6" xr3:uid="{AFEC35C0-656A-A142-90AA-D56911A0FCDB}" name="Precio Actual Mercado" dataDxfId="85" totalsRowDxfId="84"/>
    <tableColumn id="7" xr3:uid="{6DF47CB1-8739-9741-9F2B-0D4DE4421709}" name="Valor a Compra" totalsRowFunction="sum" dataDxfId="83" totalsRowDxfId="82">
      <calculatedColumnFormula>IF(F6="","",D6*E6)</calculatedColumnFormula>
    </tableColumn>
    <tableColumn id="8" xr3:uid="{95763DD0-3A2D-EC41-B582-A0E84F6F2332}" name="Valor Actual" totalsRowFunction="sum" dataDxfId="81" totalsRowDxfId="80">
      <calculatedColumnFormula>PortafolioIndizado[[#This Row],[Titulos]] * PortafolioIndizado[[#This Row],[Precio Actual Mercado]]</calculatedColumnFormula>
    </tableColumn>
    <tableColumn id="9" xr3:uid="{2E419918-A923-5544-BD89-029B3EE46672}" name="Ganancia / Pérdida $" totalsRowFunction="sum" dataDxfId="79" totalsRowDxfId="78">
      <calculatedColumnFormula>IFERROR(PortafolioIndizado[[#This Row],[Valor Actual]] - PortafolioIndizado[[#This Row],[Valor a Compra]], 0)</calculatedColumnFormula>
    </tableColumn>
    <tableColumn id="10" xr3:uid="{F409479A-F869-1F40-A6F4-F5C82C49A70B}" name="Ganancia / Pérdida %" totalsRowFunction="average" dataDxfId="77" totalsRowDxfId="76">
      <calculatedColumnFormula>IFERROR(PortafolioIndizado[[#This Row],[Valor Actual]] / PortafolioIndizado[[#This Row],[Valor a Compra]] - 1, 0)</calculatedColumnFormula>
    </tableColumn>
    <tableColumn id="11" xr3:uid="{A5067A91-D2CD-754E-8C53-1D48AC940F6F}" name="Peso %    Actual" totalsRowFunction="sum" dataDxfId="75" totalsRowDxfId="74">
      <calculatedColumnFormula>IFERROR(PortafolioIndizado[[#This Row],[Valor Actual]] / PortafolioIndizado[[#Totals],[Valor Actual]], "")</calculatedColumnFormula>
    </tableColumn>
    <tableColumn id="12" xr3:uid="{C39CA399-11BC-2941-8D40-27C203C6B766}" name="Peso % Objetivo" totalsRowFunction="sum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71" totalsRowDxfId="70">
  <autoFilter ref="A3:W29" xr:uid="{BD21888E-CC61-F646-8044-B791D97D4489}"/>
  <sortState xmlns:xlrd2="http://schemas.microsoft.com/office/spreadsheetml/2017/richdata2" ref="A4:W29">
    <sortCondition descending="1" ref="S3:S29"/>
  </sortState>
  <tableColumns count="23">
    <tableColumn id="1" xr3:uid="{739ADA7C-3F6F-2841-8A11-F9A07B970711}" name="Pais/Region" totalsRowLabel="Averages" dataDxfId="69" totalsRowDxfId="68"/>
    <tableColumn id="12" xr3:uid="{2CA46C66-DB6F-C347-81A5-19A179DA5045}" name="Instrumento" dataDxfId="67" totalsRowDxfId="66"/>
    <tableColumn id="25" xr3:uid="{13A658C2-8560-0D44-9968-C5967AE34276}" name="Currency (to USD)" dataDxfId="65" totalsRowDxfId="64"/>
    <tableColumn id="15" xr3:uid="{EAA46AA9-AB63-574B-890E-FBEE90ED6E6A}" name="GDP (USD billion)" totalsRowFunction="average" dataDxfId="63" totalsRowDxfId="62"/>
    <tableColumn id="3" xr3:uid="{E2D7B28C-9F29-564F-A34A-0DAB2984AECE}" name="Full Year GDP  Growth" totalsRowFunction="average" dataDxfId="61" totalsRowDxfId="60"/>
    <tableColumn id="27" xr3:uid="{CBA2B5C0-7883-804C-9DC5-47656F70CC0F}" name="GDP per capita PPP (USD)" totalsRowFunction="average" dataDxfId="59" totalsRowDxfId="58"/>
    <tableColumn id="11" xr3:uid="{F0B52934-F4F9-F24C-AB5F-0BCE31FDF3A5}" name="Unemployment" totalsRowFunction="average" dataDxfId="57" totalsRowDxfId="56"/>
    <tableColumn id="4" xr3:uid="{E56F852F-2693-394D-BAF8-77F7FC359DD2}" name="Inflation rate" totalsRowFunction="average" dataDxfId="55" totalsRowDxfId="54"/>
    <tableColumn id="18" xr3:uid="{67C307D8-D24B-B846-92E5-33B81E122F97}" name="Interest Rate" totalsRowFunction="average" dataDxfId="53" totalsRowDxfId="52"/>
    <tableColumn id="19" xr3:uid="{A6D02B5D-41AB-DB4C-9D4F-435149E0F881}" name="Foreign Exchange Reserves (USD Million)" totalsRowFunction="average" dataDxfId="51" totalsRowDxfId="50"/>
    <tableColumn id="24" xr3:uid="{BEF03C62-542E-864B-8B55-8F6899B168DB}" name="Balance Trade (USD Million)" totalsRowFunction="average" dataDxfId="49" totalsRowDxfId="48"/>
    <tableColumn id="30" xr3:uid="{3F99F235-4249-2D4E-82AE-570C90BBA2D2}" name="Exports (USD Million)" dataDxfId="47" totalsRowDxfId="46"/>
    <tableColumn id="31" xr3:uid="{7FEE0F96-FA6B-2047-9BCE-FF793DA3330A}" name="Imports (USD Million)" dataDxfId="45" totalsRowDxfId="44"/>
    <tableColumn id="29" xr3:uid="{1E8DD1B2-05A9-D94E-B831-B24FAA229BF7}" name="Balance Trade %" totalsRowFunction="average" dataDxfId="43" totalsRowDxfId="42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41" totalsRowDxfId="40"/>
    <tableColumn id="14" xr3:uid="{8A51E0B4-0C14-3849-A979-EBA0F153CCC7}" name="Debt to GDP" totalsRowFunction="average" dataDxfId="39" totalsRowDxfId="38"/>
    <tableColumn id="16" xr3:uid="{59E689EF-08B8-DA4A-9221-59F6B80F9B50}" name="Business Confidence" dataDxfId="37" totalsRowDxfId="36"/>
    <tableColumn id="17" xr3:uid="{A642E396-4E1F-894B-A0CD-42C1052B1C45}" name="Consumer Confidence" dataDxfId="35" totalsRowDxfId="34"/>
    <tableColumn id="7" xr3:uid="{622F34A1-A765-014C-9BC0-655F28BF1634}" name="Economic Freedom" totalsRowFunction="average" dataDxfId="33" totalsRowDxfId="32"/>
    <tableColumn id="13" xr3:uid="{128CEF61-4F83-534A-9ECC-9DE8E21D3429}" name="Resumen" dataDxfId="31" totalsRowDxfId="30"/>
    <tableColumn id="8" xr3:uid="{D45E3999-1ECD-3345-AAA3-EB533122E44D}" name="Notas" dataDxfId="29" totalsRowDxfId="28"/>
    <tableColumn id="9" xr3:uid="{C802BDFB-BF6E-9049-B799-422F5F90A600}" name="Fortalezas" dataDxfId="27" totalsRowDxfId="26"/>
    <tableColumn id="10" xr3:uid="{44D49588-6919-4049-B764-44C08A706E60}" name="Debilidades" totalsRowFunction="count" dataDxfId="25" totalsRow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Z967"/>
  <sheetViews>
    <sheetView topLeftCell="C1" zoomScale="150" zoomScaleNormal="150" workbookViewId="0">
      <selection activeCell="I15" sqref="I15"/>
    </sheetView>
  </sheetViews>
  <sheetFormatPr baseColWidth="10"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28"/>
      <c r="B2" s="129"/>
      <c r="C2" s="129"/>
      <c r="D2" s="130" t="s">
        <v>0</v>
      </c>
      <c r="E2" s="131"/>
      <c r="F2" s="131"/>
      <c r="G2" s="131"/>
      <c r="H2" s="131"/>
      <c r="I2" s="132"/>
      <c r="J2" s="133" t="s">
        <v>1</v>
      </c>
      <c r="K2" s="131"/>
      <c r="L2" s="13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4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37" t="s">
        <v>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176</v>
      </c>
      <c r="B5" s="41" t="s">
        <v>177</v>
      </c>
      <c r="C5" s="27" t="s">
        <v>46</v>
      </c>
      <c r="D5" s="27" t="s">
        <v>178</v>
      </c>
      <c r="E5" s="27" t="s">
        <v>183</v>
      </c>
      <c r="F5" s="29" t="s">
        <v>184</v>
      </c>
      <c r="G5" s="30" t="s">
        <v>185</v>
      </c>
      <c r="H5" s="30" t="s">
        <v>186</v>
      </c>
      <c r="I5" s="30" t="s">
        <v>179</v>
      </c>
      <c r="J5" s="27" t="s">
        <v>180</v>
      </c>
      <c r="K5" s="27" t="s">
        <v>181</v>
      </c>
      <c r="L5" s="127" t="s">
        <v>182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174</v>
      </c>
      <c r="C6" s="10" t="s">
        <v>41</v>
      </c>
      <c r="D6" s="11">
        <f>NasdaqInicialUnidades+NasdaqComprometidoUnidades</f>
        <v>26</v>
      </c>
      <c r="E6" s="12">
        <f>NasdaqComprometidoValorUnitario</f>
        <v>163.6018</v>
      </c>
      <c r="F6" s="12">
        <f>NasdaqComprometidoValorUnitario</f>
        <v>163.6018</v>
      </c>
      <c r="G6" s="13">
        <f>AportacionesAcumuladas*NasdaqPonderacion</f>
        <v>4600</v>
      </c>
      <c r="H6" s="13">
        <v>1794.4</v>
      </c>
      <c r="I6" s="13">
        <f>IFERROR(PortafolioPPR[[#This Row],[Market Value]] - PortafolioPPR[[#This Row],[Purchased Value]], 0)</f>
        <v>-2805.6</v>
      </c>
      <c r="J6" s="14">
        <f>IFERROR(PortafolioPPR[[#This Row],[Market Value]] / PortafolioPPR[[#This Row],[Purchased Value]] - 1, 0)</f>
        <v>-0.60991304347826092</v>
      </c>
      <c r="K6" s="15">
        <f>IFERROR(PortafolioPPR[[#This Row],[Market Value]] / PortafolioPPR[[#Totals],[Market Value]], "")</f>
        <v>0.17692448763480831</v>
      </c>
      <c r="L6" s="26">
        <f>NasdaqPonderacion</f>
        <v>0.2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175</v>
      </c>
      <c r="C7" s="10" t="s">
        <v>42</v>
      </c>
      <c r="D7" s="11">
        <f>DDInicialUnidades+DDComprometidoUnidades</f>
        <v>35</v>
      </c>
      <c r="E7" s="12">
        <f>DDComprometidoValorUnitario</f>
        <v>546.75890000000004</v>
      </c>
      <c r="F7" s="12">
        <f>DDComprometidoValorUnitario</f>
        <v>546.75890000000004</v>
      </c>
      <c r="G7" s="13">
        <f>AportacionesAcumuladas*DDPonderacion</f>
        <v>18400</v>
      </c>
      <c r="H7" s="13">
        <v>8347.7800000000007</v>
      </c>
      <c r="I7" s="13">
        <f>IFERROR(PortafolioPPR[[#This Row],[Market Value]] - PortafolioPPR[[#This Row],[Purchased Value]], 0)</f>
        <v>-10052.219999999999</v>
      </c>
      <c r="J7" s="14">
        <f>IFERROR(PortafolioPPR[[#This Row],[Market Value]] / PortafolioPPR[[#This Row],[Purchased Value]] - 1, 0)</f>
        <v>-0.54631630434782608</v>
      </c>
      <c r="K7" s="15">
        <f>IFERROR(PortafolioPPR[[#This Row],[Market Value]] / PortafolioPPR[[#Totals],[Market Value]], "")</f>
        <v>0.82307551236519172</v>
      </c>
      <c r="L7" s="26">
        <f>DDPonderacion</f>
        <v>0.8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2" t="s">
        <v>50</v>
      </c>
      <c r="B8" s="33"/>
      <c r="C8" s="34"/>
      <c r="D8" s="35"/>
      <c r="E8" s="35"/>
      <c r="F8" s="35"/>
      <c r="G8" s="37">
        <f>SUBTOTAL(109,PortafolioPPR[Purchased Value])</f>
        <v>23000</v>
      </c>
      <c r="H8" s="37">
        <f>SUBTOTAL(109,PortafolioPPR[Market Value])</f>
        <v>10142.18</v>
      </c>
      <c r="I8" s="37">
        <f>SUBTOTAL(109,PortafolioPPR[Balance])</f>
        <v>-12857.82</v>
      </c>
      <c r="J8" s="38">
        <f>(PortafolioPPR[[#Totals],[Market Value]]/PortafolioPPR[[#Totals],[Purchased Value]]) - 1</f>
        <v>-0.55903565217391304</v>
      </c>
      <c r="K8" s="39">
        <f>SUBTOTAL(109,PortafolioPPR[Current Weight %])</f>
        <v>1</v>
      </c>
      <c r="L8" s="40">
        <f>SUBTOTAL(109,PortafolioPPR[Target Weight %])</f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25"/>
      <c r="B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D12" s="1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26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26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26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26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26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tabSelected="1" zoomScale="200" zoomScaleNormal="200" workbookViewId="0">
      <selection activeCell="B2" sqref="B2"/>
    </sheetView>
  </sheetViews>
  <sheetFormatPr baseColWidth="10" defaultRowHeight="12.75" x14ac:dyDescent="0.35"/>
  <cols>
    <col min="1" max="1" width="33.6640625" customWidth="1"/>
    <col min="2" max="2" width="17.3984375" customWidth="1"/>
    <col min="3" max="4" width="12.1328125" bestFit="1" customWidth="1"/>
  </cols>
  <sheetData>
    <row r="1" spans="1:5" x14ac:dyDescent="0.35">
      <c r="A1" s="43" t="s">
        <v>61</v>
      </c>
      <c r="B1" s="46">
        <v>45359</v>
      </c>
      <c r="C1" s="42"/>
      <c r="D1" s="24"/>
      <c r="E1" s="24"/>
    </row>
    <row r="2" spans="1:5" x14ac:dyDescent="0.35">
      <c r="A2" s="43" t="s">
        <v>53</v>
      </c>
      <c r="B2" s="44">
        <v>23000</v>
      </c>
    </row>
    <row r="3" spans="1:5" x14ac:dyDescent="0.35">
      <c r="A3" s="24"/>
    </row>
    <row r="4" spans="1:5" ht="25.5" x14ac:dyDescent="0.35">
      <c r="A4" s="43" t="s">
        <v>54</v>
      </c>
      <c r="B4" s="43" t="s">
        <v>52</v>
      </c>
      <c r="C4" s="43" t="s">
        <v>55</v>
      </c>
      <c r="D4" s="43" t="s">
        <v>56</v>
      </c>
      <c r="E4" s="43" t="s">
        <v>62</v>
      </c>
    </row>
    <row r="5" spans="1:5" x14ac:dyDescent="0.35">
      <c r="A5" s="24" t="s">
        <v>57</v>
      </c>
      <c r="B5" s="45">
        <v>26</v>
      </c>
      <c r="C5" s="47">
        <v>163.6018</v>
      </c>
      <c r="D5" s="44">
        <f>B5*C5</f>
        <v>4253.6467999999995</v>
      </c>
      <c r="E5" s="48"/>
    </row>
    <row r="6" spans="1:5" x14ac:dyDescent="0.35">
      <c r="A6" s="24" t="s">
        <v>58</v>
      </c>
      <c r="B6" s="45">
        <v>0</v>
      </c>
      <c r="C6" s="47">
        <v>163.6018</v>
      </c>
      <c r="D6" s="44">
        <f t="shared" ref="D6:D8" si="0">B6*C6</f>
        <v>0</v>
      </c>
      <c r="E6" s="48">
        <v>0.2</v>
      </c>
    </row>
    <row r="7" spans="1:5" x14ac:dyDescent="0.35">
      <c r="A7" s="24" t="s">
        <v>59</v>
      </c>
      <c r="B7" s="45">
        <v>35</v>
      </c>
      <c r="C7" s="47">
        <v>546.75890000000004</v>
      </c>
      <c r="D7" s="44">
        <f t="shared" si="0"/>
        <v>19136.5615</v>
      </c>
      <c r="E7" s="48"/>
    </row>
    <row r="8" spans="1:5" x14ac:dyDescent="0.35">
      <c r="A8" s="24" t="s">
        <v>60</v>
      </c>
      <c r="B8" s="45">
        <v>0</v>
      </c>
      <c r="C8" s="47">
        <v>546.75890000000004</v>
      </c>
      <c r="D8" s="44">
        <f t="shared" si="0"/>
        <v>0</v>
      </c>
      <c r="E8" s="48">
        <v>0.8</v>
      </c>
    </row>
    <row r="9" spans="1:5" x14ac:dyDescent="0.35">
      <c r="A9" s="24" t="s">
        <v>151</v>
      </c>
      <c r="D9" s="97">
        <v>114798.57</v>
      </c>
    </row>
    <row r="10" spans="1:5" x14ac:dyDescent="0.35">
      <c r="A10" s="24" t="s">
        <v>152</v>
      </c>
      <c r="D10" s="97">
        <f>SUM(D5:D8)</f>
        <v>23390.208299999998</v>
      </c>
    </row>
    <row r="11" spans="1:5" x14ac:dyDescent="0.35">
      <c r="A11" s="24" t="s">
        <v>153</v>
      </c>
      <c r="D11" s="97">
        <f>D9+D10</f>
        <v>138188.77830000001</v>
      </c>
    </row>
    <row r="15" spans="1:5" x14ac:dyDescent="0.35">
      <c r="B15" s="24" t="s">
        <v>142</v>
      </c>
      <c r="C15" s="97">
        <f>D7+D5</f>
        <v>23390.208299999998</v>
      </c>
    </row>
    <row r="16" spans="1:5" x14ac:dyDescent="0.35">
      <c r="A16" s="24"/>
      <c r="B16" s="24" t="s">
        <v>143</v>
      </c>
      <c r="C16" s="97">
        <f>C15*0.009</f>
        <v>210.51187469999996</v>
      </c>
    </row>
    <row r="17" spans="2:6" x14ac:dyDescent="0.35">
      <c r="B17" s="24" t="s">
        <v>144</v>
      </c>
      <c r="C17" s="97">
        <f>C15*0.001</f>
        <v>23.390208299999998</v>
      </c>
    </row>
    <row r="18" spans="2:6" x14ac:dyDescent="0.35">
      <c r="B18" s="24" t="s">
        <v>145</v>
      </c>
      <c r="C18" s="44">
        <v>10254</v>
      </c>
    </row>
    <row r="19" spans="2:6" x14ac:dyDescent="0.35">
      <c r="B19" s="24" t="s">
        <v>146</v>
      </c>
      <c r="C19" s="97">
        <f>C18-8300</f>
        <v>1954</v>
      </c>
    </row>
    <row r="21" spans="2:6" x14ac:dyDescent="0.35">
      <c r="B21" s="24"/>
    </row>
    <row r="22" spans="2:6" x14ac:dyDescent="0.35">
      <c r="E22" s="24" t="s">
        <v>147</v>
      </c>
      <c r="F22">
        <v>10254</v>
      </c>
    </row>
    <row r="23" spans="2:6" x14ac:dyDescent="0.35">
      <c r="E23" s="24" t="s">
        <v>148</v>
      </c>
      <c r="F23">
        <v>24000</v>
      </c>
    </row>
    <row r="24" spans="2:6" x14ac:dyDescent="0.35">
      <c r="E24" s="24" t="s">
        <v>149</v>
      </c>
      <c r="F24">
        <v>20407</v>
      </c>
    </row>
    <row r="25" spans="2:6" x14ac:dyDescent="0.35">
      <c r="E25" s="24" t="s">
        <v>150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Z978"/>
  <sheetViews>
    <sheetView zoomScale="150" zoomScaleNormal="150" workbookViewId="0">
      <selection activeCell="E6" sqref="E6"/>
    </sheetView>
  </sheetViews>
  <sheetFormatPr baseColWidth="10"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28"/>
      <c r="B2" s="129"/>
      <c r="C2" s="129"/>
      <c r="D2" s="130" t="s">
        <v>0</v>
      </c>
      <c r="E2" s="131"/>
      <c r="F2" s="131"/>
      <c r="G2" s="131"/>
      <c r="H2" s="131"/>
      <c r="I2" s="132"/>
      <c r="J2" s="133" t="s">
        <v>1</v>
      </c>
      <c r="K2" s="131"/>
      <c r="L2" s="13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4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37" t="s">
        <v>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44</v>
      </c>
      <c r="B5" s="41" t="s">
        <v>45</v>
      </c>
      <c r="C5" s="27" t="s">
        <v>46</v>
      </c>
      <c r="D5" s="27" t="s">
        <v>47</v>
      </c>
      <c r="E5" s="27" t="s">
        <v>48</v>
      </c>
      <c r="F5" s="29" t="s">
        <v>51</v>
      </c>
      <c r="G5" s="30" t="s">
        <v>49</v>
      </c>
      <c r="H5" s="30" t="s">
        <v>43</v>
      </c>
      <c r="I5" s="30" t="s">
        <v>9</v>
      </c>
      <c r="J5" s="28" t="s">
        <v>10</v>
      </c>
      <c r="K5" s="28" t="s">
        <v>11</v>
      </c>
      <c r="L5" s="31" t="s">
        <v>12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108</v>
      </c>
      <c r="C6" s="10" t="s">
        <v>78</v>
      </c>
      <c r="D6" s="11"/>
      <c r="E6" s="12"/>
      <c r="F6" s="12">
        <v>1371</v>
      </c>
      <c r="G6" s="13">
        <f>PortafolioIndizado[[#This Row],[Titulos]] * PortafolioIndizado[[#This Row],[Costo Promedio Unitario]]</f>
        <v>0</v>
      </c>
      <c r="H6" s="13">
        <f>PortafolioIndizado[[#This Row],[Titulos]] * PortafolioIndizado[[#This Row],[Precio Actual Mercado]]</f>
        <v>0</v>
      </c>
      <c r="I6" s="13">
        <f>IFERROR(PortafolioIndizado[[#This Row],[Valor Actual]] - PortafolioIndizado[[#This Row],[Valor a Compra]], 0)</f>
        <v>0</v>
      </c>
      <c r="J6" s="14">
        <f>IFERROR(PortafolioIndizado[[#This Row],[Valor Actual]] / PortafolioIndizado[[#This Row],[Valor a Compra]] - 1, 0)</f>
        <v>0</v>
      </c>
      <c r="K6" s="15" t="str">
        <f>IFERROR(PortafolioIndizado[[#This Row],[Valor Actual]] / PortafolioIndizado[[#Totals],[Valor Actual]], "")</f>
        <v/>
      </c>
      <c r="L6" s="26">
        <v>0.4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94</v>
      </c>
      <c r="C7" s="10" t="s">
        <v>77</v>
      </c>
      <c r="D7" s="11"/>
      <c r="E7" s="12"/>
      <c r="F7" s="12">
        <v>820</v>
      </c>
      <c r="G7" s="13">
        <f>PortafolioIndizado[[#This Row],[Titulos]] * PortafolioIndizado[[#This Row],[Costo Promedio Unitario]]</f>
        <v>0</v>
      </c>
      <c r="H7" s="13">
        <f>PortafolioIndizado[[#This Row],[Titulos]] * PortafolioIndizado[[#This Row],[Precio Actual Mercado]]</f>
        <v>0</v>
      </c>
      <c r="I7" s="13">
        <f>IFERROR(PortafolioIndizado[[#This Row],[Valor Actual]] - PortafolioIndizado[[#This Row],[Valor a Compra]], 0)</f>
        <v>0</v>
      </c>
      <c r="J7" s="14">
        <f>IFERROR(PortafolioIndizado[[#This Row],[Valor Actual]] / PortafolioIndizado[[#This Row],[Valor a Compra]] - 1, 0)</f>
        <v>0</v>
      </c>
      <c r="K7" s="15" t="str">
        <f>IFERROR(PortafolioIndizado[[#This Row],[Valor Actual]] / PortafolioIndizado[[#Totals],[Valor Actual]], "")</f>
        <v/>
      </c>
      <c r="L7" s="26">
        <v>0.05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25">
        <f t="shared" ref="A8:A16" si="0">A7 + 1</f>
        <v>3</v>
      </c>
      <c r="B8" s="23" t="s">
        <v>26</v>
      </c>
      <c r="C8" s="10" t="s">
        <v>79</v>
      </c>
      <c r="D8" s="11"/>
      <c r="E8" s="12"/>
      <c r="F8" s="12">
        <v>52.85</v>
      </c>
      <c r="G8" s="13">
        <f>PortafolioIndizado[[#This Row],[Titulos]] * PortafolioIndizado[[#This Row],[Costo Promedio Unitario]]</f>
        <v>0</v>
      </c>
      <c r="H8" s="13">
        <f>PortafolioIndizado[[#This Row],[Titulos]] * PortafolioIndizado[[#This Row],[Precio Actual Mercado]]</f>
        <v>0</v>
      </c>
      <c r="I8" s="13">
        <f>IFERROR(PortafolioIndizado[[#This Row],[Valor Actual]] - PortafolioIndizado[[#This Row],[Valor a Compra]], 0)</f>
        <v>0</v>
      </c>
      <c r="J8" s="14">
        <f>IFERROR(PortafolioIndizado[[#This Row],[Valor Actual]] / PortafolioIndizado[[#This Row],[Valor a Compra]] - 1, 0)</f>
        <v>0</v>
      </c>
      <c r="K8" s="15" t="str">
        <f>IFERROR(PortafolioIndizado[[#This Row],[Valor Actual]] / PortafolioIndizado[[#Totals],[Valor Actual]], "")</f>
        <v/>
      </c>
      <c r="L8" s="26">
        <v>2.5000000000000001E-2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25">
        <f>A8 + 1</f>
        <v>4</v>
      </c>
      <c r="B9" s="23" t="s">
        <v>27</v>
      </c>
      <c r="C9" s="10" t="s">
        <v>80</v>
      </c>
      <c r="D9" s="11"/>
      <c r="E9" s="12"/>
      <c r="F9" s="12">
        <v>501.39</v>
      </c>
      <c r="G9" s="13">
        <f>PortafolioIndizado[[#This Row],[Titulos]] * PortafolioIndizado[[#This Row],[Costo Promedio Unitario]]</f>
        <v>0</v>
      </c>
      <c r="H9" s="13">
        <f>PortafolioIndizado[[#This Row],[Titulos]] * PortafolioIndizado[[#This Row],[Precio Actual Mercado]]</f>
        <v>0</v>
      </c>
      <c r="I9" s="13">
        <f>IFERROR(PortafolioIndizado[[#This Row],[Valor Actual]] - PortafolioIndizado[[#This Row],[Valor a Compra]], 0)</f>
        <v>0</v>
      </c>
      <c r="J9" s="14">
        <f>IFERROR(PortafolioIndizado[[#This Row],[Valor Actual]] / PortafolioIndizado[[#This Row],[Valor a Compra]] - 1, 0)</f>
        <v>0</v>
      </c>
      <c r="K9" s="15" t="str">
        <f>IFERROR(PortafolioIndizado[[#This Row],[Valor Actual]] / PortafolioIndizado[[#Totals],[Valor Actual]], "")</f>
        <v/>
      </c>
      <c r="L9" s="26">
        <v>2.5000000000000001E-2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25">
        <f t="shared" si="0"/>
        <v>5</v>
      </c>
      <c r="B10" s="23" t="s">
        <v>170</v>
      </c>
      <c r="C10" s="10" t="s">
        <v>171</v>
      </c>
      <c r="D10" s="11"/>
      <c r="E10" s="12"/>
      <c r="F10" s="12">
        <v>1481.76</v>
      </c>
      <c r="G10" s="13">
        <f>PortafolioIndizado[[#This Row],[Titulos]] * PortafolioIndizado[[#This Row],[Costo Promedio Unitario]]</f>
        <v>0</v>
      </c>
      <c r="H10" s="13">
        <f>PortafolioIndizado[[#This Row],[Titulos]] * PortafolioIndizado[[#This Row],[Precio Actual Mercado]]</f>
        <v>0</v>
      </c>
      <c r="I10" s="13">
        <f>IFERROR(PortafolioIndizado[[#This Row],[Valor Actual]] - PortafolioIndizado[[#This Row],[Valor a Compra]], 0)</f>
        <v>0</v>
      </c>
      <c r="J10" s="14">
        <f>IFERROR(PortafolioIndizado[[#This Row],[Valor Actual]] / PortafolioIndizado[[#This Row],[Valor a Compra]] - 1, 0)</f>
        <v>0</v>
      </c>
      <c r="K10" s="15" t="str">
        <f>IFERROR(PortafolioIndizado[[#This Row],[Valor Actual]] / PortafolioIndizado[[#Totals],[Valor Actual]], "")</f>
        <v/>
      </c>
      <c r="L10" s="26">
        <v>0.2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9" customHeight="1" x14ac:dyDescent="0.35">
      <c r="A11" s="25">
        <f t="shared" si="0"/>
        <v>6</v>
      </c>
      <c r="B11" s="23" t="s">
        <v>92</v>
      </c>
      <c r="C11" s="10" t="s">
        <v>93</v>
      </c>
      <c r="D11" s="11"/>
      <c r="E11" s="12"/>
      <c r="F11" s="12">
        <v>1250</v>
      </c>
      <c r="G11" s="13">
        <f>PortafolioIndizado[[#This Row],[Titulos]] * PortafolioIndizado[[#This Row],[Costo Promedio Unitario]]</f>
        <v>0</v>
      </c>
      <c r="H11" s="13">
        <f>PortafolioIndizado[[#This Row],[Titulos]] * PortafolioIndizado[[#This Row],[Precio Actual Mercado]]</f>
        <v>0</v>
      </c>
      <c r="I11" s="13">
        <f>IFERROR(PortafolioIndizado[[#This Row],[Valor Actual]] - PortafolioIndizado[[#This Row],[Valor a Compra]], 0)</f>
        <v>0</v>
      </c>
      <c r="J11" s="14">
        <f>IFERROR(PortafolioIndizado[[#This Row],[Valor Actual]] / PortafolioIndizado[[#This Row],[Valor a Compra]] - 1, 0)</f>
        <v>0</v>
      </c>
      <c r="K11" s="15" t="str">
        <f>IFERROR(PortafolioIndizado[[#This Row],[Valor Actual]] / PortafolioIndizado[[#Totals],[Valor Actual]], "")</f>
        <v/>
      </c>
      <c r="L11" s="26">
        <v>0.02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15" x14ac:dyDescent="0.35">
      <c r="A12" s="25">
        <f t="shared" si="0"/>
        <v>7</v>
      </c>
      <c r="B12" s="33" t="s">
        <v>24</v>
      </c>
      <c r="C12" s="34" t="s">
        <v>76</v>
      </c>
      <c r="D12" s="35"/>
      <c r="E12" s="36"/>
      <c r="F12" s="36">
        <v>1077.1500000000001</v>
      </c>
      <c r="G12" s="13">
        <f>PortafolioIndizado[[#This Row],[Titulos]] * PortafolioIndizado[[#This Row],[Costo Promedio Unitario]]</f>
        <v>0</v>
      </c>
      <c r="H12" s="13">
        <f>PortafolioIndizado[[#This Row],[Titulos]] * PortafolioIndizado[[#This Row],[Precio Actual Mercado]]</f>
        <v>0</v>
      </c>
      <c r="I12" s="13">
        <f>IFERROR(PortafolioIndizado[[#This Row],[Valor Actual]] - PortafolioIndizado[[#This Row],[Valor a Compra]], 0)</f>
        <v>0</v>
      </c>
      <c r="J12" s="14">
        <f>IFERROR(PortafolioIndizado[[#This Row],[Valor Actual]] / PortafolioIndizado[[#This Row],[Valor a Compra]] - 1, 0)</f>
        <v>0</v>
      </c>
      <c r="K12" s="15" t="str">
        <f>IFERROR(PortafolioIndizado[[#This Row],[Valor Actual]] / PortafolioIndizado[[#Totals],[Valor Actual]], "")</f>
        <v/>
      </c>
      <c r="L12" s="40">
        <v>0.03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15" x14ac:dyDescent="0.35">
      <c r="A13" s="25">
        <v>8</v>
      </c>
      <c r="B13" s="23" t="s">
        <v>28</v>
      </c>
      <c r="C13" s="10" t="s">
        <v>81</v>
      </c>
      <c r="D13" s="11"/>
      <c r="E13" s="12"/>
      <c r="F13" s="12">
        <v>1146</v>
      </c>
      <c r="G13" s="13">
        <f>PortafolioIndizado[[#This Row],[Titulos]] * PortafolioIndizado[[#This Row],[Costo Promedio Unitario]]</f>
        <v>0</v>
      </c>
      <c r="H13" s="13">
        <f>PortafolioIndizado[[#This Row],[Titulos]] * PortafolioIndizado[[#This Row],[Precio Actual Mercado]]</f>
        <v>0</v>
      </c>
      <c r="I13" s="13">
        <f>IFERROR(PortafolioIndizado[[#This Row],[Valor Actual]] - PortafolioIndizado[[#This Row],[Valor a Compra]], 0)</f>
        <v>0</v>
      </c>
      <c r="J13" s="14">
        <f>IFERROR(PortafolioIndizado[[#This Row],[Valor Actual]] / PortafolioIndizado[[#This Row],[Valor a Compra]] - 1, 0)</f>
        <v>0</v>
      </c>
      <c r="K13" s="15" t="str">
        <f>IFERROR(PortafolioIndizado[[#This Row],[Valor Actual]] / PortafolioIndizado[[#Totals],[Valor Actual]], "")</f>
        <v/>
      </c>
      <c r="L13" s="26">
        <v>0.1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15" x14ac:dyDescent="0.35">
      <c r="A14" s="25">
        <v>9</v>
      </c>
      <c r="B14" s="23" t="s">
        <v>32</v>
      </c>
      <c r="C14" s="10" t="s">
        <v>86</v>
      </c>
      <c r="D14" s="11"/>
      <c r="E14" s="12"/>
      <c r="F14" s="12">
        <v>1125.23</v>
      </c>
      <c r="G14" s="13">
        <f>PortafolioIndizado[[#This Row],[Titulos]] * PortafolioIndizado[[#This Row],[Costo Promedio Unitario]]</f>
        <v>0</v>
      </c>
      <c r="H14" s="13">
        <f>PortafolioIndizado[[#This Row],[Titulos]] * PortafolioIndizado[[#This Row],[Precio Actual Mercado]]</f>
        <v>0</v>
      </c>
      <c r="I14" s="13">
        <f>IFERROR(PortafolioIndizado[[#This Row],[Valor Actual]] - PortafolioIndizado[[#This Row],[Valor a Compra]], 0)</f>
        <v>0</v>
      </c>
      <c r="J14" s="14">
        <f>IFERROR(PortafolioIndizado[[#This Row],[Valor Actual]] / PortafolioIndizado[[#This Row],[Valor a Compra]] - 1, 0)</f>
        <v>0</v>
      </c>
      <c r="K14" s="15" t="str">
        <f>IFERROR(PortafolioIndizado[[#This Row],[Valor Actual]] / PortafolioIndizado[[#Totals],[Valor Actual]], "")</f>
        <v/>
      </c>
      <c r="L14" s="26">
        <v>0.04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15" x14ac:dyDescent="0.35">
      <c r="A15" s="25">
        <f t="shared" si="0"/>
        <v>10</v>
      </c>
      <c r="B15" s="23" t="s">
        <v>31</v>
      </c>
      <c r="C15" s="10" t="s">
        <v>85</v>
      </c>
      <c r="D15" s="11"/>
      <c r="E15" s="12"/>
      <c r="F15" s="12">
        <v>990.01</v>
      </c>
      <c r="G15" s="13">
        <f>PortafolioIndizado[[#This Row],[Titulos]] * PortafolioIndizado[[#This Row],[Costo Promedio Unitario]]</f>
        <v>0</v>
      </c>
      <c r="H15" s="13">
        <f>PortafolioIndizado[[#This Row],[Titulos]] * PortafolioIndizado[[#This Row],[Precio Actual Mercado]]</f>
        <v>0</v>
      </c>
      <c r="I15" s="13">
        <f>IFERROR(PortafolioIndizado[[#This Row],[Valor Actual]] - PortafolioIndizado[[#This Row],[Valor a Compra]], 0)</f>
        <v>0</v>
      </c>
      <c r="J15" s="14">
        <f>IFERROR(PortafolioIndizado[[#This Row],[Valor Actual]] / PortafolioIndizado[[#This Row],[Valor a Compra]] - 1, 0)</f>
        <v>0</v>
      </c>
      <c r="K15" s="15" t="str">
        <f>IFERROR(PortafolioIndizado[[#This Row],[Valor Actual]] / PortafolioIndizado[[#Totals],[Valor Actual]], "")</f>
        <v/>
      </c>
      <c r="L15" s="26">
        <v>0.03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25">
        <f t="shared" si="0"/>
        <v>11</v>
      </c>
      <c r="B16" s="23" t="s">
        <v>29</v>
      </c>
      <c r="C16" s="10" t="s">
        <v>82</v>
      </c>
      <c r="D16" s="11"/>
      <c r="E16" s="12"/>
      <c r="F16" s="12">
        <v>483</v>
      </c>
      <c r="G16" s="13">
        <f>PortafolioIndizado[[#This Row],[Titulos]] * PortafolioIndizado[[#This Row],[Costo Promedio Unitario]]</f>
        <v>0</v>
      </c>
      <c r="H16" s="13">
        <f>PortafolioIndizado[[#This Row],[Titulos]] * PortafolioIndizado[[#This Row],[Precio Actual Mercado]]</f>
        <v>0</v>
      </c>
      <c r="I16" s="13">
        <f>IFERROR(PortafolioIndizado[[#This Row],[Valor Actual]] - PortafolioIndizado[[#This Row],[Valor a Compra]], 0)</f>
        <v>0</v>
      </c>
      <c r="J16" s="14">
        <f>IFERROR(PortafolioIndizado[[#This Row],[Valor Actual]] / PortafolioIndizado[[#This Row],[Valor a Compra]] - 1, 0)</f>
        <v>0</v>
      </c>
      <c r="K16" s="15" t="str">
        <f>IFERROR(PortafolioIndizado[[#This Row],[Valor Actual]] / PortafolioIndizado[[#Totals],[Valor Actual]], "")</f>
        <v/>
      </c>
      <c r="L16" s="26">
        <v>0.05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9" customHeight="1" x14ac:dyDescent="0.35">
      <c r="A17" s="25">
        <v>12</v>
      </c>
      <c r="B17" s="23" t="s">
        <v>30</v>
      </c>
      <c r="C17" s="10" t="s">
        <v>69</v>
      </c>
      <c r="D17" s="11"/>
      <c r="E17" s="12"/>
      <c r="F17" s="12">
        <v>481</v>
      </c>
      <c r="G17" s="13">
        <f>PortafolioIndizado[[#This Row],[Titulos]] * PortafolioIndizado[[#This Row],[Costo Promedio Unitario]]</f>
        <v>0</v>
      </c>
      <c r="H17" s="13">
        <f>PortafolioIndizado[[#This Row],[Titulos]] * PortafolioIndizado[[#This Row],[Precio Actual Mercado]]</f>
        <v>0</v>
      </c>
      <c r="I17" s="13">
        <f>IFERROR(PortafolioIndizado[[#This Row],[Valor Actual]] - PortafolioIndizado[[#This Row],[Valor a Compra]], 0)</f>
        <v>0</v>
      </c>
      <c r="J17" s="14">
        <f>IFERROR(PortafolioIndizado[[#This Row],[Valor Actual]] / PortafolioIndizado[[#This Row],[Valor a Compra]] - 1, 0)</f>
        <v>0</v>
      </c>
      <c r="K17" s="15" t="str">
        <f>IFERROR(PortafolioIndizado[[#This Row],[Valor Actual]] / PortafolioIndizado[[#Totals],[Valor Actual]], "")</f>
        <v/>
      </c>
      <c r="L17" s="26">
        <v>0.03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2" t="s">
        <v>50</v>
      </c>
      <c r="B18" s="33"/>
      <c r="C18" s="34"/>
      <c r="D18" s="35"/>
      <c r="E18" s="35"/>
      <c r="F18" s="35"/>
      <c r="G18" s="37">
        <f>SUBTOTAL(109,PortafolioIndizado[Valor a Compra])</f>
        <v>0</v>
      </c>
      <c r="H18" s="37">
        <f>SUBTOTAL(109,PortafolioIndizado[Valor Actual])</f>
        <v>0</v>
      </c>
      <c r="I18" s="37">
        <f>SUBTOTAL(109,PortafolioIndizado[Ganancia / Pérdida $])</f>
        <v>0</v>
      </c>
      <c r="J18" s="38">
        <f>SUBTOTAL(101,PortafolioIndizado[Ganancia / Pérdida %])</f>
        <v>0</v>
      </c>
      <c r="K18" s="39">
        <f>SUBTOTAL(109,PortafolioIndizado[Peso %    Actual])</f>
        <v>0</v>
      </c>
      <c r="L18" s="40">
        <f>SUBTOTAL(109,PortafolioIndizado[Peso % Objetivo])</f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B19" s="3"/>
      <c r="C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26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26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26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ignoredErrors>
    <ignoredError sqref="G11 G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baseColWidth="10" defaultRowHeight="12.75" x14ac:dyDescent="0.35"/>
  <cols>
    <col min="1" max="1" width="13.33203125" customWidth="1"/>
    <col min="2" max="2" width="11.33203125" customWidth="1"/>
    <col min="3" max="3" width="16.1328125" style="79" bestFit="1" customWidth="1"/>
    <col min="4" max="4" width="11.33203125" style="62" customWidth="1"/>
    <col min="5" max="5" width="12.33203125" style="54" customWidth="1"/>
    <col min="6" max="6" width="15.46484375" style="44" customWidth="1"/>
    <col min="7" max="7" width="15" customWidth="1"/>
    <col min="8" max="9" width="12.33203125" style="54" customWidth="1"/>
    <col min="10" max="10" width="12.33203125" style="62" customWidth="1"/>
    <col min="11" max="11" width="13" style="62" customWidth="1"/>
    <col min="12" max="12" width="10.46484375" style="44" customWidth="1"/>
    <col min="13" max="13" width="11.1328125" style="44" customWidth="1"/>
    <col min="14" max="14" width="12.796875" style="62" customWidth="1"/>
    <col min="15" max="15" width="16.46484375" style="73" bestFit="1" customWidth="1"/>
    <col min="16" max="16" width="13" style="73" customWidth="1"/>
    <col min="17" max="17" width="15.33203125" bestFit="1" customWidth="1"/>
    <col min="18" max="18" width="14.33203125" style="51" customWidth="1"/>
    <col min="19" max="19" width="14.33203125" style="53" bestFit="1" customWidth="1"/>
    <col min="20" max="20" width="43.33203125" style="53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63</v>
      </c>
      <c r="B1" s="52">
        <v>45702</v>
      </c>
      <c r="C1" s="77"/>
      <c r="D1" s="68"/>
      <c r="E1" s="58"/>
      <c r="F1" s="80"/>
      <c r="G1" s="53"/>
      <c r="H1" s="56"/>
      <c r="I1" s="56"/>
      <c r="J1" s="60"/>
      <c r="K1" s="60"/>
      <c r="L1" s="59"/>
      <c r="M1" s="59"/>
      <c r="N1" s="60"/>
      <c r="O1" s="71"/>
      <c r="P1" s="71"/>
      <c r="Q1" s="53"/>
      <c r="R1" s="93"/>
    </row>
    <row r="2" spans="1:23" ht="13.5" thickTop="1" x14ac:dyDescent="0.4">
      <c r="A2" s="98" t="s">
        <v>154</v>
      </c>
      <c r="B2" s="99"/>
      <c r="C2" s="99"/>
      <c r="D2" s="109">
        <f>SUBTOTAL(101,Table2[GDP (USD billion)])</f>
        <v>3235.6482501467999</v>
      </c>
      <c r="E2" s="100">
        <f>SUBTOTAL(101,Table2[Full Year GDP  Growth])</f>
        <v>1.9500000000000003E-2</v>
      </c>
      <c r="F2" s="101">
        <f>SUBTOTAL(101,Table2[GDP per capita PPP (USD)])</f>
        <v>59009.24</v>
      </c>
      <c r="G2" s="102">
        <f>SUBTOTAL(101,Table2[Unemployment])</f>
        <v>4.6900000000000004E-2</v>
      </c>
      <c r="H2" s="100">
        <f>SUBTOTAL(101,Table2[Inflation rate])</f>
        <v>2.1873076923076922E-2</v>
      </c>
      <c r="I2" s="100">
        <f>SUBTOTAL(101,Table2[Interest Rate])</f>
        <v>3.8953846153846151E-2</v>
      </c>
      <c r="J2" s="103">
        <f>SUBTOTAL(101,Table2[Foreign Exchange Reserves (USD Million)])</f>
        <v>424954.63569691894</v>
      </c>
      <c r="K2" s="103">
        <f>SUBTOTAL(101,Table2[Balance Trade (USD Million)])</f>
        <v>1439.23108</v>
      </c>
      <c r="L2" s="101"/>
      <c r="M2" s="101"/>
      <c r="N2" s="111">
        <f>SUBTOTAL(101,Table2[Balance Trade %])</f>
        <v>0.13770282226298447</v>
      </c>
      <c r="O2" s="103">
        <f>SUBTOTAL(101,Table2[Foreign Direct Investment (USD Million)])</f>
        <v>49478.041199999992</v>
      </c>
      <c r="P2" s="102">
        <f>SUBTOTAL(101,Table2[Debt to GDP])</f>
        <v>0.78894799999999987</v>
      </c>
      <c r="Q2" s="104"/>
      <c r="R2" s="104"/>
      <c r="S2" s="104">
        <f>SUBTOTAL(101,Table2[Economic Freedom])</f>
        <v>69.442307692307679</v>
      </c>
      <c r="T2" s="105"/>
      <c r="U2" s="106"/>
      <c r="V2" s="106"/>
      <c r="W2" s="107">
        <f>SUBTOTAL(103,Table2[Debilidades])</f>
        <v>13</v>
      </c>
    </row>
    <row r="3" spans="1:23" ht="51" x14ac:dyDescent="0.35">
      <c r="A3" s="49" t="s">
        <v>39</v>
      </c>
      <c r="B3" s="49" t="s">
        <v>40</v>
      </c>
      <c r="C3" s="78" t="s">
        <v>105</v>
      </c>
      <c r="D3" s="63" t="s">
        <v>99</v>
      </c>
      <c r="E3" s="65" t="s">
        <v>109</v>
      </c>
      <c r="F3" s="67" t="s">
        <v>107</v>
      </c>
      <c r="G3" s="49" t="s">
        <v>97</v>
      </c>
      <c r="H3" s="57" t="s">
        <v>95</v>
      </c>
      <c r="I3" s="57" t="s">
        <v>100</v>
      </c>
      <c r="J3" s="63" t="s">
        <v>104</v>
      </c>
      <c r="K3" s="63" t="s">
        <v>101</v>
      </c>
      <c r="L3" s="67" t="s">
        <v>140</v>
      </c>
      <c r="M3" s="67" t="s">
        <v>141</v>
      </c>
      <c r="N3" s="63" t="s">
        <v>110</v>
      </c>
      <c r="O3" s="63" t="s">
        <v>106</v>
      </c>
      <c r="P3" s="55" t="s">
        <v>96</v>
      </c>
      <c r="Q3" s="72" t="s">
        <v>102</v>
      </c>
      <c r="R3" s="72" t="s">
        <v>103</v>
      </c>
      <c r="S3" s="50" t="s">
        <v>98</v>
      </c>
      <c r="T3" s="50" t="s">
        <v>90</v>
      </c>
      <c r="U3" s="49" t="s">
        <v>64</v>
      </c>
      <c r="V3" s="49" t="s">
        <v>65</v>
      </c>
      <c r="W3" s="49" t="s">
        <v>66</v>
      </c>
    </row>
    <row r="4" spans="1:23" x14ac:dyDescent="0.35">
      <c r="A4" s="3" t="s">
        <v>30</v>
      </c>
      <c r="B4" s="3" t="s">
        <v>69</v>
      </c>
      <c r="C4" s="76">
        <v>0.74</v>
      </c>
      <c r="D4" s="69">
        <v>501</v>
      </c>
      <c r="E4" s="87">
        <v>1.0999999999999999E-2</v>
      </c>
      <c r="F4" s="66">
        <v>127544</v>
      </c>
      <c r="G4" s="88">
        <v>1.9E-2</v>
      </c>
      <c r="H4" s="87">
        <v>1.6E-2</v>
      </c>
      <c r="I4" s="87">
        <v>2.53E-2</v>
      </c>
      <c r="J4" s="68">
        <v>380039.21</v>
      </c>
      <c r="K4" s="68">
        <v>2185.44</v>
      </c>
      <c r="L4" s="68">
        <v>44084.78</v>
      </c>
      <c r="M4" s="68">
        <v>41885.86</v>
      </c>
      <c r="N4" s="95">
        <f>IFERROR(  (Table2[[#This Row],[Exports (USD Million)]] / Table2[[#This Row],[Imports (USD Million)]] ) - 1,  0)</f>
        <v>5.2497907408371125E-2</v>
      </c>
      <c r="O4" s="68">
        <v>45252.95</v>
      </c>
      <c r="P4" s="88">
        <v>1.71</v>
      </c>
      <c r="Q4" s="90">
        <v>16</v>
      </c>
      <c r="R4" s="90"/>
      <c r="S4" s="91">
        <v>83.5</v>
      </c>
      <c r="T4" s="93"/>
      <c r="U4" s="93"/>
      <c r="V4" s="93"/>
      <c r="W4" s="93"/>
    </row>
    <row r="5" spans="1:23" x14ac:dyDescent="0.35">
      <c r="A5" s="3" t="s">
        <v>24</v>
      </c>
      <c r="B5" s="3" t="s">
        <v>76</v>
      </c>
      <c r="C5" s="76">
        <v>1.1100000000000001</v>
      </c>
      <c r="D5" s="112">
        <v>885</v>
      </c>
      <c r="E5" s="113">
        <v>7.1999999999999998E-3</v>
      </c>
      <c r="F5" s="120">
        <v>82914</v>
      </c>
      <c r="G5" s="115">
        <v>0.03</v>
      </c>
      <c r="H5" s="116">
        <v>4.0000000000000001E-3</v>
      </c>
      <c r="I5" s="116">
        <v>5.0000000000000001E-3</v>
      </c>
      <c r="J5" s="117">
        <v>813887.68</v>
      </c>
      <c r="K5" s="121">
        <v>4336</v>
      </c>
      <c r="L5" s="121">
        <v>25324.14</v>
      </c>
      <c r="M5" s="121">
        <v>20837.29</v>
      </c>
      <c r="N5" s="122">
        <f>IFERROR(  (Table2[[#This Row],[Exports (USD Million)]] / Table2[[#This Row],[Imports (USD Million)]] ) - 1,  0)</f>
        <v>0.21532790492429665</v>
      </c>
      <c r="O5" s="121">
        <v>1028222.98</v>
      </c>
      <c r="P5" s="115">
        <v>0.38300000000000001</v>
      </c>
      <c r="Q5" s="123">
        <v>102</v>
      </c>
      <c r="R5" s="123">
        <v>-29</v>
      </c>
      <c r="S5" s="92">
        <v>83</v>
      </c>
      <c r="T5" s="93"/>
      <c r="U5" s="93"/>
      <c r="V5" s="93"/>
      <c r="W5" s="93"/>
    </row>
    <row r="6" spans="1:23" ht="63.75" x14ac:dyDescent="0.35">
      <c r="A6" s="3" t="s">
        <v>92</v>
      </c>
      <c r="B6" s="3" t="s">
        <v>93</v>
      </c>
      <c r="C6" s="76">
        <v>1.04</v>
      </c>
      <c r="D6" s="112">
        <v>546</v>
      </c>
      <c r="E6" s="113">
        <v>3.0000000000000001E-3</v>
      </c>
      <c r="F6" s="120">
        <v>115625</v>
      </c>
      <c r="G6" s="115">
        <v>0.04</v>
      </c>
      <c r="H6" s="113">
        <v>1.4E-2</v>
      </c>
      <c r="I6" s="113">
        <v>2.9000000000000001E-2</v>
      </c>
      <c r="J6" s="121">
        <v>12123</v>
      </c>
      <c r="K6" s="121">
        <v>4010.0569999999998</v>
      </c>
      <c r="L6" s="121">
        <v>16217.18</v>
      </c>
      <c r="M6" s="121">
        <v>12195.4</v>
      </c>
      <c r="N6" s="122">
        <f>IFERROR(  (Table2[[#This Row],[Exports (USD Million)]] / Table2[[#This Row],[Imports (USD Million)]] ) - 1,  0)</f>
        <v>0.32977844105154408</v>
      </c>
      <c r="O6" s="121">
        <v>11741.03</v>
      </c>
      <c r="P6" s="115">
        <v>0.437</v>
      </c>
      <c r="Q6" s="123"/>
      <c r="R6" s="123">
        <v>74.900000000000006</v>
      </c>
      <c r="S6" s="91">
        <v>82.6</v>
      </c>
      <c r="T6" s="93"/>
      <c r="U6" s="94" t="s">
        <v>167</v>
      </c>
      <c r="V6" s="94" t="s">
        <v>168</v>
      </c>
      <c r="W6" s="94" t="s">
        <v>169</v>
      </c>
    </row>
    <row r="7" spans="1:23" s="124" customFormat="1" x14ac:dyDescent="0.35">
      <c r="A7" s="3" t="s">
        <v>83</v>
      </c>
      <c r="B7" s="3" t="s">
        <v>69</v>
      </c>
      <c r="C7" s="76">
        <f>1/32.75</f>
        <v>3.0534351145038167E-2</v>
      </c>
      <c r="D7" s="69">
        <f>6127.345*Table2[[#This Row],[Currency (to USD)]]</f>
        <v>187.09450381679389</v>
      </c>
      <c r="E7" s="87">
        <v>4.2999999999999997E-2</v>
      </c>
      <c r="F7" s="66"/>
      <c r="G7" s="88">
        <v>3.39E-2</v>
      </c>
      <c r="H7" s="87">
        <v>2.6599999999999999E-2</v>
      </c>
      <c r="I7" s="87">
        <v>0.02</v>
      </c>
      <c r="J7" s="61">
        <f>5776*100</f>
        <v>577600</v>
      </c>
      <c r="K7" s="68">
        <v>9970</v>
      </c>
      <c r="L7" s="68">
        <v>38711</v>
      </c>
      <c r="M7" s="68">
        <v>28738</v>
      </c>
      <c r="N7" s="95">
        <f>IFERROR(  (Table2[[#This Row],[Exports (USD Million)]] / Table2[[#This Row],[Imports (USD Million)]] ) - 1,  0)</f>
        <v>0.34703180457930261</v>
      </c>
      <c r="O7" s="68">
        <v>667</v>
      </c>
      <c r="P7" s="88"/>
      <c r="Q7" s="90"/>
      <c r="R7" s="90">
        <v>72.540000000000006</v>
      </c>
      <c r="S7" s="92">
        <v>80</v>
      </c>
      <c r="T7" s="93"/>
      <c r="U7" s="93"/>
      <c r="V7" s="93"/>
      <c r="W7" s="93"/>
    </row>
    <row r="8" spans="1:23" x14ac:dyDescent="0.35">
      <c r="A8" s="3" t="s">
        <v>91</v>
      </c>
      <c r="B8" s="3"/>
      <c r="C8" s="76">
        <v>1.04</v>
      </c>
      <c r="D8" s="69">
        <v>85.76</v>
      </c>
      <c r="E8" s="87">
        <v>-1.0999999999999999E-2</v>
      </c>
      <c r="F8" s="66">
        <v>132414</v>
      </c>
      <c r="G8" s="88">
        <v>5.8999999999999997E-2</v>
      </c>
      <c r="H8" s="87">
        <v>1.9400000000000001E-2</v>
      </c>
      <c r="I8" s="87">
        <v>2.9000000000000001E-2</v>
      </c>
      <c r="J8" s="68">
        <v>2832.9</v>
      </c>
      <c r="K8" s="68">
        <v>-770</v>
      </c>
      <c r="L8" s="68">
        <v>1308.06</v>
      </c>
      <c r="M8" s="68">
        <v>1988.25</v>
      </c>
      <c r="N8" s="95">
        <f>IFERROR(  (Table2[[#This Row],[Exports (USD Million)]] / Table2[[#This Row],[Imports (USD Million)]] ) - 1,  0)</f>
        <v>-0.34210486608826862</v>
      </c>
      <c r="O8" s="68">
        <v>-24444</v>
      </c>
      <c r="P8" s="88">
        <v>0.25700000000000001</v>
      </c>
      <c r="Q8" s="90">
        <v>98.1</v>
      </c>
      <c r="R8" s="90">
        <v>-7.8</v>
      </c>
      <c r="S8" s="91">
        <v>79.2</v>
      </c>
      <c r="T8" s="93"/>
      <c r="U8" s="93"/>
      <c r="V8" s="93"/>
      <c r="W8" s="93"/>
    </row>
    <row r="9" spans="1:23" ht="52.05" customHeight="1" x14ac:dyDescent="0.35">
      <c r="A9" s="3" t="s">
        <v>22</v>
      </c>
      <c r="B9" s="3" t="s">
        <v>72</v>
      </c>
      <c r="C9" s="76">
        <v>0.09</v>
      </c>
      <c r="D9" s="69">
        <v>486</v>
      </c>
      <c r="E9" s="87">
        <v>2.1000000000000001E-2</v>
      </c>
      <c r="F9" s="66">
        <v>90501</v>
      </c>
      <c r="G9" s="88">
        <v>4.2000000000000003E-2</v>
      </c>
      <c r="H9" s="87">
        <v>2.3E-2</v>
      </c>
      <c r="I9" s="87">
        <v>4.4999999999999998E-2</v>
      </c>
      <c r="J9" s="68">
        <v>85737.05</v>
      </c>
      <c r="K9" s="68">
        <v>8520.2900000000009</v>
      </c>
      <c r="L9" s="68">
        <v>15925.54</v>
      </c>
      <c r="M9" s="68">
        <v>7419.31</v>
      </c>
      <c r="N9" s="95">
        <f>IFERROR(  (Table2[[#This Row],[Exports (USD Million)]] / Table2[[#This Row],[Imports (USD Million)]] ) - 1,  0)</f>
        <v>1.1464987984057817</v>
      </c>
      <c r="O9" s="68">
        <v>-20031</v>
      </c>
      <c r="P9" s="88">
        <v>0.443</v>
      </c>
      <c r="Q9" s="90">
        <v>5.5</v>
      </c>
      <c r="R9" s="90">
        <v>-14.4</v>
      </c>
      <c r="S9" s="91">
        <v>77.5</v>
      </c>
      <c r="T9" s="93"/>
      <c r="U9" s="93"/>
      <c r="V9" s="93"/>
      <c r="W9" s="93"/>
    </row>
    <row r="10" spans="1:23" x14ac:dyDescent="0.35">
      <c r="A10" s="3" t="s">
        <v>23</v>
      </c>
      <c r="B10" s="3" t="s">
        <v>73</v>
      </c>
      <c r="C10" s="76">
        <v>9.2999999999999999E-2</v>
      </c>
      <c r="D10" s="69">
        <v>593</v>
      </c>
      <c r="E10" s="87">
        <v>6.0000000000000001E-3</v>
      </c>
      <c r="F10" s="66">
        <v>64191</v>
      </c>
      <c r="G10" s="88">
        <v>0.104</v>
      </c>
      <c r="H10" s="87">
        <v>8.9999999999999993E-3</v>
      </c>
      <c r="I10" s="87">
        <v>2.2499999999999999E-2</v>
      </c>
      <c r="J10" s="68">
        <v>67195.89</v>
      </c>
      <c r="K10" s="68">
        <v>577.82000000000005</v>
      </c>
      <c r="L10" s="68">
        <v>14898.47</v>
      </c>
      <c r="M10" s="68">
        <v>14316.43</v>
      </c>
      <c r="N10" s="95">
        <f>IFERROR(  (Table2[[#This Row],[Exports (USD Million)]] / Table2[[#This Row],[Imports (USD Million)]] ) - 1,  0)</f>
        <v>4.0655386852727959E-2</v>
      </c>
      <c r="O10" s="68">
        <v>5144.5</v>
      </c>
      <c r="P10" s="88">
        <v>0.315</v>
      </c>
      <c r="Q10" s="90">
        <v>101</v>
      </c>
      <c r="R10" s="90">
        <v>99.1</v>
      </c>
      <c r="S10" s="91">
        <v>77.5</v>
      </c>
      <c r="T10" s="93"/>
      <c r="U10" s="93"/>
      <c r="V10" s="93"/>
      <c r="W10" s="93"/>
    </row>
    <row r="11" spans="1:23" x14ac:dyDescent="0.35">
      <c r="A11" s="3" t="s">
        <v>38</v>
      </c>
      <c r="B11" s="3" t="s">
        <v>74</v>
      </c>
      <c r="C11" s="76">
        <v>1.04</v>
      </c>
      <c r="D11" s="69">
        <v>1118</v>
      </c>
      <c r="E11" s="87">
        <v>8.9999999999999993E-3</v>
      </c>
      <c r="F11" s="66">
        <v>9970</v>
      </c>
      <c r="G11" s="88">
        <v>3.6999999999999998E-2</v>
      </c>
      <c r="H11" s="87">
        <v>3.3000000000000002E-2</v>
      </c>
      <c r="I11" s="87">
        <v>2.9000000000000001E-2</v>
      </c>
      <c r="J11" s="68">
        <v>83071.06</v>
      </c>
      <c r="K11" s="68">
        <v>10717.13</v>
      </c>
      <c r="L11" s="68">
        <v>68942.22</v>
      </c>
      <c r="M11" s="68">
        <v>58177.39</v>
      </c>
      <c r="N11" s="95">
        <f>IFERROR(  (Table2[[#This Row],[Exports (USD Million)]] / Table2[[#This Row],[Imports (USD Million)]] ) - 1,  0)</f>
        <v>0.1850345984926447</v>
      </c>
      <c r="O11" s="68">
        <v>13833.2</v>
      </c>
      <c r="P11" s="88">
        <v>0.46800000000000003</v>
      </c>
      <c r="Q11" s="90">
        <v>-1.6</v>
      </c>
      <c r="R11" s="90">
        <v>-28</v>
      </c>
      <c r="S11" s="91">
        <v>77.3</v>
      </c>
      <c r="T11" s="93"/>
      <c r="U11" s="93"/>
      <c r="V11" s="93"/>
      <c r="W11" s="93"/>
    </row>
    <row r="12" spans="1:23" ht="51" x14ac:dyDescent="0.35">
      <c r="A12" s="3" t="s">
        <v>29</v>
      </c>
      <c r="B12" s="3" t="s">
        <v>82</v>
      </c>
      <c r="C12" s="76">
        <v>0.63</v>
      </c>
      <c r="D12" s="112">
        <v>1724</v>
      </c>
      <c r="E12" s="113">
        <v>1.4999999999999999E-2</v>
      </c>
      <c r="F12" s="120">
        <v>59456</v>
      </c>
      <c r="G12" s="115">
        <v>0.04</v>
      </c>
      <c r="H12" s="113">
        <v>2.4E-2</v>
      </c>
      <c r="I12" s="113">
        <v>4.1000000000000002E-2</v>
      </c>
      <c r="J12" s="121">
        <v>66075.509999999995</v>
      </c>
      <c r="K12" s="121">
        <v>3226.49</v>
      </c>
      <c r="L12" s="121">
        <v>27979.16</v>
      </c>
      <c r="M12" s="121">
        <v>24747.64</v>
      </c>
      <c r="N12" s="122">
        <f>IFERROR(  (Table2[[#This Row],[Exports (USD Million)]] / Table2[[#This Row],[Imports (USD Million)]] ) - 1,  0)</f>
        <v>0.13057891580772951</v>
      </c>
      <c r="O12" s="121">
        <v>28553.03</v>
      </c>
      <c r="P12" s="115">
        <v>0.438</v>
      </c>
      <c r="Q12" s="123">
        <v>4</v>
      </c>
      <c r="R12" s="123">
        <v>92.2</v>
      </c>
      <c r="S12" s="91">
        <v>76.2</v>
      </c>
      <c r="T12" s="93"/>
      <c r="U12" s="93"/>
      <c r="V12" s="94" t="s">
        <v>172</v>
      </c>
      <c r="W12" s="94" t="s">
        <v>173</v>
      </c>
    </row>
    <row r="13" spans="1:23" ht="113" customHeight="1" x14ac:dyDescent="0.35">
      <c r="A13" s="3" t="s">
        <v>32</v>
      </c>
      <c r="B13" s="3" t="s">
        <v>86</v>
      </c>
      <c r="C13" s="75">
        <v>6.8999999999999997E-4</v>
      </c>
      <c r="D13" s="69">
        <v>1713</v>
      </c>
      <c r="E13" s="87">
        <v>0.02</v>
      </c>
      <c r="F13" s="66">
        <v>50572</v>
      </c>
      <c r="G13" s="88">
        <v>2.9000000000000001E-2</v>
      </c>
      <c r="H13" s="87">
        <v>2.1999999999999999E-2</v>
      </c>
      <c r="I13" s="87">
        <v>0.03</v>
      </c>
      <c r="J13" s="68">
        <v>411000</v>
      </c>
      <c r="K13" s="68">
        <v>-1890</v>
      </c>
      <c r="L13" s="68">
        <v>49120</v>
      </c>
      <c r="M13" s="68">
        <v>51000</v>
      </c>
      <c r="N13" s="95">
        <f>IFERROR(  (Table2[[#This Row],[Exports (USD Million)]] / Table2[[#This Row],[Imports (USD Million)]] ) - 1,  0)</f>
        <v>-3.6862745098039218E-2</v>
      </c>
      <c r="O13" s="68">
        <v>9385</v>
      </c>
      <c r="P13" s="88">
        <v>0.51500000000000001</v>
      </c>
      <c r="Q13" s="90">
        <v>63</v>
      </c>
      <c r="R13" s="90">
        <v>91.2</v>
      </c>
      <c r="S13" s="91">
        <v>73.099999999999994</v>
      </c>
      <c r="T13" s="93"/>
      <c r="U13" s="93"/>
      <c r="V13" s="93"/>
      <c r="W13" s="93"/>
    </row>
    <row r="14" spans="1:23" ht="127.5" x14ac:dyDescent="0.35">
      <c r="A14" s="3" t="s">
        <v>94</v>
      </c>
      <c r="B14" s="3" t="s">
        <v>77</v>
      </c>
      <c r="C14" s="76">
        <v>0.7</v>
      </c>
      <c r="D14" s="112">
        <v>2140</v>
      </c>
      <c r="E14" s="113">
        <v>1.2500000000000001E-2</v>
      </c>
      <c r="F14" s="120">
        <v>55818</v>
      </c>
      <c r="G14" s="115">
        <v>6.6000000000000003E-2</v>
      </c>
      <c r="H14" s="113">
        <v>1.9E-2</v>
      </c>
      <c r="I14" s="113">
        <v>0.03</v>
      </c>
      <c r="J14" s="121">
        <v>117896</v>
      </c>
      <c r="K14" s="121">
        <v>499.02</v>
      </c>
      <c r="L14" s="121">
        <v>25180</v>
      </c>
      <c r="M14" s="121">
        <v>23016</v>
      </c>
      <c r="N14" s="122">
        <f>IFERROR(  (Table2[[#This Row],[Exports (USD Million)]] / Table2[[#This Row],[Imports (USD Million)]] ) - 1,  0)</f>
        <v>9.402155022592984E-2</v>
      </c>
      <c r="O14" s="121">
        <v>19052.150000000001</v>
      </c>
      <c r="P14" s="115">
        <v>1.08</v>
      </c>
      <c r="Q14" s="123">
        <v>47.1</v>
      </c>
      <c r="R14" s="123">
        <v>47.9</v>
      </c>
      <c r="S14" s="91">
        <v>72.400000000000006</v>
      </c>
      <c r="T14" s="94" t="s">
        <v>166</v>
      </c>
      <c r="U14" s="94" t="s">
        <v>165</v>
      </c>
      <c r="V14" s="94" t="s">
        <v>162</v>
      </c>
      <c r="W14" s="94" t="s">
        <v>163</v>
      </c>
    </row>
    <row r="15" spans="1:23" ht="76.5" x14ac:dyDescent="0.35">
      <c r="A15" s="3" t="s">
        <v>18</v>
      </c>
      <c r="B15" s="3" t="s">
        <v>67</v>
      </c>
      <c r="C15" s="76">
        <v>1.04</v>
      </c>
      <c r="D15" s="69">
        <v>4456</v>
      </c>
      <c r="E15" s="87">
        <v>-2E-3</v>
      </c>
      <c r="F15" s="66">
        <v>61909</v>
      </c>
      <c r="G15" s="88">
        <v>6.2E-2</v>
      </c>
      <c r="H15" s="87">
        <v>2.3E-2</v>
      </c>
      <c r="I15" s="87">
        <v>2.9000000000000001E-2</v>
      </c>
      <c r="J15" s="68">
        <v>401731.47</v>
      </c>
      <c r="K15" s="68">
        <v>21591.18</v>
      </c>
      <c r="L15" s="68">
        <v>138131.4</v>
      </c>
      <c r="M15" s="68">
        <v>116155.95</v>
      </c>
      <c r="N15" s="95">
        <f>IFERROR(  (Table2[[#This Row],[Exports (USD Million)]] / Table2[[#This Row],[Imports (USD Million)]] ) - 1,  0)</f>
        <v>0.18918918918918926</v>
      </c>
      <c r="O15" s="68">
        <v>-22221</v>
      </c>
      <c r="P15" s="88">
        <v>0.629</v>
      </c>
      <c r="Q15" s="90">
        <v>85.1</v>
      </c>
      <c r="R15" s="90">
        <v>-22.4</v>
      </c>
      <c r="S15" s="91">
        <v>72.099999999999994</v>
      </c>
      <c r="T15" s="93"/>
      <c r="U15" s="94" t="s">
        <v>115</v>
      </c>
      <c r="V15" s="94" t="s">
        <v>116</v>
      </c>
      <c r="W15" s="94" t="s">
        <v>117</v>
      </c>
    </row>
    <row r="16" spans="1:23" ht="25.5" x14ac:dyDescent="0.35">
      <c r="A16" s="3" t="s">
        <v>35</v>
      </c>
      <c r="B16" s="3" t="s">
        <v>89</v>
      </c>
      <c r="C16" s="76">
        <f>1/3.67</f>
        <v>0.27247956403269757</v>
      </c>
      <c r="D16" s="69">
        <v>504</v>
      </c>
      <c r="E16" s="87">
        <v>3.5999999999999997E-2</v>
      </c>
      <c r="F16" s="66">
        <v>75627</v>
      </c>
      <c r="G16" s="88">
        <v>2.9499999999999998E-2</v>
      </c>
      <c r="H16" s="87">
        <v>2.8899999999999999E-2</v>
      </c>
      <c r="I16" s="87">
        <v>4.3999999999999997E-2</v>
      </c>
      <c r="J16" s="68">
        <f>826*Table2[[#This Row],[Currency (to USD)]]</f>
        <v>225.06811989100819</v>
      </c>
      <c r="K16" s="68"/>
      <c r="L16" s="68"/>
      <c r="M16" s="68"/>
      <c r="N16" s="95">
        <f>IFERROR(  (Table2[[#This Row],[Exports (USD Million)]] / Table2[[#This Row],[Imports (USD Million)]] ) - 1,  0)</f>
        <v>0</v>
      </c>
      <c r="O16" s="68"/>
      <c r="P16" s="88">
        <v>0.32400000000000001</v>
      </c>
      <c r="Q16" s="90"/>
      <c r="R16" s="90"/>
      <c r="S16" s="91">
        <v>71.099999999999994</v>
      </c>
      <c r="T16" s="93"/>
      <c r="U16" s="93"/>
      <c r="V16" s="93"/>
      <c r="W16" s="93"/>
    </row>
    <row r="17" spans="1:23" ht="76.5" x14ac:dyDescent="0.35">
      <c r="A17" s="3" t="s">
        <v>25</v>
      </c>
      <c r="B17" s="3" t="s">
        <v>78</v>
      </c>
      <c r="C17" s="76">
        <v>1</v>
      </c>
      <c r="D17" s="69">
        <v>27361</v>
      </c>
      <c r="E17" s="87">
        <v>2.8000000000000001E-2</v>
      </c>
      <c r="F17" s="66">
        <v>73637</v>
      </c>
      <c r="G17" s="88">
        <v>0.04</v>
      </c>
      <c r="H17" s="87">
        <v>0.03</v>
      </c>
      <c r="I17" s="87">
        <v>4.4999999999999998E-2</v>
      </c>
      <c r="J17" s="61">
        <v>34865</v>
      </c>
      <c r="K17" s="68">
        <v>-98430</v>
      </c>
      <c r="L17" s="68">
        <v>267000</v>
      </c>
      <c r="M17" s="68">
        <v>365000</v>
      </c>
      <c r="N17" s="95">
        <f>IFERROR(  (Table2[[#This Row],[Exports (USD Million)]] / Table2[[#This Row],[Imports (USD Million)]] ) - 1,  0)</f>
        <v>-0.26849315068493151</v>
      </c>
      <c r="O17" s="89">
        <v>75589</v>
      </c>
      <c r="P17" s="88">
        <v>1.22</v>
      </c>
      <c r="Q17" s="90">
        <v>50.9</v>
      </c>
      <c r="R17" s="90">
        <v>67.8</v>
      </c>
      <c r="S17" s="91">
        <v>70.099999999999994</v>
      </c>
      <c r="T17" s="93"/>
      <c r="U17" s="94" t="s">
        <v>130</v>
      </c>
      <c r="V17" s="94" t="s">
        <v>114</v>
      </c>
      <c r="W17" s="94" t="s">
        <v>111</v>
      </c>
    </row>
    <row r="18" spans="1:23" x14ac:dyDescent="0.35">
      <c r="A18" s="3" t="s">
        <v>34</v>
      </c>
      <c r="B18" s="3" t="s">
        <v>88</v>
      </c>
      <c r="C18" s="76">
        <f>1/3.64</f>
        <v>0.27472527472527469</v>
      </c>
      <c r="D18" s="69">
        <v>213</v>
      </c>
      <c r="E18" s="87">
        <v>1.9E-2</v>
      </c>
      <c r="F18" s="66">
        <v>113157</v>
      </c>
      <c r="G18" s="88">
        <v>1E-3</v>
      </c>
      <c r="H18" s="87">
        <v>2.3999999999999998E-3</v>
      </c>
      <c r="I18" s="87">
        <v>5.0999999999999997E-2</v>
      </c>
      <c r="J18" s="68">
        <v>70031.990000000005</v>
      </c>
      <c r="K18" s="68">
        <v>5061.17</v>
      </c>
      <c r="L18" s="68">
        <v>8567.7800000000007</v>
      </c>
      <c r="M18" s="68">
        <v>3505.56</v>
      </c>
      <c r="N18" s="95">
        <f>IFERROR(  (Table2[[#This Row],[Exports (USD Million)]] / Table2[[#This Row],[Imports (USD Million)]] ) - 1,  0)</f>
        <v>1.4440545875694615</v>
      </c>
      <c r="O18" s="68">
        <v>218.88</v>
      </c>
      <c r="P18" s="88">
        <v>0.433</v>
      </c>
      <c r="Q18" s="90"/>
      <c r="R18" s="90"/>
      <c r="S18" s="91">
        <v>68.8</v>
      </c>
      <c r="T18" s="93"/>
      <c r="U18" s="93"/>
      <c r="V18" s="93"/>
      <c r="W18" s="93"/>
    </row>
    <row r="19" spans="1:23" ht="76.5" x14ac:dyDescent="0.35">
      <c r="A19" s="3" t="s">
        <v>19</v>
      </c>
      <c r="B19" s="3" t="s">
        <v>68</v>
      </c>
      <c r="C19" s="76">
        <v>1.26</v>
      </c>
      <c r="D19" s="69">
        <v>3340</v>
      </c>
      <c r="E19" s="87">
        <v>8.9999999999999993E-3</v>
      </c>
      <c r="F19" s="66">
        <v>54126</v>
      </c>
      <c r="G19" s="88">
        <v>4.3999999999999997E-2</v>
      </c>
      <c r="H19" s="87">
        <v>0.03</v>
      </c>
      <c r="I19" s="87">
        <v>4.4999999999999998E-2</v>
      </c>
      <c r="J19" s="68">
        <v>185835</v>
      </c>
      <c r="K19" s="68">
        <v>-3541.27</v>
      </c>
      <c r="L19" s="68">
        <v>87241.64</v>
      </c>
      <c r="M19" s="68">
        <v>90798.82</v>
      </c>
      <c r="N19" s="95">
        <f>IFERROR(  (Table2[[#This Row],[Exports (USD Million)]] / Table2[[#This Row],[Imports (USD Million)]] ) - 1,  0)</f>
        <v>-3.9176500311347784E-2</v>
      </c>
      <c r="O19" s="68">
        <v>-8299.85</v>
      </c>
      <c r="P19" s="88">
        <v>0.97599999999999998</v>
      </c>
      <c r="Q19" s="90">
        <v>-47</v>
      </c>
      <c r="R19" s="90">
        <v>-22</v>
      </c>
      <c r="S19" s="91">
        <v>68.599999999999994</v>
      </c>
      <c r="T19" s="94" t="s">
        <v>126</v>
      </c>
      <c r="U19" s="94" t="s">
        <v>127</v>
      </c>
      <c r="V19" s="94" t="s">
        <v>128</v>
      </c>
      <c r="W19" s="94" t="s">
        <v>129</v>
      </c>
    </row>
    <row r="20" spans="1:23" ht="63.75" x14ac:dyDescent="0.35">
      <c r="A20" s="3" t="s">
        <v>33</v>
      </c>
      <c r="B20" s="3" t="s">
        <v>87</v>
      </c>
      <c r="C20" s="76">
        <v>6.6E-3</v>
      </c>
      <c r="D20" s="69">
        <v>4213</v>
      </c>
      <c r="E20" s="87">
        <v>1E-3</v>
      </c>
      <c r="F20" s="66">
        <v>46268</v>
      </c>
      <c r="G20" s="88">
        <v>2.4E-2</v>
      </c>
      <c r="H20" s="87">
        <v>3.5999999999999997E-2</v>
      </c>
      <c r="I20" s="87">
        <v>5.0000000000000001E-3</v>
      </c>
      <c r="J20" s="68">
        <v>1240600</v>
      </c>
      <c r="K20" s="68">
        <v>-18216.45</v>
      </c>
      <c r="L20" s="68">
        <v>52698.944560000004</v>
      </c>
      <c r="M20" s="68">
        <v>71187.803669999994</v>
      </c>
      <c r="N20" s="95">
        <f>IFERROR(  (Table2[[#This Row],[Exports (USD Million)]] / Table2[[#This Row],[Imports (USD Million)]] ) - 1,  0)</f>
        <v>-0.25971947660736128</v>
      </c>
      <c r="O20" s="68">
        <v>20421.04</v>
      </c>
      <c r="P20" s="88">
        <v>2.5499999999999998</v>
      </c>
      <c r="Q20" s="90">
        <v>14</v>
      </c>
      <c r="R20" s="90">
        <v>35.200000000000003</v>
      </c>
      <c r="S20" s="91">
        <v>67.5</v>
      </c>
      <c r="T20" s="94" t="s">
        <v>119</v>
      </c>
      <c r="U20" s="94" t="s">
        <v>118</v>
      </c>
      <c r="V20" s="94" t="s">
        <v>120</v>
      </c>
      <c r="W20" s="94" t="s">
        <v>121</v>
      </c>
    </row>
    <row r="21" spans="1:23" ht="140.25" x14ac:dyDescent="0.35">
      <c r="A21" s="3" t="s">
        <v>138</v>
      </c>
      <c r="B21" s="3" t="s">
        <v>139</v>
      </c>
      <c r="C21" s="75">
        <f>1/16032</f>
        <v>6.2375249500997999E-5</v>
      </c>
      <c r="D21" s="112">
        <v>1371</v>
      </c>
      <c r="E21" s="113">
        <v>5.0299999999999997E-2</v>
      </c>
      <c r="F21" s="114">
        <v>13890</v>
      </c>
      <c r="G21" s="115">
        <v>4.9099999999999998E-2</v>
      </c>
      <c r="H21" s="116">
        <v>7.6E-3</v>
      </c>
      <c r="I21" s="116">
        <v>5.7500000000000002E-2</v>
      </c>
      <c r="J21" s="117">
        <v>156100</v>
      </c>
      <c r="K21" s="117">
        <v>3450</v>
      </c>
      <c r="L21" s="117">
        <v>21452</v>
      </c>
      <c r="M21" s="117">
        <v>18000</v>
      </c>
      <c r="N21" s="118">
        <f>IFERROR(  (Table2[[#This Row],[Exports (USD Million)]] / Table2[[#This Row],[Imports (USD Million)]] ) - 1,  0)</f>
        <v>0.19177777777777782</v>
      </c>
      <c r="O21" s="117">
        <v>15028</v>
      </c>
      <c r="P21" s="115">
        <v>0.39300000000000002</v>
      </c>
      <c r="Q21" s="119">
        <v>12.46</v>
      </c>
      <c r="R21" s="119">
        <v>127</v>
      </c>
      <c r="S21" s="91">
        <v>63.5</v>
      </c>
      <c r="T21" s="94" t="s">
        <v>157</v>
      </c>
      <c r="U21" s="94" t="s">
        <v>158</v>
      </c>
      <c r="V21" s="94" t="s">
        <v>155</v>
      </c>
      <c r="W21" s="94" t="s">
        <v>156</v>
      </c>
    </row>
    <row r="22" spans="1:23" x14ac:dyDescent="0.35">
      <c r="A22" s="3" t="s">
        <v>21</v>
      </c>
      <c r="B22" s="3" t="s">
        <v>71</v>
      </c>
      <c r="C22" s="76">
        <v>1.04</v>
      </c>
      <c r="D22" s="69">
        <v>1581</v>
      </c>
      <c r="E22" s="87">
        <v>3.2000000000000001E-2</v>
      </c>
      <c r="F22" s="66">
        <v>46357</v>
      </c>
      <c r="G22" s="88">
        <v>0.1061</v>
      </c>
      <c r="H22" s="87">
        <v>2.9000000000000001E-2</v>
      </c>
      <c r="I22" s="87">
        <v>2.9000000000000001E-2</v>
      </c>
      <c r="J22" s="68">
        <v>1079037.1000000001</v>
      </c>
      <c r="K22" s="68">
        <v>-4121.5</v>
      </c>
      <c r="L22" s="68">
        <v>31119.748680000001</v>
      </c>
      <c r="M22" s="68">
        <v>35432.58771</v>
      </c>
      <c r="N22" s="95">
        <f>IFERROR(  (Table2[[#This Row],[Exports (USD Million)]] / Table2[[#This Row],[Imports (USD Million)]] ) - 1,  0)</f>
        <v>-0.12171956124962346</v>
      </c>
      <c r="O22" s="68">
        <v>2474.9499999999998</v>
      </c>
      <c r="P22" s="88">
        <v>1.08</v>
      </c>
      <c r="Q22" s="90">
        <v>-5.0999999999999996</v>
      </c>
      <c r="R22" s="90">
        <v>85</v>
      </c>
      <c r="S22" s="91">
        <v>63.3</v>
      </c>
      <c r="T22" s="93"/>
      <c r="U22" s="93"/>
      <c r="V22" s="93"/>
      <c r="W22" s="93"/>
    </row>
    <row r="23" spans="1:23" ht="114.75" x14ac:dyDescent="0.35">
      <c r="A23" s="3" t="s">
        <v>20</v>
      </c>
      <c r="B23" s="3" t="s">
        <v>70</v>
      </c>
      <c r="C23" s="76">
        <v>1.04</v>
      </c>
      <c r="D23" s="69">
        <v>3031</v>
      </c>
      <c r="E23" s="87">
        <v>1.0999999999999999E-2</v>
      </c>
      <c r="F23" s="66">
        <v>55214</v>
      </c>
      <c r="G23" s="88">
        <v>7.2999999999999995E-2</v>
      </c>
      <c r="H23" s="57">
        <v>1.4E-2</v>
      </c>
      <c r="I23" s="57">
        <v>2.9000000000000001E-2</v>
      </c>
      <c r="J23" s="61">
        <v>305477.40000000002</v>
      </c>
      <c r="K23" s="68">
        <v>-3905</v>
      </c>
      <c r="L23" s="68">
        <v>54682.239999999998</v>
      </c>
      <c r="M23" s="68">
        <v>58768.63</v>
      </c>
      <c r="N23" s="95">
        <f>IFERROR(  (Table2[[#This Row],[Exports (USD Million)]] / Table2[[#This Row],[Imports (USD Million)]] ) - 1,  0)</f>
        <v>-6.9533524943494518E-2</v>
      </c>
      <c r="O23" s="68">
        <v>4819.87</v>
      </c>
      <c r="P23" s="88">
        <v>1.1100000000000001</v>
      </c>
      <c r="Q23" s="90">
        <v>95.3</v>
      </c>
      <c r="R23" s="90">
        <v>92</v>
      </c>
      <c r="S23" s="91">
        <v>62.5</v>
      </c>
      <c r="T23" s="94" t="s">
        <v>131</v>
      </c>
      <c r="U23" s="93"/>
      <c r="V23" s="94" t="s">
        <v>133</v>
      </c>
      <c r="W23" s="94" t="s">
        <v>132</v>
      </c>
    </row>
    <row r="24" spans="1:23" ht="114.75" x14ac:dyDescent="0.35">
      <c r="A24" s="3" t="s">
        <v>26</v>
      </c>
      <c r="B24" s="3" t="s">
        <v>79</v>
      </c>
      <c r="C24" s="76">
        <f>1/20.26</f>
        <v>4.9358341559723587E-2</v>
      </c>
      <c r="D24" s="112">
        <v>1789</v>
      </c>
      <c r="E24" s="113">
        <v>1.2999999999999999E-2</v>
      </c>
      <c r="F24" s="120">
        <v>22367</v>
      </c>
      <c r="G24" s="115">
        <v>2.4E-2</v>
      </c>
      <c r="H24" s="113">
        <v>3.5900000000000001E-2</v>
      </c>
      <c r="I24" s="113">
        <v>9.5000000000000001E-2</v>
      </c>
      <c r="J24" s="121">
        <v>232056</v>
      </c>
      <c r="K24" s="121">
        <v>2567</v>
      </c>
      <c r="L24" s="121">
        <v>51687</v>
      </c>
      <c r="M24" s="121">
        <v>49120</v>
      </c>
      <c r="N24" s="122">
        <f>IFERROR(  (Table2[[#This Row],[Exports (USD Million)]] / Table2[[#This Row],[Imports (USD Million)]] ) - 1,  0)</f>
        <v>5.2259771986970627E-2</v>
      </c>
      <c r="O24" s="121">
        <v>3217</v>
      </c>
      <c r="P24" s="115">
        <v>0.497</v>
      </c>
      <c r="Q24" s="123">
        <v>51.7</v>
      </c>
      <c r="R24" s="123">
        <v>46.7</v>
      </c>
      <c r="S24" s="92">
        <v>62</v>
      </c>
      <c r="T24" s="94" t="s">
        <v>164</v>
      </c>
      <c r="U24" s="94" t="s">
        <v>161</v>
      </c>
      <c r="V24" s="94" t="s">
        <v>160</v>
      </c>
      <c r="W24" s="94" t="s">
        <v>159</v>
      </c>
    </row>
    <row r="25" spans="1:23" ht="63.75" x14ac:dyDescent="0.35">
      <c r="A25" s="3" t="s">
        <v>36</v>
      </c>
      <c r="B25" s="3" t="s">
        <v>75</v>
      </c>
      <c r="C25" s="76">
        <v>1.04</v>
      </c>
      <c r="D25" s="69">
        <v>2255</v>
      </c>
      <c r="E25" s="87">
        <v>5.0000000000000001E-3</v>
      </c>
      <c r="F25" s="66">
        <v>52700</v>
      </c>
      <c r="G25" s="88">
        <v>6.2E-2</v>
      </c>
      <c r="H25" s="87">
        <v>1.4999999999999999E-2</v>
      </c>
      <c r="I25" s="87">
        <v>2.9000000000000001E-2</v>
      </c>
      <c r="J25" s="68">
        <v>306329.2</v>
      </c>
      <c r="K25" s="68">
        <v>5980</v>
      </c>
      <c r="L25" s="68">
        <v>51625.56</v>
      </c>
      <c r="M25" s="68">
        <v>45366.75</v>
      </c>
      <c r="N25" s="95">
        <f>IFERROR(  (Table2[[#This Row],[Exports (USD Million)]] / Table2[[#This Row],[Imports (USD Million)]] ) - 1,  0)</f>
        <v>0.13796029030071577</v>
      </c>
      <c r="O25" s="68">
        <v>4777.12</v>
      </c>
      <c r="P25" s="88">
        <v>1.35</v>
      </c>
      <c r="Q25" s="90">
        <v>86.8</v>
      </c>
      <c r="R25" s="90">
        <v>98.2</v>
      </c>
      <c r="S25" s="91">
        <v>60.1</v>
      </c>
      <c r="T25" s="94" t="s">
        <v>137</v>
      </c>
      <c r="U25" s="94" t="s">
        <v>134</v>
      </c>
      <c r="V25" s="94" t="s">
        <v>135</v>
      </c>
      <c r="W25" s="94" t="s">
        <v>136</v>
      </c>
    </row>
    <row r="26" spans="1:23" x14ac:dyDescent="0.35">
      <c r="A26" s="3" t="s">
        <v>37</v>
      </c>
      <c r="B26" s="3" t="s">
        <v>84</v>
      </c>
      <c r="C26" s="76">
        <f>1/33.77</f>
        <v>2.9612081729345572E-2</v>
      </c>
      <c r="D26" s="69">
        <v>515</v>
      </c>
      <c r="E26" s="87">
        <v>2.5000000000000001E-2</v>
      </c>
      <c r="F26" s="66">
        <v>21113</v>
      </c>
      <c r="G26" s="88">
        <v>8.8000000000000005E-3</v>
      </c>
      <c r="H26" s="57">
        <v>1.32E-2</v>
      </c>
      <c r="I26" s="57">
        <v>2.2499999999999999E-2</v>
      </c>
      <c r="J26" s="61">
        <v>242084</v>
      </c>
      <c r="K26" s="68">
        <v>-10.6</v>
      </c>
      <c r="L26" s="68">
        <v>24766</v>
      </c>
      <c r="M26" s="68">
        <v>24777</v>
      </c>
      <c r="N26" s="95">
        <f>IFERROR(  (Table2[[#This Row],[Exports (USD Million)]] / Table2[[#This Row],[Imports (USD Million)]] ) - 1,  0)</f>
        <v>-4.4396012430880649E-4</v>
      </c>
      <c r="O26" s="68">
        <v>1976.18</v>
      </c>
      <c r="P26" s="88">
        <v>0.61899999999999999</v>
      </c>
      <c r="Q26" s="90">
        <v>48.5</v>
      </c>
      <c r="R26" s="90">
        <v>59</v>
      </c>
      <c r="S26" s="91">
        <v>59</v>
      </c>
      <c r="T26" s="93"/>
      <c r="U26" s="93"/>
      <c r="V26" s="93"/>
      <c r="W26" s="93"/>
    </row>
    <row r="27" spans="1:23" x14ac:dyDescent="0.35">
      <c r="A27" s="3" t="s">
        <v>27</v>
      </c>
      <c r="B27" s="3" t="s">
        <v>80</v>
      </c>
      <c r="C27" s="76">
        <f>1/5.71</f>
        <v>0.17513134851138354</v>
      </c>
      <c r="D27" s="69">
        <v>2174</v>
      </c>
      <c r="E27" s="87">
        <v>2.9000000000000001E-2</v>
      </c>
      <c r="F27" s="66">
        <v>18554</v>
      </c>
      <c r="G27" s="88">
        <v>6.2E-2</v>
      </c>
      <c r="H27" s="87">
        <v>4.5600000000000002E-2</v>
      </c>
      <c r="I27" s="87">
        <v>0.13250000000000001</v>
      </c>
      <c r="J27" s="68">
        <v>329730</v>
      </c>
      <c r="K27" s="68">
        <v>2164</v>
      </c>
      <c r="L27" s="68">
        <v>25180</v>
      </c>
      <c r="M27" s="68">
        <v>23016</v>
      </c>
      <c r="N27" s="95">
        <f>IFERROR(  (Table2[[#This Row],[Exports (USD Million)]] / Table2[[#This Row],[Imports (USD Million)]] ) - 1,  0)</f>
        <v>9.402155022592984E-2</v>
      </c>
      <c r="O27" s="68">
        <v>2800</v>
      </c>
      <c r="P27" s="88">
        <v>0.8468</v>
      </c>
      <c r="Q27" s="90">
        <v>49.1</v>
      </c>
      <c r="R27" s="90"/>
      <c r="S27" s="91">
        <v>53.2</v>
      </c>
      <c r="T27" s="93"/>
      <c r="U27" s="94"/>
      <c r="V27" s="94"/>
      <c r="W27" s="94"/>
    </row>
    <row r="28" spans="1:23" ht="18" customHeight="1" x14ac:dyDescent="0.35">
      <c r="A28" s="3" t="s">
        <v>31</v>
      </c>
      <c r="B28" s="3" t="s">
        <v>85</v>
      </c>
      <c r="C28" s="76">
        <v>1.2E-2</v>
      </c>
      <c r="D28" s="69">
        <v>3550</v>
      </c>
      <c r="E28" s="87">
        <v>6.4000000000000001E-2</v>
      </c>
      <c r="F28" s="66">
        <v>9172</v>
      </c>
      <c r="G28" s="88">
        <v>8.3000000000000004E-2</v>
      </c>
      <c r="H28" s="87">
        <v>4.3099999999999999E-2</v>
      </c>
      <c r="I28" s="87">
        <v>6.25E-2</v>
      </c>
      <c r="J28" s="68">
        <v>638260</v>
      </c>
      <c r="K28" s="68">
        <v>-22990</v>
      </c>
      <c r="L28" s="68">
        <v>36430</v>
      </c>
      <c r="M28" s="68">
        <v>59420</v>
      </c>
      <c r="N28" s="95">
        <f>IFERROR(  (Table2[[#This Row],[Exports (USD Million)]] / Table2[[#This Row],[Imports (USD Million)]] ) - 1,  0)</f>
        <v>-0.3869067653988556</v>
      </c>
      <c r="O28" s="68">
        <v>5373</v>
      </c>
      <c r="P28" s="88">
        <v>0.81589999999999996</v>
      </c>
      <c r="Q28" s="90">
        <v>120</v>
      </c>
      <c r="R28" s="90">
        <v>93.7</v>
      </c>
      <c r="S28" s="91">
        <v>52.9</v>
      </c>
      <c r="T28" s="94" t="s">
        <v>125</v>
      </c>
      <c r="U28" s="94" t="s">
        <v>122</v>
      </c>
      <c r="V28" s="94" t="s">
        <v>123</v>
      </c>
      <c r="W28" s="94" t="s">
        <v>124</v>
      </c>
    </row>
    <row r="29" spans="1:23" ht="63.75" x14ac:dyDescent="0.35">
      <c r="A29" s="3" t="s">
        <v>28</v>
      </c>
      <c r="B29" s="3" t="s">
        <v>81</v>
      </c>
      <c r="C29" s="76">
        <v>0.14000000000000001</v>
      </c>
      <c r="D29" s="69">
        <v>17795</v>
      </c>
      <c r="E29" s="87">
        <v>0.05</v>
      </c>
      <c r="F29" s="66">
        <v>22135</v>
      </c>
      <c r="G29" s="88">
        <v>5.0999999999999997E-2</v>
      </c>
      <c r="H29" s="87">
        <v>5.0000000000000001E-3</v>
      </c>
      <c r="I29" s="57">
        <v>3.1E-2</v>
      </c>
      <c r="J29" s="61">
        <v>3209000</v>
      </c>
      <c r="K29" s="68">
        <v>105000</v>
      </c>
      <c r="L29" s="68">
        <v>336000</v>
      </c>
      <c r="M29" s="68">
        <v>231000</v>
      </c>
      <c r="N29" s="95">
        <f>IFERROR(  (Table2[[#This Row],[Exports (USD Million)]] / Table2[[#This Row],[Imports (USD Million)]] ) - 1,  0)</f>
        <v>0.45454545454545459</v>
      </c>
      <c r="O29" s="68">
        <v>13400</v>
      </c>
      <c r="P29" s="88">
        <v>0.83399999999999996</v>
      </c>
      <c r="Q29" s="90">
        <v>49.1</v>
      </c>
      <c r="R29" s="90">
        <v>86.4</v>
      </c>
      <c r="S29" s="91">
        <v>48.5</v>
      </c>
      <c r="T29" s="93"/>
      <c r="U29" s="93"/>
      <c r="V29" s="94" t="s">
        <v>112</v>
      </c>
      <c r="W29" s="94" t="s">
        <v>113</v>
      </c>
    </row>
    <row r="30" spans="1:23" ht="13.15" x14ac:dyDescent="0.35">
      <c r="A30" s="3" t="s">
        <v>154</v>
      </c>
      <c r="B30" s="3"/>
      <c r="C30" s="3"/>
      <c r="D30" s="108">
        <f>SUBTOTAL(101,Table2[GDP (USD billion)])</f>
        <v>3235.6482501467999</v>
      </c>
      <c r="E30" s="83">
        <f>SUBTOTAL(101,Table2[Full Year GDP  Growth])</f>
        <v>1.9500000000000003E-2</v>
      </c>
      <c r="F30" s="81">
        <f>SUBTOTAL(101,Table2[GDP per capita PPP (USD)])</f>
        <v>59009.24</v>
      </c>
      <c r="G30" s="84">
        <f>SUBTOTAL(101,Table2[Unemployment])</f>
        <v>4.6900000000000004E-2</v>
      </c>
      <c r="H30" s="83">
        <f>SUBTOTAL(101,Table2[Inflation rate])</f>
        <v>2.1873076923076922E-2</v>
      </c>
      <c r="I30" s="85">
        <f>SUBTOTAL(101,Table2[Interest Rate])</f>
        <v>3.8953846153846151E-2</v>
      </c>
      <c r="J30" s="86">
        <f>SUBTOTAL(101,Table2[Foreign Exchange Reserves (USD Million)])</f>
        <v>424954.63569691894</v>
      </c>
      <c r="K30" s="86">
        <f>SUBTOTAL(101,Table2[Balance Trade (USD Million)])</f>
        <v>1439.23108</v>
      </c>
      <c r="L30" s="81"/>
      <c r="M30" s="81"/>
      <c r="N30" s="110">
        <f>SUBTOTAL(101,Table2[Balance Trade %])</f>
        <v>0.13770282226298447</v>
      </c>
      <c r="O30" s="86">
        <f>SUBTOTAL(101,Table2[Foreign Direct Investment (USD Million)])</f>
        <v>49478.041199999992</v>
      </c>
      <c r="P30" s="84">
        <f>SUBTOTAL(101,Table2[Debt to GDP])</f>
        <v>0.78894799999999987</v>
      </c>
      <c r="Q30" s="82"/>
      <c r="R30" s="82"/>
      <c r="S30" s="64">
        <f>SUBTOTAL(101,Table2[Economic Freedom])</f>
        <v>69.442307692307679</v>
      </c>
      <c r="T30" s="51"/>
      <c r="U30" s="93"/>
      <c r="V30" s="93"/>
      <c r="W30" s="93">
        <f>SUBTOTAL(103,Table2[Debilidades])</f>
        <v>13</v>
      </c>
    </row>
    <row r="32" spans="1:23" x14ac:dyDescent="0.35">
      <c r="E32" s="70"/>
      <c r="O32" s="74"/>
    </row>
    <row r="37" spans="11:11" x14ac:dyDescent="0.35">
      <c r="K37" s="96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baseColWidth="10"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28"/>
      <c r="C2" s="129"/>
      <c r="D2" s="129"/>
      <c r="E2" s="130" t="s">
        <v>0</v>
      </c>
      <c r="F2" s="131"/>
      <c r="G2" s="131"/>
      <c r="H2" s="131"/>
      <c r="I2" s="131"/>
      <c r="J2" s="132"/>
      <c r="K2" s="133" t="s">
        <v>1</v>
      </c>
      <c r="L2" s="131"/>
      <c r="M2" s="13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34" t="s">
        <v>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0" t="s">
        <v>14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38" t="s">
        <v>13</v>
      </c>
      <c r="H32" s="139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16</vt:i4>
      </vt:variant>
    </vt:vector>
  </HeadingPairs>
  <TitlesOfParts>
    <vt:vector size="21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'Indizado FIRE'!ValorlTotalPortafolio</vt:lpstr>
      <vt:lpstr>ValorlTotalPortafolio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2025-03-12T16:27:26Z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