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josue\Documents\MarketStocksTracker\tracker-poetry\src\tracker_poetry\"/>
    </mc:Choice>
  </mc:AlternateContent>
  <xr:revisionPtr revIDLastSave="0" documentId="13_ncr:1_{A83A8CDB-9A48-4CF2-AFC3-000AF7FBCA4C}" xr6:coauthVersionLast="47" xr6:coauthVersionMax="47" xr10:uidLastSave="{00000000-0000-0000-0000-000000000000}"/>
  <bookViews>
    <workbookView xWindow="45960" yWindow="-120" windowWidth="29040" windowHeight="15840" xr2:uid="{00000000-000D-0000-FFFF-FFFF00000000}"/>
  </bookViews>
  <sheets>
    <sheet name="Indizado PPR" sheetId="1" r:id="rId1"/>
    <sheet name="Allianz" sheetId="4" r:id="rId2"/>
    <sheet name="Indizado FIRE" sheetId="5" r:id="rId3"/>
    <sheet name="Analisis de Indizados" sheetId="3" r:id="rId4"/>
    <sheet name="Patrimonial" sheetId="2" r:id="rId5"/>
  </sheets>
  <definedNames>
    <definedName name="AportacionesAcumuladas" comment="Total de dinero dosificado al plan de retiro">Allianz!$B$2</definedName>
    <definedName name="DDComprometidoUnidades">Allianz!$B$8</definedName>
    <definedName name="DDComprometidoValorUnitario">Allianz!$C$8</definedName>
    <definedName name="DDInicialUnidades">Allianz!$B$7</definedName>
    <definedName name="DDInicialValorUnitario">Allianz!$C$7</definedName>
    <definedName name="DDPonderacion">Allianz!$E$8</definedName>
    <definedName name="Fecha">Allianz!$B$1</definedName>
    <definedName name="NasdaqComprometidoUnidades">Allianz!$B$6</definedName>
    <definedName name="NasdaqComprometidoValorUnitario">Allianz!$C$6</definedName>
    <definedName name="NasdaqInicialUnidades">Allianz!$B$5</definedName>
    <definedName name="NasdaqInicialValorUnitario">Allianz!$C$5</definedName>
    <definedName name="NasdaqPonderacion">Allianz!$E$6</definedName>
    <definedName name="RendimientoPromedio" localSheetId="2">PortafolioIndizado[[#Totals],[Balance %]]</definedName>
    <definedName name="RendimientoPromedio">PortafolioPPR[[#Totals],[Balance %]]</definedName>
    <definedName name="ValorDDComprometido">Allianz!$D$8</definedName>
    <definedName name="ValorDDInicial">Allianz!$D$7</definedName>
    <definedName name="ValorlTotalPortafolio" localSheetId="2">PortafolioIndizado[[#Totals],[Market Value]]</definedName>
    <definedName name="ValorlTotalPortafolio">PortafolioPPR[[#Totals],[Market Value]]</definedName>
    <definedName name="ValorNasdaqComprometido">Allianz!$D$6</definedName>
    <definedName name="ValorNasdaqInicial">Allianz!$D$5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" l="1"/>
  <c r="C6" i="4"/>
  <c r="G16" i="5"/>
  <c r="I6" i="5"/>
  <c r="I7" i="5"/>
  <c r="I8" i="5"/>
  <c r="I9" i="5"/>
  <c r="I10" i="5"/>
  <c r="I11" i="5"/>
  <c r="I12" i="5"/>
  <c r="I13" i="5"/>
  <c r="I14" i="5"/>
  <c r="I15" i="5"/>
  <c r="I16" i="5"/>
  <c r="A11" i="5"/>
  <c r="A12" i="5"/>
  <c r="A13" i="5"/>
  <c r="A14" i="5" s="1"/>
  <c r="A15" i="5" s="1"/>
  <c r="A16" i="5" s="1"/>
  <c r="K6" i="5"/>
  <c r="L6" i="5" s="1"/>
  <c r="K7" i="5"/>
  <c r="L7" i="5" s="1"/>
  <c r="K8" i="5"/>
  <c r="L8" i="5" s="1"/>
  <c r="K9" i="5"/>
  <c r="L9" i="5" s="1"/>
  <c r="K10" i="5"/>
  <c r="L10" i="5" s="1"/>
  <c r="K11" i="5"/>
  <c r="L11" i="5" s="1"/>
  <c r="K12" i="5"/>
  <c r="L12" i="5" s="1"/>
  <c r="K13" i="5"/>
  <c r="L13" i="5" s="1"/>
  <c r="K14" i="5"/>
  <c r="L14" i="5" s="1"/>
  <c r="K15" i="5"/>
  <c r="L15" i="5" s="1"/>
  <c r="K16" i="5"/>
  <c r="L16" i="5" s="1"/>
  <c r="E17" i="5"/>
  <c r="L17" i="5" l="1"/>
  <c r="P8" i="5" s="1"/>
  <c r="D6" i="1"/>
  <c r="D7" i="1"/>
  <c r="G6" i="1"/>
  <c r="A7" i="1"/>
  <c r="J16" i="5"/>
  <c r="J6" i="5"/>
  <c r="G6" i="5" s="1"/>
  <c r="J7" i="5"/>
  <c r="J8" i="5"/>
  <c r="J9" i="5"/>
  <c r="J10" i="5"/>
  <c r="J11" i="5"/>
  <c r="J12" i="5"/>
  <c r="J13" i="5"/>
  <c r="J14" i="5"/>
  <c r="G14" i="5" s="1"/>
  <c r="F2" i="3"/>
  <c r="F30" i="3"/>
  <c r="N28" i="3"/>
  <c r="N16" i="3"/>
  <c r="N10" i="3"/>
  <c r="N18" i="3"/>
  <c r="N6" i="3"/>
  <c r="N14" i="3"/>
  <c r="N8" i="3"/>
  <c r="N9" i="3"/>
  <c r="N20" i="3"/>
  <c r="N21" i="3"/>
  <c r="N4" i="3"/>
  <c r="N5" i="3"/>
  <c r="N26" i="3"/>
  <c r="N25" i="3"/>
  <c r="N27" i="3"/>
  <c r="N29" i="3"/>
  <c r="N17" i="3"/>
  <c r="N13" i="3"/>
  <c r="N15" i="3"/>
  <c r="N19" i="3"/>
  <c r="N24" i="3"/>
  <c r="N23" i="3"/>
  <c r="N12" i="3"/>
  <c r="N7" i="3"/>
  <c r="N22" i="3"/>
  <c r="N11" i="3"/>
  <c r="W2" i="3"/>
  <c r="S2" i="3"/>
  <c r="P2" i="3"/>
  <c r="O2" i="3"/>
  <c r="K2" i="3"/>
  <c r="I2" i="3"/>
  <c r="H2" i="3"/>
  <c r="G2" i="3"/>
  <c r="E2" i="3"/>
  <c r="E6" i="1" l="1"/>
  <c r="M14" i="5"/>
  <c r="M9" i="5"/>
  <c r="G9" i="5"/>
  <c r="M8" i="5"/>
  <c r="G8" i="5"/>
  <c r="M16" i="5"/>
  <c r="M13" i="5"/>
  <c r="G13" i="5"/>
  <c r="M10" i="5"/>
  <c r="G10" i="5"/>
  <c r="M12" i="5"/>
  <c r="G12" i="5"/>
  <c r="M11" i="5"/>
  <c r="G11" i="5"/>
  <c r="M7" i="5"/>
  <c r="G7" i="5"/>
  <c r="P6" i="5"/>
  <c r="P9" i="5"/>
  <c r="P10" i="5"/>
  <c r="P14" i="5"/>
  <c r="P16" i="5"/>
  <c r="P7" i="5"/>
  <c r="P13" i="5"/>
  <c r="P11" i="5"/>
  <c r="P12" i="5"/>
  <c r="P15" i="5"/>
  <c r="N16" i="5"/>
  <c r="N14" i="5"/>
  <c r="N13" i="5"/>
  <c r="N12" i="5"/>
  <c r="N11" i="5"/>
  <c r="N10" i="5"/>
  <c r="N9" i="5"/>
  <c r="N8" i="5"/>
  <c r="N7" i="5"/>
  <c r="N30" i="3"/>
  <c r="N2" i="3"/>
  <c r="C5" i="3"/>
  <c r="J7" i="3"/>
  <c r="C7" i="3"/>
  <c r="D7" i="3" s="1"/>
  <c r="C15" i="3"/>
  <c r="C12" i="3"/>
  <c r="C8" i="3"/>
  <c r="J8" i="3" s="1"/>
  <c r="C10" i="3"/>
  <c r="C17" i="3"/>
  <c r="Q17" i="5"/>
  <c r="J15" i="5"/>
  <c r="A7" i="5"/>
  <c r="A8" i="5" s="1"/>
  <c r="A9" i="5" s="1"/>
  <c r="A10" i="5" s="1"/>
  <c r="M15" i="5" l="1"/>
  <c r="G15" i="5"/>
  <c r="J2" i="3"/>
  <c r="N15" i="5"/>
  <c r="D30" i="3"/>
  <c r="D2" i="3"/>
  <c r="J17" i="5"/>
  <c r="N6" i="5"/>
  <c r="G7" i="1"/>
  <c r="F7" i="1"/>
  <c r="F6" i="1"/>
  <c r="D5" i="4"/>
  <c r="D6" i="4"/>
  <c r="D7" i="4"/>
  <c r="D8" i="4"/>
  <c r="K30" i="2"/>
  <c r="J30" i="2"/>
  <c r="I30" i="2"/>
  <c r="L30" i="2" s="1"/>
  <c r="H30" i="2"/>
  <c r="K29" i="2"/>
  <c r="J29" i="2"/>
  <c r="I29" i="2"/>
  <c r="L29" i="2" s="1"/>
  <c r="H29" i="2"/>
  <c r="K28" i="2"/>
  <c r="J28" i="2"/>
  <c r="I28" i="2"/>
  <c r="L28" i="2" s="1"/>
  <c r="H28" i="2"/>
  <c r="K27" i="2"/>
  <c r="J27" i="2"/>
  <c r="I27" i="2"/>
  <c r="L27" i="2" s="1"/>
  <c r="H27" i="2"/>
  <c r="K26" i="2"/>
  <c r="J26" i="2"/>
  <c r="I26" i="2"/>
  <c r="L26" i="2" s="1"/>
  <c r="H26" i="2"/>
  <c r="K25" i="2"/>
  <c r="J25" i="2"/>
  <c r="I25" i="2"/>
  <c r="L25" i="2" s="1"/>
  <c r="H25" i="2"/>
  <c r="K24" i="2"/>
  <c r="J24" i="2"/>
  <c r="I24" i="2"/>
  <c r="L24" i="2" s="1"/>
  <c r="H24" i="2"/>
  <c r="K23" i="2"/>
  <c r="J23" i="2"/>
  <c r="I23" i="2"/>
  <c r="L23" i="2" s="1"/>
  <c r="H23" i="2"/>
  <c r="K22" i="2"/>
  <c r="J22" i="2"/>
  <c r="I22" i="2"/>
  <c r="L22" i="2" s="1"/>
  <c r="H22" i="2"/>
  <c r="K21" i="2"/>
  <c r="J21" i="2"/>
  <c r="I21" i="2"/>
  <c r="L21" i="2" s="1"/>
  <c r="H21" i="2"/>
  <c r="L20" i="2"/>
  <c r="K20" i="2"/>
  <c r="J20" i="2"/>
  <c r="I20" i="2"/>
  <c r="H20" i="2"/>
  <c r="K19" i="2"/>
  <c r="J19" i="2"/>
  <c r="I19" i="2"/>
  <c r="L19" i="2" s="1"/>
  <c r="H19" i="2"/>
  <c r="K18" i="2"/>
  <c r="J18" i="2"/>
  <c r="I18" i="2"/>
  <c r="L18" i="2" s="1"/>
  <c r="H18" i="2"/>
  <c r="L17" i="2"/>
  <c r="K17" i="2"/>
  <c r="J17" i="2"/>
  <c r="I17" i="2"/>
  <c r="H17" i="2"/>
  <c r="K16" i="2"/>
  <c r="J16" i="2"/>
  <c r="I16" i="2"/>
  <c r="L16" i="2" s="1"/>
  <c r="H16" i="2"/>
  <c r="K15" i="2"/>
  <c r="J15" i="2"/>
  <c r="I15" i="2"/>
  <c r="L15" i="2" s="1"/>
  <c r="H15" i="2"/>
  <c r="K14" i="2"/>
  <c r="J14" i="2"/>
  <c r="I14" i="2"/>
  <c r="L14" i="2" s="1"/>
  <c r="H14" i="2"/>
  <c r="K13" i="2"/>
  <c r="J13" i="2"/>
  <c r="I13" i="2"/>
  <c r="L13" i="2" s="1"/>
  <c r="H13" i="2"/>
  <c r="L12" i="2"/>
  <c r="K12" i="2"/>
  <c r="J12" i="2"/>
  <c r="I12" i="2"/>
  <c r="H12" i="2"/>
  <c r="K11" i="2"/>
  <c r="J11" i="2"/>
  <c r="I11" i="2"/>
  <c r="L11" i="2" s="1"/>
  <c r="H11" i="2"/>
  <c r="K10" i="2"/>
  <c r="J10" i="2"/>
  <c r="I10" i="2"/>
  <c r="L10" i="2" s="1"/>
  <c r="H10" i="2"/>
  <c r="K9" i="2"/>
  <c r="J9" i="2"/>
  <c r="I9" i="2"/>
  <c r="L9" i="2" s="1"/>
  <c r="H9" i="2"/>
  <c r="K8" i="2"/>
  <c r="J8" i="2"/>
  <c r="I8" i="2"/>
  <c r="L8" i="2" s="1"/>
  <c r="H8" i="2"/>
  <c r="I7" i="2"/>
  <c r="J7" i="2" s="1"/>
  <c r="H7" i="2"/>
  <c r="K7" i="2" s="1"/>
  <c r="C16" i="4" l="1"/>
  <c r="H7" i="1"/>
  <c r="I7" i="1" s="1"/>
  <c r="H6" i="1"/>
  <c r="I6" i="1" s="1"/>
  <c r="E7" i="1"/>
  <c r="D10" i="4"/>
  <c r="D11" i="4" s="1"/>
  <c r="C15" i="4"/>
  <c r="K17" i="5"/>
  <c r="M6" i="5"/>
  <c r="M17" i="5" s="1"/>
  <c r="N17" i="5"/>
  <c r="G8" i="1"/>
  <c r="K6" i="1" s="1"/>
  <c r="I32" i="2"/>
  <c r="L7" i="2" s="1"/>
  <c r="K6" i="2"/>
  <c r="J6" i="2"/>
  <c r="K7" i="1" l="1"/>
  <c r="K8" i="1" s="1"/>
  <c r="C18" i="4"/>
  <c r="C17" i="4"/>
  <c r="O6" i="5"/>
  <c r="O7" i="5"/>
  <c r="O8" i="5"/>
  <c r="O9" i="5"/>
  <c r="O10" i="5"/>
  <c r="O11" i="5"/>
  <c r="O12" i="5"/>
  <c r="O15" i="5"/>
  <c r="O14" i="5"/>
  <c r="O13" i="5"/>
  <c r="O16" i="5"/>
  <c r="J7" i="1"/>
  <c r="J6" i="1"/>
  <c r="H8" i="1"/>
  <c r="J8" i="1" s="1"/>
  <c r="I8" i="1"/>
  <c r="L6" i="2"/>
  <c r="O17" i="5" l="1"/>
  <c r="W30" i="3"/>
  <c r="I30" i="3"/>
  <c r="O30" i="3"/>
  <c r="G30" i="3"/>
  <c r="P30" i="3"/>
  <c r="K30" i="3"/>
  <c r="J30" i="3"/>
  <c r="H30" i="3"/>
  <c r="S30" i="3"/>
  <c r="E30" i="3"/>
</calcChain>
</file>

<file path=xl/sharedStrings.xml><?xml version="1.0" encoding="utf-8"?>
<sst xmlns="http://schemas.openxmlformats.org/spreadsheetml/2006/main" count="226" uniqueCount="188">
  <si>
    <t>Ejemplo de Monitoreo y Diseñador de Portafolio - InvestorHouse México</t>
  </si>
  <si>
    <t>Aprende a Invertir® www.investorhouse.com.mx</t>
  </si>
  <si>
    <t>Material para uso exclusivo con fines educativos para estudiantes de InvestorHouse México®. No representa asesoría financiera, consejos de inversión ni recomendaciones de compra o promoción de valores.</t>
  </si>
  <si>
    <t>Portafolio Indizado</t>
  </si>
  <si>
    <t>Número de Acciones      (Títulos)</t>
  </si>
  <si>
    <t>Costo Promedio Unitario a la Compra</t>
  </si>
  <si>
    <t>Precio                 Actual</t>
  </si>
  <si>
    <t>Valor a la Compra</t>
  </si>
  <si>
    <t>Valor              Actual</t>
  </si>
  <si>
    <t>Ganancia / Pérdida $</t>
  </si>
  <si>
    <t>Ganancia / Pérdida %</t>
  </si>
  <si>
    <t>Peso %    Actual</t>
  </si>
  <si>
    <t>Peso % Objetivo</t>
  </si>
  <si>
    <t>Valor Total del Portafolio:</t>
  </si>
  <si>
    <t>Portafolio Patrimonial</t>
  </si>
  <si>
    <t>Nombre        (Empresa/Sector)</t>
  </si>
  <si>
    <t>Símbolo        (Ticker)</t>
  </si>
  <si>
    <t>`</t>
  </si>
  <si>
    <t>Alemania</t>
  </si>
  <si>
    <t>UK</t>
  </si>
  <si>
    <t>Francia</t>
  </si>
  <si>
    <t>España</t>
  </si>
  <si>
    <t>Noruega</t>
  </si>
  <si>
    <t>Suecia</t>
  </si>
  <si>
    <t>Suiza</t>
  </si>
  <si>
    <t>USA</t>
  </si>
  <si>
    <t>Mexico</t>
  </si>
  <si>
    <t>Brasil</t>
  </si>
  <si>
    <t>China</t>
  </si>
  <si>
    <t>Australia</t>
  </si>
  <si>
    <t>Singapur</t>
  </si>
  <si>
    <t>India</t>
  </si>
  <si>
    <t>Corea del Sur</t>
  </si>
  <si>
    <t>Japon</t>
  </si>
  <si>
    <t>Quatar</t>
  </si>
  <si>
    <t>Emiratos Arabes</t>
  </si>
  <si>
    <t>Italia</t>
  </si>
  <si>
    <t>Tailandia</t>
  </si>
  <si>
    <t>Holanda</t>
  </si>
  <si>
    <t>Pais/Region</t>
  </si>
  <si>
    <t>Instrumento</t>
  </si>
  <si>
    <t>151NQ</t>
  </si>
  <si>
    <t>151DD</t>
  </si>
  <si>
    <t>Ticker</t>
  </si>
  <si>
    <t>Total</t>
  </si>
  <si>
    <t>Unidades Acumuladas</t>
  </si>
  <si>
    <t>Aportaciones Acumuladas</t>
  </si>
  <si>
    <t>Portafolio</t>
  </si>
  <si>
    <t>Valor por unidad</t>
  </si>
  <si>
    <t>Monto en Moneda</t>
  </si>
  <si>
    <t>151NQO Allianz Nasdaq Inicial</t>
  </si>
  <si>
    <t>151NQC Allianz Nasdaq Comprometido</t>
  </si>
  <si>
    <t>151DDO Dinámico Dólares Inicial</t>
  </si>
  <si>
    <t>151DDC Dinámico Dólares Comprometido</t>
  </si>
  <si>
    <t xml:space="preserve">Fecha </t>
  </si>
  <si>
    <t>Ponderación</t>
  </si>
  <si>
    <t>Último Análisis</t>
  </si>
  <si>
    <t>Notas</t>
  </si>
  <si>
    <t>Fortalezas</t>
  </si>
  <si>
    <t>Debilidades</t>
  </si>
  <si>
    <t>EWG</t>
  </si>
  <si>
    <t>EWU</t>
  </si>
  <si>
    <t>EWS</t>
  </si>
  <si>
    <t>EWQ</t>
  </si>
  <si>
    <t>EWP</t>
  </si>
  <si>
    <t>ENOR</t>
  </si>
  <si>
    <t>EWD</t>
  </si>
  <si>
    <t>EWN</t>
  </si>
  <si>
    <t>EWI</t>
  </si>
  <si>
    <t>EWL</t>
  </si>
  <si>
    <t>EWC</t>
  </si>
  <si>
    <t>SPLG</t>
  </si>
  <si>
    <t>NAFTRAC</t>
  </si>
  <si>
    <t>EWZ</t>
  </si>
  <si>
    <t>MCHI</t>
  </si>
  <si>
    <t>EWA</t>
  </si>
  <si>
    <t>Taiwan</t>
  </si>
  <si>
    <t>THD</t>
  </si>
  <si>
    <t>INDA</t>
  </si>
  <si>
    <t>EWY</t>
  </si>
  <si>
    <t>EWJ</t>
  </si>
  <si>
    <t>QAT</t>
  </si>
  <si>
    <t>UAE</t>
  </si>
  <si>
    <t>Resumen</t>
  </si>
  <si>
    <t>Luxemburgo</t>
  </si>
  <si>
    <t>Irlanda</t>
  </si>
  <si>
    <t>EIRL</t>
  </si>
  <si>
    <t>Canada</t>
  </si>
  <si>
    <t>Inflation rate</t>
  </si>
  <si>
    <t>Debt to GDP</t>
  </si>
  <si>
    <t>Unemployment</t>
  </si>
  <si>
    <t>Economic Freedom</t>
  </si>
  <si>
    <t>GDP (USD billion)</t>
  </si>
  <si>
    <t>Interest Rate</t>
  </si>
  <si>
    <t>Balance Trade (USD Million)</t>
  </si>
  <si>
    <t>Business Confidence</t>
  </si>
  <si>
    <t>Consumer Confidence</t>
  </si>
  <si>
    <t>Foreign Exchange Reserves (USD Million)</t>
  </si>
  <si>
    <t>Currency (to USD)</t>
  </si>
  <si>
    <t>Foreign Direct Investment (USD Million)</t>
  </si>
  <si>
    <t>GDP per capita PPP (USD)</t>
  </si>
  <si>
    <t>Estados Unidos</t>
  </si>
  <si>
    <t>Full Year GDP  Growth</t>
  </si>
  <si>
    <t>Balance Trade %</t>
  </si>
  <si>
    <t>Deficit comercial amplio, Deficit presupuestario dado al alto endeudamiento nacional</t>
  </si>
  <si>
    <t>2da mayor economia, gobierno apoya empresas nacionales para lograr autonomia tecnologica</t>
  </si>
  <si>
    <t>Sector inmobiliario devastado, envejecimiento poblacional, alto endeudamineto de empresas privadas, tensiones politicas con Occidente</t>
  </si>
  <si>
    <t>Crecimiento sosteniado desde la pandemia, se ha despegado de otras potencias mundiales, dolar fortalecido</t>
  </si>
  <si>
    <t>Fuerte base industrial y servicios su principal sector economico</t>
  </si>
  <si>
    <t>Mayor economia europea, posicion geofrafica favorable para trading en la region, gestion fiscal prudente, mano de obra cualificada</t>
  </si>
  <si>
    <t>Envejecimiento poblacional, rezago en tecnologia e industria automotriz respecto a China, desde 2018 su crecimineto economico se ha quedado muy por debajo de la media del G7</t>
  </si>
  <si>
    <t>Al parecer, esta limitado su crecimineto a menos del 1% en los proximos años, Ha perdido relevancia desde los años 90</t>
  </si>
  <si>
    <t>Su economia se basa fuertemente en el sector manufacturero de la electronica, los vehiculos de motor y la robotica, orientada a la exportacion</t>
  </si>
  <si>
    <t>Superavits comerciales y fuerte sector de servicios bancarios y financieros</t>
  </si>
  <si>
    <t>Crecimiento debil del PIB, importante reto demografico de rapido envejecimiento y baja tasa de natalidad, Importa mucha materia prima del exterior</t>
  </si>
  <si>
    <t>Se espera un crecimineto fuerte de este pais, ha duplicado con creces su tamaño en la última década</t>
  </si>
  <si>
    <t>TI especialmente fuerte, la famaceutica en medicamentos genericos, gran parte de la poblacion se dedica al sector agricola, vasto mercado interior y estabilidad politica</t>
  </si>
  <si>
    <t>Alta desigualdad socioeqonomica, deficiencia en infraestructura sobre todo en zonas rurales, trabas burocraticas</t>
  </si>
  <si>
    <t>Se. mantendrá en rapido crecimiento en los proximos años, aunqeu significativamente inferiorres al ritmo que crecia Chinacuando tenia un PIB per capita similar</t>
  </si>
  <si>
    <t>Proximos años con crecimiento económico alrededor del 0.5% menos que en la decada anterior a la pandemia, osea desacelaracion en su crecimiento dado el golpe duradero que representa el Brexit</t>
  </si>
  <si>
    <t>Economia orientada a servicios, seguros, finanzas y sector inmobiliario, City de Londres es un conglomerado empresarial muy influyente</t>
  </si>
  <si>
    <t>Mercado flexible, industria creativa, enseñanza superior y sistema educativo eficaz son puntos fuertes</t>
  </si>
  <si>
    <t>Retos en comercio y movilidad laboral dado el Brexit, exportaciones e inversion obstaculizadas. Crecientes demandas de gasto publico en un entorno de bajo crecimiento de PIB</t>
  </si>
  <si>
    <t>La ruputra en las cadenas de suministros desde China, ha sido un factor que ha perjudicado a la propia China y ha fortalecido la industria estadounidense, con miras en realocar sus cadenas de valor (nearshoring) en el mismo pais y en otros mas cercanos.</t>
  </si>
  <si>
    <t>Crecimiento superior a Alemania e Italia, acercandose a la media de la Union Europea</t>
  </si>
  <si>
    <t>Inestabilidad politica interna, deficit fiscal importante del estado, protestas publicas</t>
  </si>
  <si>
    <t>Economia diversificada, principales marcas de consumo discrecional , sector aeroespacial con Airbus, sectro agricola mas fuerte de la UE: lacteos, cereales y vino. Paris nuevo centro financiero de la UE desde el brexit</t>
  </si>
  <si>
    <t>Norte muy industrializado (Milan), Sur subdesarrollado</t>
  </si>
  <si>
    <t>Economia fuerte en servicios y en fabricacion de arituclos de lujo, maquinari y motor de lujo (Ferrari, Fiat) , 3er productor agricola de la UE</t>
  </si>
  <si>
    <t>Mucha deuda, Inestaiblidad politica que lleva mucho tiempo, esta recibiendo apoyo de los fondos de recuperacion de la UE</t>
  </si>
  <si>
    <t>Inestabilidad politica en ultimas decadas y sobreendeudamiento hacen preveer un crecimiento por debajo del 1% dentro de los siguientes años, futuro menguado</t>
  </si>
  <si>
    <t>Indonesia</t>
  </si>
  <si>
    <t>EIDO</t>
  </si>
  <si>
    <t>Exports (USD Million)</t>
  </si>
  <si>
    <t>Imports (USD Million)</t>
  </si>
  <si>
    <t>Fondo Inicial</t>
  </si>
  <si>
    <t>Cargo Adm. 0.9%</t>
  </si>
  <si>
    <t>Cargo Gest 0.01%</t>
  </si>
  <si>
    <t xml:space="preserve">Aportacion Actual </t>
  </si>
  <si>
    <t>Allianz</t>
  </si>
  <si>
    <t>Budget</t>
  </si>
  <si>
    <t>Infonavit</t>
  </si>
  <si>
    <t>Inversion</t>
  </si>
  <si>
    <t>Bono Fidelidad</t>
  </si>
  <si>
    <t>Valor Portafolio</t>
  </si>
  <si>
    <t>Saldo Del fondo (Portafolio + Bono)</t>
  </si>
  <si>
    <t>Averages</t>
  </si>
  <si>
    <t>Crecimineto sostenido del GDP promedio 5%, potencial de crecimineto si resuleve sus temas gubernamentales y carencias de economia emergente, tiene un buen balance trade arriba del promedio, deuda debajo del promedio, tiene mucha poblacion para mano de obra</t>
  </si>
  <si>
    <t>Corrupcion, pobreza, poco acceso a la educacion, infraestructura ineficiente. Tambien exposicion a clima extremo como huracanes, tormentas tropicales y tsunamis, trae un desempleo importante de 4.9%, la mano de obra no es cualificada</t>
  </si>
  <si>
    <t>Su eonomia se basa en sus ricos recursos naturales, aunque el gobierno ha querido dejar de depender de esto y ahora insentiva inversion en infraestructura para procesos manufactoureros para mover la cadena de valor, expecteatiba de crecimiento notable arriba del promeido Asia-ex Japon hacia 2028. Su turismo se esta incrementando. SE PUEDE CONSIDERAR UNA PEQUEÑA PORCION DEL PORTFOLIO POR SU CRECIMIENTO SOSTENIDO Y POTENCIAL FUTURO</t>
  </si>
  <si>
    <t xml:space="preserve">Economia Emergente, trae una tasa de interes relativamente alta respecto a su inflacion, esta por debajo del promedio de econmomic freedom, deuda debajo del promedio, su corrupcion promedio </t>
  </si>
  <si>
    <t>Trae un crecimiento de pib decreciente desde pandemia, no termina de repuntar, sigue estando propenso a inflacion moderada alta, tasa de interes alta para los empresarios, subempleo, infraestructura tambaleante, violencia relacionada a las drogas, alta corrupcion</t>
  </si>
  <si>
    <t xml:space="preserve">Desempleo bajo historicamente, cercania con Estados Unidos, gran polacion empleable, la segunda economia en latinoamerica, cuarta en el continente,  </t>
  </si>
  <si>
    <t>Su inversion extranjera directa se ve mermada comparada con otros paises, en 2023 se convirtió en el mayor partner de USA, su Economic Feedom Index esta por debajo del promedio</t>
  </si>
  <si>
    <t>Rico en recursos naturales como petroleo, forestacion y mnieria. Fuerte presencia de servicios financieros y tecnologicos, Gobernanza limpia, arriba del promedio de Economic Freedom</t>
  </si>
  <si>
    <t>Tuvo que recortar las cuotas de migracion debido al alza de desempleo y altos costos de vivienda que se vienen generando, muy fuerte dependencia a Estados Unidos (con Donald Trump y sus aranceles , esto es especialmente riesgoso) y la fluctuacion de precios internacionales de materias primas, trae un endeudamiento fuerte</t>
  </si>
  <si>
    <t>Hub manufacturero, economia emergente, no se espera un crecimineto en los siguientes años, simplemente seguir con un crecimiento promedio latinoamericano, debido a multiples retos, muy alta corrupcion respecto a otros paises con 26/100 y alta delincuencia, economicos. SU CRECIMIENTO SE PRONOSTICA ESTABLE PERO BAJO, Y MIENTRAS NO HAYA CAMBIO DE GOBIERNO, DIFICILMENTE LAS COSAS VAN A CAMBIAR.</t>
  </si>
  <si>
    <t>PIB dominado por servicios, fuerte crecimiento en los ultimos años dada la alta demanda de Estados Unidos, su principal socio comercial, y al aumento poblacional de 10% en los ultimos 5 años. Mantiene la segunda reserva de petroleo mas grande del mundo, y conserva gran industria minera, GPD ppp muy superior al promedio alto estandar de vida</t>
  </si>
  <si>
    <t>Crecimiento promedio de 1.9% annual en la ultima decada, economia desarrolladase espera un crecimiento un poco arriba del G7 promedio , trae un desempleo ligeramente arriba del historico , 75/100 de corrupcion, ha tenido mejores años, pero mejor que muchos paises emergentes</t>
  </si>
  <si>
    <t>Su crecimiento se ve volatil en los ultimos años, muy atractivo algunos años arriba del 10% otros pesimo incluso negativo pero 9.1% muy arriba del promedio de euro zona de 1.4%. Desempleo promedio, 77/100 de corrupcion , nivel sano</t>
  </si>
  <si>
    <t>Muchas firmas internacionales</t>
  </si>
  <si>
    <t>Poco que exportar de commodities, politica basada en atraccion de firmas extranjeras</t>
  </si>
  <si>
    <t>Euro Zona</t>
  </si>
  <si>
    <t>VGK</t>
  </si>
  <si>
    <t>Buena libertad economica, altos estandares de vida, abundantes recursos naturales</t>
  </si>
  <si>
    <t>Sobre dependencia de China</t>
  </si>
  <si>
    <t>Allianz Nasdaq</t>
  </si>
  <si>
    <t>Allianz Dinamico Dolares</t>
  </si>
  <si>
    <t>Number</t>
  </si>
  <si>
    <t>Name</t>
  </si>
  <si>
    <t>Shares</t>
  </si>
  <si>
    <t>Balance</t>
  </si>
  <si>
    <t>Balance %</t>
  </si>
  <si>
    <t>Current Weight %</t>
  </si>
  <si>
    <t>Target Weight %</t>
  </si>
  <si>
    <t>Average Unit Cost</t>
  </si>
  <si>
    <t>Current Unit Cost</t>
  </si>
  <si>
    <t>Purchased Value</t>
  </si>
  <si>
    <t>Market Value</t>
  </si>
  <si>
    <t>Portafolio de Retiro</t>
  </si>
  <si>
    <t>To Buy</t>
  </si>
  <si>
    <t>Potential Weight %</t>
  </si>
  <si>
    <t>Potential Market Value</t>
  </si>
  <si>
    <t>Potential Average Unit Cost</t>
  </si>
  <si>
    <t>Unit Cost Diff %</t>
  </si>
  <si>
    <t>Weight %</t>
  </si>
  <si>
    <t>Fondo Comprometido</t>
  </si>
  <si>
    <t>28/2/2025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</si>
</sst>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164" formatCode="&quot;$&quot;#,##0.00"/>
    <numFmt numFmtId="166" formatCode="0.0000"/>
    <numFmt numFmtId="167" formatCode="_(&quot;$&quot;* #,##0.0000_);_(&quot;$&quot;* \(#,##0.0000\);_(&quot;$&quot;* &quot;-&quot;??_);_(@_)"/>
    <numFmt numFmtId="168" formatCode="0.0%"/>
    <numFmt numFmtId="169" formatCode="_(&quot;$&quot;* #,##0_);_(&quot;$&quot;* \(#,##0\);_(&quot;$&quot;* &quot;-&quot;??_);_(@_)"/>
    <numFmt numFmtId="170" formatCode="0.0"/>
    <numFmt numFmtId="171" formatCode="0.000"/>
    <numFmt numFmtId="172" formatCode="0.00000"/>
    <numFmt numFmtId="173" formatCode="0.0000000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8"/>
      <color rgb="FF999999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EF1CC"/>
        <bgColor rgb="FFFEF1CC"/>
      </patternFill>
    </fill>
    <fill>
      <patternFill patternType="solid">
        <fgColor rgb="FFF4CCCC"/>
        <bgColor rgb="FFF4CCCC"/>
      </patternFill>
    </fill>
    <fill>
      <patternFill patternType="solid">
        <fgColor rgb="FF00408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5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164" fontId="1" fillId="7" borderId="6" xfId="0" applyNumberFormat="1" applyFont="1" applyFill="1" applyBorder="1" applyAlignment="1">
      <alignment horizontal="center" vertical="center" wrapText="1"/>
    </xf>
    <xf numFmtId="10" fontId="6" fillId="7" borderId="3" xfId="0" applyNumberFormat="1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164" fontId="1" fillId="9" borderId="6" xfId="0" applyNumberFormat="1" applyFont="1" applyFill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10" fontId="7" fillId="0" borderId="6" xfId="0" applyNumberFormat="1" applyFont="1" applyBorder="1" applyAlignment="1">
      <alignment horizontal="center" vertical="center" wrapText="1"/>
    </xf>
    <xf numFmtId="10" fontId="7" fillId="2" borderId="6" xfId="0" applyNumberFormat="1" applyFont="1" applyFill="1" applyBorder="1" applyAlignment="1">
      <alignment horizontal="center" vertical="center" wrapText="1"/>
    </xf>
    <xf numFmtId="10" fontId="7" fillId="6" borderId="6" xfId="0" applyNumberFormat="1" applyFont="1" applyFill="1" applyBorder="1" applyAlignment="1">
      <alignment horizontal="center" vertical="center" wrapText="1"/>
    </xf>
    <xf numFmtId="10" fontId="7" fillId="0" borderId="0" xfId="0" applyNumberFormat="1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7" fillId="10" borderId="9" xfId="0" applyNumberFormat="1" applyFont="1" applyFill="1" applyBorder="1" applyAlignment="1">
      <alignment horizontal="center" vertical="center" wrapText="1"/>
    </xf>
    <xf numFmtId="9" fontId="7" fillId="0" borderId="0" xfId="0" applyNumberFormat="1" applyFont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8" fillId="0" borderId="0" xfId="0" applyFont="1"/>
    <xf numFmtId="0" fontId="1" fillId="8" borderId="3" xfId="0" applyFont="1" applyFill="1" applyBorder="1" applyAlignment="1">
      <alignment horizontal="center" vertical="center" wrapText="1"/>
    </xf>
    <xf numFmtId="10" fontId="7" fillId="6" borderId="1" xfId="0" applyNumberFormat="1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164" fontId="1" fillId="9" borderId="12" xfId="0" applyNumberFormat="1" applyFont="1" applyFill="1" applyBorder="1" applyAlignment="1">
      <alignment horizontal="center" vertical="center" wrapText="1"/>
    </xf>
    <xf numFmtId="164" fontId="7" fillId="0" borderId="12" xfId="0" applyNumberFormat="1" applyFont="1" applyBorder="1" applyAlignment="1">
      <alignment horizontal="center" vertical="center" wrapText="1"/>
    </xf>
    <xf numFmtId="10" fontId="7" fillId="0" borderId="12" xfId="0" applyNumberFormat="1" applyFont="1" applyBorder="1" applyAlignment="1">
      <alignment horizontal="center" vertical="center" wrapText="1"/>
    </xf>
    <xf numFmtId="10" fontId="7" fillId="2" borderId="12" xfId="0" applyNumberFormat="1" applyFont="1" applyFill="1" applyBorder="1" applyAlignment="1">
      <alignment horizontal="center" vertical="center" wrapText="1"/>
    </xf>
    <xf numFmtId="10" fontId="7" fillId="6" borderId="13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0" fontId="8" fillId="0" borderId="0" xfId="0" applyFont="1" applyAlignment="1">
      <alignment horizontal="center" wrapText="1"/>
    </xf>
    <xf numFmtId="0" fontId="9" fillId="12" borderId="0" xfId="0" applyFont="1" applyFill="1" applyAlignment="1">
      <alignment horizontal="left" vertical="center" wrapText="1"/>
    </xf>
    <xf numFmtId="44" fontId="0" fillId="0" borderId="0" xfId="1" applyFont="1"/>
    <xf numFmtId="166" fontId="0" fillId="0" borderId="0" xfId="0" applyNumberFormat="1"/>
    <xf numFmtId="167" fontId="0" fillId="0" borderId="0" xfId="1" applyNumberFormat="1" applyFont="1"/>
    <xf numFmtId="9" fontId="0" fillId="0" borderId="0" xfId="2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/>
    </xf>
    <xf numFmtId="10" fontId="0" fillId="0" borderId="0" xfId="2" applyNumberFormat="1" applyFont="1"/>
    <xf numFmtId="168" fontId="8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left" vertical="top"/>
    </xf>
    <xf numFmtId="10" fontId="8" fillId="0" borderId="0" xfId="2" applyNumberFormat="1" applyFont="1" applyAlignment="1">
      <alignment horizontal="center" vertical="center"/>
    </xf>
    <xf numFmtId="10" fontId="8" fillId="0" borderId="0" xfId="2" applyNumberFormat="1" applyFont="1" applyAlignment="1">
      <alignment horizontal="left" vertical="top"/>
    </xf>
    <xf numFmtId="44" fontId="0" fillId="0" borderId="0" xfId="1" applyFont="1" applyAlignment="1">
      <alignment horizontal="left" vertical="top"/>
    </xf>
    <xf numFmtId="169" fontId="0" fillId="0" borderId="0" xfId="1" applyNumberFormat="1" applyFont="1" applyAlignment="1">
      <alignment horizontal="left" vertical="top"/>
    </xf>
    <xf numFmtId="169" fontId="8" fillId="0" borderId="0" xfId="1" applyNumberFormat="1" applyFont="1" applyAlignment="1">
      <alignment horizontal="center" vertical="center"/>
    </xf>
    <xf numFmtId="169" fontId="0" fillId="0" borderId="0" xfId="1" applyNumberFormat="1" applyFont="1"/>
    <xf numFmtId="169" fontId="8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0" fontId="8" fillId="0" borderId="0" xfId="2" applyNumberFormat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8" fillId="0" borderId="0" xfId="1" applyFont="1" applyAlignment="1">
      <alignment horizontal="center" vertical="center" wrapText="1"/>
    </xf>
    <xf numFmtId="169" fontId="0" fillId="0" borderId="0" xfId="1" applyNumberFormat="1" applyFont="1" applyAlignment="1">
      <alignment horizontal="center" vertical="center"/>
    </xf>
    <xf numFmtId="169" fontId="4" fillId="0" borderId="0" xfId="1" applyNumberFormat="1" applyFont="1" applyAlignment="1">
      <alignment horizontal="center" vertical="center" wrapText="1"/>
    </xf>
    <xf numFmtId="13" fontId="0" fillId="0" borderId="0" xfId="2" applyNumberFormat="1" applyFont="1"/>
    <xf numFmtId="170" fontId="0" fillId="0" borderId="0" xfId="2" applyNumberFormat="1" applyFont="1" applyAlignment="1">
      <alignment horizontal="left" vertical="top"/>
    </xf>
    <xf numFmtId="170" fontId="8" fillId="0" borderId="0" xfId="2" applyNumberFormat="1" applyFont="1" applyAlignment="1">
      <alignment horizontal="center" vertical="center" wrapText="1"/>
    </xf>
    <xf numFmtId="170" fontId="0" fillId="0" borderId="0" xfId="2" applyNumberFormat="1" applyFont="1"/>
    <xf numFmtId="173" fontId="0" fillId="0" borderId="0" xfId="2" applyNumberFormat="1" applyFont="1"/>
    <xf numFmtId="172" fontId="4" fillId="0" borderId="0" xfId="0" applyNumberFormat="1" applyFont="1" applyAlignment="1">
      <alignment horizontal="center" vertical="center" wrapText="1"/>
    </xf>
    <xf numFmtId="171" fontId="4" fillId="0" borderId="0" xfId="0" applyNumberFormat="1" applyFont="1" applyAlignment="1">
      <alignment horizontal="center" vertical="center" wrapText="1"/>
    </xf>
    <xf numFmtId="171" fontId="0" fillId="0" borderId="0" xfId="0" applyNumberFormat="1" applyAlignment="1">
      <alignment horizontal="center" vertical="center"/>
    </xf>
    <xf numFmtId="171" fontId="8" fillId="0" borderId="0" xfId="0" applyNumberFormat="1" applyFont="1" applyAlignment="1">
      <alignment horizontal="center" vertical="center" wrapText="1"/>
    </xf>
    <xf numFmtId="171" fontId="0" fillId="0" borderId="0" xfId="0" applyNumberFormat="1"/>
    <xf numFmtId="44" fontId="8" fillId="0" borderId="0" xfId="1" applyFont="1" applyAlignment="1">
      <alignment horizontal="left" vertical="top"/>
    </xf>
    <xf numFmtId="4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0" fontId="8" fillId="0" borderId="0" xfId="0" applyNumberFormat="1" applyFont="1" applyAlignment="1">
      <alignment horizontal="center"/>
    </xf>
    <xf numFmtId="169" fontId="8" fillId="0" borderId="0" xfId="0" applyNumberFormat="1" applyFont="1" applyAlignment="1">
      <alignment horizontal="center"/>
    </xf>
    <xf numFmtId="10" fontId="0" fillId="0" borderId="0" xfId="2" applyNumberFormat="1" applyFont="1" applyAlignment="1">
      <alignment horizontal="center" vertical="center"/>
    </xf>
    <xf numFmtId="168" fontId="0" fillId="0" borderId="0" xfId="2" applyNumberFormat="1" applyFont="1" applyAlignment="1">
      <alignment horizontal="center" vertical="center"/>
    </xf>
    <xf numFmtId="169" fontId="0" fillId="0" borderId="0" xfId="1" applyNumberFormat="1" applyFont="1" applyAlignment="1">
      <alignment vertical="center"/>
    </xf>
    <xf numFmtId="170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9" fontId="0" fillId="0" borderId="0" xfId="2" applyFont="1" applyAlignment="1">
      <alignment horizontal="center" vertical="center"/>
    </xf>
    <xf numFmtId="169" fontId="8" fillId="0" borderId="0" xfId="1" applyNumberFormat="1" applyFont="1"/>
    <xf numFmtId="44" fontId="0" fillId="0" borderId="0" xfId="0" applyNumberFormat="1"/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10" fontId="11" fillId="0" borderId="15" xfId="0" applyNumberFormat="1" applyFont="1" applyBorder="1" applyAlignment="1">
      <alignment horizontal="center"/>
    </xf>
    <xf numFmtId="44" fontId="11" fillId="0" borderId="15" xfId="0" applyNumberFormat="1" applyFont="1" applyBorder="1" applyAlignment="1">
      <alignment horizontal="center"/>
    </xf>
    <xf numFmtId="168" fontId="11" fillId="0" borderId="15" xfId="0" applyNumberFormat="1" applyFont="1" applyBorder="1" applyAlignment="1">
      <alignment horizontal="center"/>
    </xf>
    <xf numFmtId="169" fontId="11" fillId="0" borderId="15" xfId="0" applyNumberFormat="1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5" xfId="0" applyFont="1" applyBorder="1" applyAlignment="1">
      <alignment wrapText="1"/>
    </xf>
    <xf numFmtId="0" fontId="11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169" fontId="4" fillId="0" borderId="0" xfId="0" applyNumberFormat="1" applyFont="1" applyAlignment="1">
      <alignment horizontal="center" vertical="center" wrapText="1"/>
    </xf>
    <xf numFmtId="169" fontId="11" fillId="0" borderId="15" xfId="0" applyNumberFormat="1" applyFont="1" applyBorder="1" applyAlignment="1">
      <alignment horizontal="center" vertical="center" wrapText="1"/>
    </xf>
    <xf numFmtId="9" fontId="8" fillId="0" borderId="0" xfId="0" applyNumberFormat="1" applyFont="1" applyAlignment="1">
      <alignment horizontal="center"/>
    </xf>
    <xf numFmtId="9" fontId="11" fillId="0" borderId="15" xfId="0" applyNumberFormat="1" applyFont="1" applyBorder="1" applyAlignment="1">
      <alignment horizontal="center"/>
    </xf>
    <xf numFmtId="169" fontId="4" fillId="0" borderId="0" xfId="1" applyNumberFormat="1" applyFont="1" applyFill="1" applyAlignment="1">
      <alignment horizontal="center" vertical="center" wrapText="1"/>
    </xf>
    <xf numFmtId="10" fontId="0" fillId="0" borderId="0" xfId="2" applyNumberFormat="1" applyFont="1" applyFill="1" applyAlignment="1">
      <alignment horizontal="center" vertical="center"/>
    </xf>
    <xf numFmtId="44" fontId="8" fillId="0" borderId="0" xfId="1" applyFont="1" applyFill="1" applyAlignment="1">
      <alignment horizontal="center" vertical="center"/>
    </xf>
    <xf numFmtId="168" fontId="0" fillId="0" borderId="0" xfId="2" applyNumberFormat="1" applyFont="1" applyFill="1" applyAlignment="1">
      <alignment horizontal="center" vertical="center"/>
    </xf>
    <xf numFmtId="10" fontId="8" fillId="0" borderId="0" xfId="2" applyNumberFormat="1" applyFont="1" applyFill="1" applyAlignment="1">
      <alignment horizontal="center" vertical="center"/>
    </xf>
    <xf numFmtId="169" fontId="8" fillId="0" borderId="0" xfId="1" applyNumberFormat="1" applyFont="1" applyFill="1" applyAlignment="1">
      <alignment horizontal="center" vertical="center"/>
    </xf>
    <xf numFmtId="9" fontId="8" fillId="0" borderId="0" xfId="2" applyFont="1" applyFill="1" applyAlignment="1">
      <alignment horizontal="center" vertical="center"/>
    </xf>
    <xf numFmtId="170" fontId="8" fillId="0" borderId="0" xfId="2" applyNumberFormat="1" applyFont="1" applyFill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169" fontId="0" fillId="0" borderId="0" xfId="1" applyNumberFormat="1" applyFont="1" applyFill="1" applyAlignment="1">
      <alignment horizontal="center" vertical="center"/>
    </xf>
    <xf numFmtId="9" fontId="0" fillId="0" borderId="0" xfId="2" applyFont="1" applyFill="1" applyAlignment="1">
      <alignment horizontal="center" vertical="center"/>
    </xf>
    <xf numFmtId="170" fontId="0" fillId="0" borderId="0" xfId="2" applyNumberFormat="1" applyFont="1" applyFill="1" applyAlignment="1">
      <alignment horizontal="center" vertical="center"/>
    </xf>
    <xf numFmtId="0" fontId="0" fillId="13" borderId="0" xfId="0" applyFill="1"/>
    <xf numFmtId="0" fontId="12" fillId="0" borderId="0" xfId="0" applyFont="1" applyAlignment="1">
      <alignment horizontal="center" vertical="center" wrapText="1"/>
    </xf>
    <xf numFmtId="0" fontId="13" fillId="0" borderId="0" xfId="0" applyFont="1"/>
    <xf numFmtId="10" fontId="1" fillId="7" borderId="4" xfId="0" applyNumberFormat="1" applyFont="1" applyFill="1" applyBorder="1" applyAlignment="1">
      <alignment horizontal="center" vertical="center" wrapText="1"/>
    </xf>
    <xf numFmtId="0" fontId="3" fillId="0" borderId="2" xfId="0" applyFont="1" applyBorder="1"/>
    <xf numFmtId="44" fontId="1" fillId="9" borderId="12" xfId="0" applyNumberFormat="1" applyFont="1" applyFill="1" applyBorder="1" applyAlignment="1">
      <alignment horizontal="center" vertical="center" wrapText="1"/>
    </xf>
    <xf numFmtId="0" fontId="3" fillId="0" borderId="9" xfId="0" applyFont="1" applyBorder="1"/>
    <xf numFmtId="0" fontId="1" fillId="7" borderId="4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10" fontId="7" fillId="2" borderId="13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0" fontId="1" fillId="2" borderId="0" xfId="2" applyNumberFormat="1" applyFont="1" applyFill="1" applyAlignment="1">
      <alignment horizontal="center" vertical="center" wrapText="1"/>
    </xf>
    <xf numFmtId="10" fontId="1" fillId="9" borderId="6" xfId="2" applyNumberFormat="1" applyFont="1" applyFill="1" applyBorder="1" applyAlignment="1">
      <alignment horizontal="center" vertical="center" wrapText="1"/>
    </xf>
    <xf numFmtId="10" fontId="1" fillId="9" borderId="12" xfId="2" applyNumberFormat="1" applyFont="1" applyFill="1" applyBorder="1" applyAlignment="1">
      <alignment horizontal="center" vertical="center" wrapText="1"/>
    </xf>
    <xf numFmtId="10" fontId="4" fillId="0" borderId="0" xfId="2" applyNumberFormat="1" applyFont="1" applyAlignment="1">
      <alignment horizontal="center" vertical="center" wrapText="1"/>
    </xf>
    <xf numFmtId="10" fontId="1" fillId="7" borderId="10" xfId="2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5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1" fillId="6" borderId="1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1" fillId="11" borderId="1" xfId="0" applyFont="1" applyFill="1" applyBorder="1" applyAlignment="1">
      <alignment horizontal="center" vertical="center" wrapText="1"/>
    </xf>
    <xf numFmtId="10" fontId="1" fillId="9" borderId="12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Alignment="1">
      <alignment horizontal="right" vertical="center" wrapText="1"/>
    </xf>
  </cellXfs>
  <cellStyles count="3">
    <cellStyle name="Currency" xfId="1" builtinId="4"/>
    <cellStyle name="Normal" xfId="0" builtinId="0"/>
    <cellStyle name="Percent" xfId="2" builtinId="5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D9EAD3"/>
          <bgColor rgb="FFD9EA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D9EAD3"/>
          <bgColor rgb="FFD9EA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D9EAD3"/>
          <bgColor rgb="FFD9EAD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70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70" formatCode="0.0"/>
      <alignment horizontal="center" vertical="center" textRotation="0" wrapText="0" indent="0" justifyLastLine="0" shrinkToFit="0" readingOrder="0"/>
    </dxf>
    <dxf>
      <numFmt numFmtId="168" formatCode="0.0%"/>
      <alignment horizontal="center" vertical="bottom" textRotation="0" wrapText="0" indent="0" justifyLastLine="0" shrinkToFit="0" readingOrder="0"/>
    </dxf>
    <dxf>
      <numFmt numFmtId="168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68" formatCode="0.0%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71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D9EAD3"/>
          <bgColor rgb="FFD9EAD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</dxfs>
  <tableStyles count="0" defaultTableStyle="TableStyleMedium2" defaultPivotStyle="PivotStyleLight16"/>
  <colors>
    <mruColors>
      <color rgb="FF004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</xdr:row>
      <xdr:rowOff>0</xdr:rowOff>
    </xdr:from>
    <xdr:ext cx="2000250" cy="4857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</xdr:row>
      <xdr:rowOff>0</xdr:rowOff>
    </xdr:from>
    <xdr:ext cx="2000250" cy="4857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7DC9744D-C6B1-0B4C-AFDA-03E3ED37DB5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1375" y="12700"/>
          <a:ext cx="2000250" cy="4857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104775</xdr:colOff>
      <xdr:row>1</xdr:row>
      <xdr:rowOff>0</xdr:rowOff>
    </xdr:from>
    <xdr:ext cx="2000250" cy="4857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E7D05C-1BEA-AD47-92E6-C3CB2B09A194}" name="PortafolioPPR" displayName="PortafolioPPR" ref="A5:K8" totalsRowCount="1" dataDxfId="110" headerRowBorderDxfId="111" tableBorderDxfId="109" totalsRowBorderDxfId="108">
  <autoFilter ref="A5:K7" xr:uid="{B2E7D05C-1BEA-AD47-92E6-C3CB2B09A194}"/>
  <tableColumns count="11">
    <tableColumn id="1" xr3:uid="{99DAF86F-C0B2-F643-BB81-F37D6D1A1F3A}" name="Number" totalsRowLabel="Total" dataDxfId="107" totalsRowDxfId="10"/>
    <tableColumn id="2" xr3:uid="{17B66D0B-5207-2442-A00C-88E6E2BF7FB9}" name="Name" dataDxfId="106" totalsRowDxfId="9"/>
    <tableColumn id="3" xr3:uid="{18487A8A-6987-A140-B232-8DA643C88388}" name="Ticker" dataDxfId="105" totalsRowDxfId="8"/>
    <tableColumn id="4" xr3:uid="{C07234CC-369B-A84C-B926-494D7F3A1500}" name="Shares" dataDxfId="104" totalsRowDxfId="7"/>
    <tableColumn id="5" xr3:uid="{C2DEBF3E-5FD1-074F-BC1D-E38A6F812833}" name="Average Unit Cost" dataDxfId="103" totalsRowDxfId="6">
      <calculatedColumnFormula>PortafolioPPR[[#This Row],[Purchased Value]]/PortafolioPPR[[#This Row],[Shares]]</calculatedColumnFormula>
    </tableColumn>
    <tableColumn id="6" xr3:uid="{90B66C6B-6407-F246-B90D-371FDC2687D5}" name="Current Unit Cost" dataDxfId="102" totalsRowDxfId="5"/>
    <tableColumn id="7" xr3:uid="{EDC496C8-679D-E84E-971B-07C9627E4D21}" name="Purchased Value" totalsRowFunction="sum" dataDxfId="101" totalsRowDxfId="4">
      <calculatedColumnFormula>IF(F6="","",D6*E6)</calculatedColumnFormula>
    </tableColumn>
    <tableColumn id="8" xr3:uid="{49E4EDC3-92B8-484D-899D-3A7EE78101C7}" name="Market Value" totalsRowFunction="sum" dataDxfId="100" totalsRowDxfId="3">
      <calculatedColumnFormula>PortafolioPPR[[#This Row],[Shares]] * PortafolioPPR[[#This Row],[Current Unit Cost]]</calculatedColumnFormula>
    </tableColumn>
    <tableColumn id="9" xr3:uid="{ED672FAF-FB04-6447-9237-AD5941085916}" name="Balance" totalsRowFunction="sum" dataDxfId="99" totalsRowDxfId="2">
      <calculatedColumnFormula>IFERROR(PortafolioPPR[[#This Row],[Market Value]] - PortafolioPPR[[#This Row],[Purchased Value]], 0)</calculatedColumnFormula>
    </tableColumn>
    <tableColumn id="10" xr3:uid="{8165854C-9CCA-BA41-A40E-4E7596341DB4}" name="Balance %" totalsRowFunction="custom" dataDxfId="98" totalsRowDxfId="1">
      <calculatedColumnFormula>IFERROR(PortafolioPPR[[#This Row],[Market Value]] / PortafolioPPR[[#This Row],[Purchased Value]] - 1, 0)</calculatedColumnFormula>
      <totalsRowFormula>IFERROR((PortafolioPPR[[#Totals],[Market Value]]/PortafolioPPR[[#Totals],[Purchased Value]]) - 1, 0)</totalsRowFormula>
    </tableColumn>
    <tableColumn id="12" xr3:uid="{C10D9C99-F7CF-E546-A3AC-2ADB182840DD}" name="Weight %" totalsRowFunction="sum" dataDxfId="97" totalsRowDxfId="0">
      <calculatedColumnFormula>PortafolioPPR[[#This Row],[Purchased Value]]/PortafolioPPR[[#Totals],[Purchased Value]]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D12D3B-A8AF-8546-B2E3-8A13CE840178}" name="PortafolioIndizado" displayName="PortafolioIndizado" ref="A5:Q17" totalsRowCount="1" dataDxfId="95" headerRowBorderDxfId="96" tableBorderDxfId="94" totalsRowBorderDxfId="93">
  <autoFilter ref="A5:Q16" xr:uid="{B2E7D05C-1BEA-AD47-92E6-C3CB2B09A194}"/>
  <tableColumns count="17">
    <tableColumn id="1" xr3:uid="{C8814CEB-E8F7-8D41-A31B-1BD2ACD64E50}" name="Number" totalsRowLabel="Total" dataDxfId="44" totalsRowDxfId="27"/>
    <tableColumn id="2" xr3:uid="{8A548F2D-B426-FF41-B7E0-DACBC870F5AF}" name="Name" dataDxfId="43" totalsRowDxfId="26"/>
    <tableColumn id="3" xr3:uid="{1D152614-BF6B-B348-8EB1-A629331F7174}" name="Ticker" dataDxfId="42" totalsRowDxfId="25"/>
    <tableColumn id="4" xr3:uid="{B4514CB4-1F57-7E48-9ECA-00A1D59DA77D}" name="Shares" dataDxfId="41" totalsRowDxfId="24"/>
    <tableColumn id="13" xr3:uid="{95A02056-0B94-4609-A625-F7770326BC42}" name="To Buy" totalsRowFunction="custom" dataDxfId="40" totalsRowDxfId="23">
      <totalsRowFormula>SUMPRODUCT(PortafolioIndizado[To Buy], PortafolioIndizado[Current Unit Cost])</totalsRowFormula>
    </tableColumn>
    <tableColumn id="5" xr3:uid="{5CAFE9C1-EC03-EF41-84CF-7A1483B7FC7B}" name="Average Unit Cost" dataDxfId="39" totalsRowDxfId="22"/>
    <tableColumn id="16" xr3:uid="{77EA14E4-E933-4F87-AC85-A3746FC0E6EF}" name="Potential Average Unit Cost" dataDxfId="38" totalsRowDxfId="21">
      <calculatedColumnFormula>IFERROR( (PortafolioIndizado[[#This Row],[Purchased Value]] + PortafolioIndizado[[#This Row],[Current Unit Cost]] * PortafolioIndizado[[#This Row],[To Buy]])/(PortafolioIndizado[[#This Row],[Shares]] + PortafolioIndizado[[#This Row],[To Buy]]), 0)</calculatedColumnFormula>
    </tableColumn>
    <tableColumn id="6" xr3:uid="{AFEC35C0-656A-A142-90AA-D56911A0FCDB}" name="Current Unit Cost" dataDxfId="37" totalsRowDxfId="20"/>
    <tableColumn id="18" xr3:uid="{31B39A5D-F014-4624-B7E4-E06C60B3B9FA}" name="Unit Cost Diff %" dataDxfId="36" totalsRowDxfId="19" dataCellStyle="Percent">
      <calculatedColumnFormula>IFERROR((PortafolioIndizado[[#This Row],[Current Unit Cost]] - PortafolioIndizado[[#This Row],[Average Unit Cost]]) / PortafolioIndizado[[#This Row],[Average Unit Cost]],0)</calculatedColumnFormula>
    </tableColumn>
    <tableColumn id="7" xr3:uid="{6DF47CB1-8739-9741-9F2B-0D4DE4421709}" name="Purchased Value" totalsRowFunction="sum" dataDxfId="35" totalsRowDxfId="18">
      <calculatedColumnFormula>IF(H6="","",D6*F6)</calculatedColumnFormula>
    </tableColumn>
    <tableColumn id="8" xr3:uid="{95763DD0-3A2D-EC41-B582-A0E84F6F2332}" name="Market Value" totalsRowFunction="sum" dataDxfId="34" totalsRowDxfId="17">
      <calculatedColumnFormula>PortafolioIndizado[[#This Row],[Shares]] * PortafolioIndizado[[#This Row],[Current Unit Cost]]</calculatedColumnFormula>
    </tableColumn>
    <tableColumn id="15" xr3:uid="{61C65F2C-D640-433D-9544-654EF4B79F55}" name="Potential Market Value" totalsRowFunction="sum" dataDxfId="33" totalsRowDxfId="16">
      <calculatedColumnFormula>PortafolioIndizado[[#This Row],[To Buy]] * PortafolioIndizado[[#This Row],[Current Unit Cost]] + PortafolioIndizado[[#This Row],[Market Value]]</calculatedColumnFormula>
    </tableColumn>
    <tableColumn id="9" xr3:uid="{2E419918-A923-5544-BD89-029B3EE46672}" name="Balance" totalsRowFunction="sum" dataDxfId="32" totalsRowDxfId="15">
      <calculatedColumnFormula>IFERROR(PortafolioIndizado[[#This Row],[Market Value]] - PortafolioIndizado[[#This Row],[Purchased Value]], 0)</calculatedColumnFormula>
    </tableColumn>
    <tableColumn id="10" xr3:uid="{F409479A-F869-1F40-A6F4-F5C82C49A70B}" name="Balance %" totalsRowFunction="average" dataDxfId="31" totalsRowDxfId="14">
      <calculatedColumnFormula>IFERROR(PortafolioIndizado[[#This Row],[Market Value]] / PortafolioIndizado[[#This Row],[Purchased Value]] - 1, 0)</calculatedColumnFormula>
    </tableColumn>
    <tableColumn id="11" xr3:uid="{A5067A91-D2CD-754E-8C53-1D48AC940F6F}" name="Current Weight %" totalsRowFunction="sum" dataDxfId="30" totalsRowDxfId="13">
      <calculatedColumnFormula>IFERROR(PortafolioIndizado[[#This Row],[Market Value]] / PortafolioIndizado[[#Totals],[Market Value]], "")</calculatedColumnFormula>
    </tableColumn>
    <tableColumn id="14" xr3:uid="{8132387D-6065-4754-A3AB-B1175D69BCB4}" name="Potential Weight %" dataDxfId="29" totalsRowDxfId="12">
      <calculatedColumnFormula>IFERROR(PortafolioIndizado[[#This Row],[Potential Market Value]] / PortafolioIndizado[[#Totals],[Potential Market Value]], "")</calculatedColumnFormula>
    </tableColumn>
    <tableColumn id="12" xr3:uid="{C39CA399-11BC-2941-8D40-27C203C6B766}" name="Target Weight %" totalsRowFunction="sum" dataDxfId="28" totalsRow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1888E-CC61-F646-8044-B791D97D4489}" name="Table2" displayName="Table2" ref="A3:W30" totalsRowCount="1" headerRowDxfId="92" totalsRowDxfId="91">
  <autoFilter ref="A3:W29" xr:uid="{BD21888E-CC61-F646-8044-B791D97D4489}"/>
  <sortState xmlns:xlrd2="http://schemas.microsoft.com/office/spreadsheetml/2017/richdata2" ref="A4:W29">
    <sortCondition descending="1" ref="E3:E29"/>
  </sortState>
  <tableColumns count="23">
    <tableColumn id="1" xr3:uid="{739ADA7C-3F6F-2841-8A11-F9A07B970711}" name="Pais/Region" totalsRowLabel="Averages" dataDxfId="90" totalsRowDxfId="89"/>
    <tableColumn id="12" xr3:uid="{2CA46C66-DB6F-C347-81A5-19A179DA5045}" name="Instrumento" dataDxfId="88" totalsRowDxfId="87"/>
    <tableColumn id="25" xr3:uid="{13A658C2-8560-0D44-9968-C5967AE34276}" name="Currency (to USD)" dataDxfId="86" totalsRowDxfId="85"/>
    <tableColumn id="15" xr3:uid="{EAA46AA9-AB63-574B-890E-FBEE90ED6E6A}" name="GDP (USD billion)" totalsRowFunction="average" dataDxfId="84" totalsRowDxfId="83"/>
    <tableColumn id="3" xr3:uid="{E2D7B28C-9F29-564F-A34A-0DAB2984AECE}" name="Full Year GDP  Growth" totalsRowFunction="average" dataDxfId="82" totalsRowDxfId="81"/>
    <tableColumn id="27" xr3:uid="{CBA2B5C0-7883-804C-9DC5-47656F70CC0F}" name="GDP per capita PPP (USD)" totalsRowFunction="average" dataDxfId="80" totalsRowDxfId="79"/>
    <tableColumn id="11" xr3:uid="{F0B52934-F4F9-F24C-AB5F-0BCE31FDF3A5}" name="Unemployment" totalsRowFunction="average" dataDxfId="78" totalsRowDxfId="77"/>
    <tableColumn id="4" xr3:uid="{E56F852F-2693-394D-BAF8-77F7FC359DD2}" name="Inflation rate" totalsRowFunction="average" dataDxfId="76" totalsRowDxfId="75"/>
    <tableColumn id="18" xr3:uid="{67C307D8-D24B-B846-92E5-33B81E122F97}" name="Interest Rate" totalsRowFunction="average" dataDxfId="74" totalsRowDxfId="73"/>
    <tableColumn id="19" xr3:uid="{A6D02B5D-41AB-DB4C-9D4F-435149E0F881}" name="Foreign Exchange Reserves (USD Million)" totalsRowFunction="average" dataDxfId="72" totalsRowDxfId="71"/>
    <tableColumn id="24" xr3:uid="{BEF03C62-542E-864B-8B55-8F6899B168DB}" name="Balance Trade (USD Million)" totalsRowFunction="average" dataDxfId="70" totalsRowDxfId="69"/>
    <tableColumn id="30" xr3:uid="{3F99F235-4249-2D4E-82AE-570C90BBA2D2}" name="Exports (USD Million)" dataDxfId="68" totalsRowDxfId="67"/>
    <tableColumn id="31" xr3:uid="{7FEE0F96-FA6B-2047-9BCE-FF793DA3330A}" name="Imports (USD Million)" dataDxfId="66" totalsRowDxfId="65"/>
    <tableColumn id="29" xr3:uid="{1E8DD1B2-05A9-D94E-B831-B24FAA229BF7}" name="Balance Trade %" totalsRowFunction="average" dataDxfId="64" totalsRowDxfId="63">
      <calculatedColumnFormula>IFERROR(  (Table2[[#This Row],[Exports (USD Million)]] / Table2[[#This Row],[Imports (USD Million)]] ) - 1,  0)</calculatedColumnFormula>
    </tableColumn>
    <tableColumn id="26" xr3:uid="{4C55EA2A-7719-B347-8371-488048970D31}" name="Foreign Direct Investment (USD Million)" totalsRowFunction="average" dataDxfId="62" totalsRowDxfId="61"/>
    <tableColumn id="14" xr3:uid="{8A51E0B4-0C14-3849-A979-EBA0F153CCC7}" name="Debt to GDP" totalsRowFunction="average" dataDxfId="60" totalsRowDxfId="59"/>
    <tableColumn id="16" xr3:uid="{59E689EF-08B8-DA4A-9221-59F6B80F9B50}" name="Business Confidence" dataDxfId="58" totalsRowDxfId="57"/>
    <tableColumn id="17" xr3:uid="{A642E396-4E1F-894B-A0CD-42C1052B1C45}" name="Consumer Confidence" dataDxfId="56" totalsRowDxfId="55"/>
    <tableColumn id="7" xr3:uid="{622F34A1-A765-014C-9BC0-655F28BF1634}" name="Economic Freedom" totalsRowFunction="average" dataDxfId="54" totalsRowDxfId="53"/>
    <tableColumn id="13" xr3:uid="{128CEF61-4F83-534A-9ECC-9DE8E21D3429}" name="Resumen" dataDxfId="52" totalsRowDxfId="51"/>
    <tableColumn id="8" xr3:uid="{D45E3999-1ECD-3345-AAA3-EB533122E44D}" name="Notas" dataDxfId="50" totalsRowDxfId="49"/>
    <tableColumn id="9" xr3:uid="{C802BDFB-BF6E-9049-B799-422F5F90A600}" name="Fortalezas" dataDxfId="48" totalsRowDxfId="47"/>
    <tableColumn id="10" xr3:uid="{44D49588-6919-4049-B764-44C08A706E60}" name="Debilidades" totalsRowFunction="count" dataDxfId="46" totalsRowDxfId="4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6D7A8"/>
    <outlinePr summaryBelow="0" summaryRight="0"/>
  </sheetPr>
  <dimension ref="A1:Y967"/>
  <sheetViews>
    <sheetView tabSelected="1" topLeftCell="B1" zoomScale="150" zoomScaleNormal="150" workbookViewId="0">
      <selection activeCell="D16" sqref="D16"/>
    </sheetView>
  </sheetViews>
  <sheetFormatPr defaultColWidth="12.6640625" defaultRowHeight="15" customHeight="1" x14ac:dyDescent="0.35"/>
  <cols>
    <col min="1" max="1" width="9.33203125" customWidth="1"/>
    <col min="2" max="2" width="24.796875" customWidth="1"/>
    <col min="3" max="3" width="11.1328125" customWidth="1"/>
    <col min="4" max="4" width="11.796875" customWidth="1"/>
    <col min="5" max="5" width="11.46484375" customWidth="1"/>
    <col min="6" max="6" width="8.46484375" customWidth="1"/>
    <col min="7" max="7" width="16.1328125" customWidth="1"/>
    <col min="8" max="8" width="17.6640625" customWidth="1"/>
    <col min="9" max="9" width="18.33203125" customWidth="1"/>
    <col min="10" max="10" width="18.796875" customWidth="1"/>
    <col min="11" max="11" width="15.1328125" customWidth="1"/>
    <col min="12" max="25" width="12.46484375" customWidth="1"/>
  </cols>
  <sheetData>
    <row r="1" spans="1:25" ht="1.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</row>
    <row r="2" spans="1:25" ht="39" customHeight="1" x14ac:dyDescent="0.35">
      <c r="A2" s="137"/>
      <c r="B2" s="138"/>
      <c r="C2" s="138"/>
      <c r="D2" s="139" t="s">
        <v>0</v>
      </c>
      <c r="E2" s="140"/>
      <c r="F2" s="140"/>
      <c r="G2" s="140"/>
      <c r="H2" s="140"/>
      <c r="I2" s="141"/>
      <c r="J2" s="142" t="s">
        <v>1</v>
      </c>
      <c r="K2" s="14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2.75" x14ac:dyDescent="0.35">
      <c r="A3" s="143" t="s">
        <v>2</v>
      </c>
      <c r="B3" s="144"/>
      <c r="C3" s="144"/>
      <c r="D3" s="144"/>
      <c r="E3" s="144"/>
      <c r="F3" s="144"/>
      <c r="G3" s="144"/>
      <c r="H3" s="144"/>
      <c r="I3" s="144"/>
      <c r="J3" s="144"/>
      <c r="K3" s="145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 x14ac:dyDescent="0.35">
      <c r="A4" s="146" t="s">
        <v>179</v>
      </c>
      <c r="B4" s="140"/>
      <c r="C4" s="140"/>
      <c r="D4" s="140"/>
      <c r="E4" s="140"/>
      <c r="F4" s="140"/>
      <c r="G4" s="140"/>
      <c r="H4" s="140"/>
      <c r="I4" s="140"/>
      <c r="J4" s="140"/>
      <c r="K4" s="14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46.5" customHeight="1" x14ac:dyDescent="0.35">
      <c r="A5" s="27" t="s">
        <v>168</v>
      </c>
      <c r="B5" s="39" t="s">
        <v>169</v>
      </c>
      <c r="C5" s="27" t="s">
        <v>43</v>
      </c>
      <c r="D5" s="27" t="s">
        <v>170</v>
      </c>
      <c r="E5" s="27" t="s">
        <v>175</v>
      </c>
      <c r="F5" s="28" t="s">
        <v>176</v>
      </c>
      <c r="G5" s="29" t="s">
        <v>177</v>
      </c>
      <c r="H5" s="29" t="s">
        <v>178</v>
      </c>
      <c r="I5" s="29" t="s">
        <v>171</v>
      </c>
      <c r="J5" s="27" t="s">
        <v>172</v>
      </c>
      <c r="K5" s="124" t="s">
        <v>185</v>
      </c>
      <c r="L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3.15" x14ac:dyDescent="0.35">
      <c r="A6" s="25">
        <v>1</v>
      </c>
      <c r="B6" s="23" t="s">
        <v>166</v>
      </c>
      <c r="C6" s="10" t="s">
        <v>41</v>
      </c>
      <c r="D6" s="11">
        <f>NasdaqInicialUnidades+NasdaqComprometidoUnidades</f>
        <v>390.49440000000004</v>
      </c>
      <c r="E6" s="12">
        <f>PortafolioPPR[[#This Row],[Purchased Value]]/PortafolioPPR[[#This Row],[Shares]]</f>
        <v>128.05407708791725</v>
      </c>
      <c r="F6" s="12">
        <f>NasdaqComprometidoValorUnitario</f>
        <v>157.78309999999999</v>
      </c>
      <c r="G6" s="13">
        <f>AportacionesAcumuladas*NasdaqPonderacion</f>
        <v>50004.4</v>
      </c>
      <c r="H6" s="13">
        <f>ValorNasdaqInicial + ValorNasdaqComprometido</f>
        <v>61613.416964639997</v>
      </c>
      <c r="I6" s="13">
        <f>IFERROR(PortafolioPPR[[#This Row],[Market Value]] - PortafolioPPR[[#This Row],[Purchased Value]], 0)</f>
        <v>11609.016964639995</v>
      </c>
      <c r="J6" s="14">
        <f>IFERROR(PortafolioPPR[[#This Row],[Market Value]] / PortafolioPPR[[#This Row],[Purchased Value]] - 1, 0)</f>
        <v>0.23215990922078844</v>
      </c>
      <c r="K6" s="26">
        <f>PortafolioPPR[[#This Row],[Purchased Value]]/PortafolioPPR[[#Totals],[Purchased Value]]</f>
        <v>0.2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3.15" x14ac:dyDescent="0.35">
      <c r="A7" s="25">
        <f>A6 + 1</f>
        <v>2</v>
      </c>
      <c r="B7" s="23" t="s">
        <v>167</v>
      </c>
      <c r="C7" s="10" t="s">
        <v>42</v>
      </c>
      <c r="D7" s="11">
        <f>DDInicialUnidades+DDComprometidoUnidades</f>
        <v>460.55119999999999</v>
      </c>
      <c r="E7" s="12">
        <f>PortafolioPPR[[#This Row],[Purchased Value]]/PortafolioPPR[[#This Row],[Shares]]</f>
        <v>434.30046431319693</v>
      </c>
      <c r="F7" s="12">
        <f>DDComprometidoValorUnitario</f>
        <v>538.95100000000002</v>
      </c>
      <c r="G7" s="13">
        <f>AportacionesAcumuladas*DDPonderacion</f>
        <v>200017.6</v>
      </c>
      <c r="H7" s="13">
        <f>ValorDDInicial + ValorDDComprometido</f>
        <v>248214.52979120001</v>
      </c>
      <c r="I7" s="13">
        <f>IFERROR(PortafolioPPR[[#This Row],[Market Value]] - PortafolioPPR[[#This Row],[Purchased Value]], 0)</f>
        <v>48196.929791200004</v>
      </c>
      <c r="J7" s="14">
        <f>IFERROR(PortafolioPPR[[#This Row],[Market Value]] / PortafolioPPR[[#This Row],[Purchased Value]] - 1, 0)</f>
        <v>0.24096344417291271</v>
      </c>
      <c r="K7" s="26">
        <f>PortafolioPPR[[#This Row],[Purchased Value]]/PortafolioPPR[[#Totals],[Purchased Value]]</f>
        <v>0.8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 x14ac:dyDescent="0.35">
      <c r="A8" s="30" t="s">
        <v>44</v>
      </c>
      <c r="B8" s="31"/>
      <c r="C8" s="32"/>
      <c r="D8" s="33"/>
      <c r="E8" s="33"/>
      <c r="F8" s="33"/>
      <c r="G8" s="35">
        <f>SUBTOTAL(109,PortafolioPPR[Purchased Value])</f>
        <v>250022</v>
      </c>
      <c r="H8" s="35">
        <f>SUBTOTAL(109,PortafolioPPR[Market Value])</f>
        <v>309827.94675583998</v>
      </c>
      <c r="I8" s="35">
        <f>SUBTOTAL(109,PortafolioPPR[Balance])</f>
        <v>59805.946755839999</v>
      </c>
      <c r="J8" s="36">
        <f>IFERROR((PortafolioPPR[[#Totals],[Market Value]]/PortafolioPPR[[#Totals],[Purchased Value]]) - 1, 0)</f>
        <v>0.23920273718248786</v>
      </c>
      <c r="K8" s="38">
        <f>SUBTOTAL(109,PortafolioPPR[Weight %])</f>
        <v>1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 x14ac:dyDescent="0.35">
      <c r="A9" s="3"/>
      <c r="B9" s="3"/>
      <c r="C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2.75" x14ac:dyDescent="0.35"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 x14ac:dyDescent="0.35">
      <c r="A11" s="122"/>
      <c r="B11" s="12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 x14ac:dyDescent="0.35">
      <c r="A12" s="3"/>
      <c r="D12" s="12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 x14ac:dyDescent="0.35">
      <c r="A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 x14ac:dyDescent="0.35">
      <c r="A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 x14ac:dyDescent="0.35">
      <c r="A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 x14ac:dyDescent="0.35">
      <c r="A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 x14ac:dyDescent="0.35">
      <c r="A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 x14ac:dyDescent="0.35">
      <c r="A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 x14ac:dyDescent="0.35">
      <c r="A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35">
      <c r="A20" s="3"/>
      <c r="B20" s="3"/>
      <c r="C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 x14ac:dyDescent="0.35">
      <c r="A21" s="3"/>
      <c r="B21" s="3"/>
      <c r="C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35">
      <c r="A22" s="3"/>
      <c r="B22" s="3"/>
      <c r="C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35">
      <c r="A23" s="3"/>
      <c r="B23" s="3"/>
      <c r="C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35">
      <c r="A24" s="3"/>
      <c r="B24" s="3"/>
      <c r="C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35">
      <c r="A25" s="3"/>
      <c r="B25" s="3"/>
      <c r="C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35">
      <c r="A26" s="3"/>
      <c r="B26" s="3"/>
      <c r="C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35">
      <c r="A27" s="3"/>
      <c r="B27" s="3"/>
      <c r="C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35">
      <c r="A28" s="3"/>
      <c r="B28" s="3"/>
      <c r="C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35">
      <c r="A29" s="3"/>
      <c r="B29" s="3"/>
      <c r="C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35">
      <c r="A30" s="3"/>
      <c r="B30" s="3"/>
      <c r="C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35">
      <c r="A31" s="3"/>
      <c r="B31" s="3"/>
      <c r="C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35">
      <c r="A32" s="3"/>
      <c r="B32" s="3"/>
      <c r="C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35">
      <c r="A33" s="3"/>
      <c r="B33" s="3"/>
      <c r="C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.7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.7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.7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.7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.7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.7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.7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.7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.7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.7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.7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.7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.7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.7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.7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.7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.7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.7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.7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.7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.7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.7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.7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.7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.7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.7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.7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.7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.7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.7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.7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.7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.7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.7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.7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.7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.7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.7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.7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.7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.7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.7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.7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.7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.7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.7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.7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.7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.7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.7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.7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.7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.7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.7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.7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.7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.7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.7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.7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.7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.7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.7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.7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.7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.7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.7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.7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.7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.7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.7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.7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.7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.7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.7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.7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.7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.7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.7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.7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.7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.7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.7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.7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.7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.7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.7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.7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.7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.7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.7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.7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.7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.7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.7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.7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.7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.7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.7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.7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.7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.7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.7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.7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.7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.7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.7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.7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.7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.7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.7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.7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.7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.7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.7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.7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.7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.7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.7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.7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.7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.7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.7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.7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.7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.7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.7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.7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.7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.7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.7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.7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.7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.7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.7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.7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.7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.7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.7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.7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.7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.7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.7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.7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.7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.7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.7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.7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.7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.7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.7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.7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.7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.7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.7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.7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.7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.7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.7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.7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.7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.7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.7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.7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.7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.7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.7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.7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.7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.7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.7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.7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.7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.7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.7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.7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.7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.7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.7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.7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.7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.7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.7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.7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.7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.7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.7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.7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.7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.7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.7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.7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.7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.7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.7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.7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.7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.7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.7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.7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.7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.7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.7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.7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.7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.7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.7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.7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.7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.7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.7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.7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.7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.7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.7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.7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.7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.7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.7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.7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.7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.7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.7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.7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.7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.7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.7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.7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.7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.7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.7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.7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.7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.7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.7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.7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.7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.7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.7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.7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.7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.7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.7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5.7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5.7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5.7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5.7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5.7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5.7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5.7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5.7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5.7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5.7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5.7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5.7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5.7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5.7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5.7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5.7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5.7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5.7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5.7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5.7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5.7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5.7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5.7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5.7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5.7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5.7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5.7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5.7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5.7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5.7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5.7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5.7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5.7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5.7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5.7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5.7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5.7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5.7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5.7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5.7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5.7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5.7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5.7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5.7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5.7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5.7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5.7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5.7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5.7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5.7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5.7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5.7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5.7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5.7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5.7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5.7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5.7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5.7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5.7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5.7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5.7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5.7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5.7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5.7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5.7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5.7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5.7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5.7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5.7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5.7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5.7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5.7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5.7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5.7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5.7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5.7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5.7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5.7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5.7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5.7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5.7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5.7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5.7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5.7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5.7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5.7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5.7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5.7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5.7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5.7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5.7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5.7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5.7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5.7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5.7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5.7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5.7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5.7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5.7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5.7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5.7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5.7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5.7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5.7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5.7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5.7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5.7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5.7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5.7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5.7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5.7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5.7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5.7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5.7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5.7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5.7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5.7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5.7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5.7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5.7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5.7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5.7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5.7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5.7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5.7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5.7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5.7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5.7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5.7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5.7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5.7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5.7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5.7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5.7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5.7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5.7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5.7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5.7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5.7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5.7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5.7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5.7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5.7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5.7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5.7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5.7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5.7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5.7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5.7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5.7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5.7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5.7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5.7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5.7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5.7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5.7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5.7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5.7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5.7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5.7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5.7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5.7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5.7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5.7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5.7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5.7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5.7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5.7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5.7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5.7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5.7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5.7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5.7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5.7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5.7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5.7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5.7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5.7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5.7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5.7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5.7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5.7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5.7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5.7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5.7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5.7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5.7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5.7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5.7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5.7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5.7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5.7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5.7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5.7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5.7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5.7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5.7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5.7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5.7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5.7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5.7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5.7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5.7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5.7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5.7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5.7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5.7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5.7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5.7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5.7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5.7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5.7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5.7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5.7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5.7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5.7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5.7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5.7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5.7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5.7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5.7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5.7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5.7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5.7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5.7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5.7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5.7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5.7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5.7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5.7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5.7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5.7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5.7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5.7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5.7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5.7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5.7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5.7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5.7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5.7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5.7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5.7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5.7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5.7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5.7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5.7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5.7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5.7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5.7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5.7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5.7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5.7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5.7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5.7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5.7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5.7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5.7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5.7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5.7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5.7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5.7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5.7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5.7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5.7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5.7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5.7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5.7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5.7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5.7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5.7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5.7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5.7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5.7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5.7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5.7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5.7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5.7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5.7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5.7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5.7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5.7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5.7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5.7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5.7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5.7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5.7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5.7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5.7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5.7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5.7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5.7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5.7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5.7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5.7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5.7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5.7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5.7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5.7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5.7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5.7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5.7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5.7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5.7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5.7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5.7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5.7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5.7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5.7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5.7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5.7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5.7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5.7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5.7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5.7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5.7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5.7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5.7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5.7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5.7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5.7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5.7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5.7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5.7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5.7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5.7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5.7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5.7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5.7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5.7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5.7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5.7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5.7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5.7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5.7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5.7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5.7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5.7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5.7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5.7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5.7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5.7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5.7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5.7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5.7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5.7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5.7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5.7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5.7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5.7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5.7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5.7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5.7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5.7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5.7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5.7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5.7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5.7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5.7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5.7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5.7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5.7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5.7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5.7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5.7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5.7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5.7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5.7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5.7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5.7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5.7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5.7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5.7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5.7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5.7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5.7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5.7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5.7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5.7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5.7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5.7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5.7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5.7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5.7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5.7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5.7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5.7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5.7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5.7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5.7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5.7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5.7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5.7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5.7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5.7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5.7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5.7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5.7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5.7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5.7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5.7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5.7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5.7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5.7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5.7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5.7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5.7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5.7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5.7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5.7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5.7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5.7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5.7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5.7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5.7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5.7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5.7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5.7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5.7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5.7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5.7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5.7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5.7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5.7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5.7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5.7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5.7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5.7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5.7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5.7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5.7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5.7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5.7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5.7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5.7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5.7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5.7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5.7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5.7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5.7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5.7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5.7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5.7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5.7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5.7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5.7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5.7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5.7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5.7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5.7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5.7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5.7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5.7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5.7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5.7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5.7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5.7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5.7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5.7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5.7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5.7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5.7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5.7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5.7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5.7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5.7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5.7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5.7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5.7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5.7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5.7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5.7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5.7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5.7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5.7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5.7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5.7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5.7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5.7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5.7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5.7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5.7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5.7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5.7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5.7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5.7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5.7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5.7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5.7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5.7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5.7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5.7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5.7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5.7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5.7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5.7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5.7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5.7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25" ht="1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25" ht="1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25" ht="1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25" ht="1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25" ht="1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</sheetData>
  <mergeCells count="5">
    <mergeCell ref="A2:C2"/>
    <mergeCell ref="D2:I2"/>
    <mergeCell ref="J2:K2"/>
    <mergeCell ref="A3:K3"/>
    <mergeCell ref="A4:K4"/>
  </mergeCells>
  <pageMargins left="0.7" right="0.7" top="0.75" bottom="0.75" header="0" footer="0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3BBA-EAA0-104A-88FC-A4E2427B1AFA}">
  <dimension ref="A1:F26"/>
  <sheetViews>
    <sheetView zoomScale="200" zoomScaleNormal="200" workbookViewId="0">
      <selection activeCell="C16" sqref="C16"/>
    </sheetView>
  </sheetViews>
  <sheetFormatPr defaultColWidth="10.6640625" defaultRowHeight="12.75" x14ac:dyDescent="0.35"/>
  <cols>
    <col min="1" max="1" width="33.6640625" customWidth="1"/>
    <col min="2" max="2" width="17.33203125" customWidth="1"/>
    <col min="3" max="4" width="12.1328125" bestFit="1" customWidth="1"/>
  </cols>
  <sheetData>
    <row r="1" spans="1:5" x14ac:dyDescent="0.35">
      <c r="A1" s="41" t="s">
        <v>54</v>
      </c>
      <c r="B1" s="151" t="s">
        <v>187</v>
      </c>
      <c r="C1" s="40"/>
      <c r="D1" s="24"/>
      <c r="E1" s="24"/>
    </row>
    <row r="2" spans="1:5" x14ac:dyDescent="0.35">
      <c r="A2" s="41" t="s">
        <v>46</v>
      </c>
      <c r="B2" s="42">
        <v>250022</v>
      </c>
    </row>
    <row r="3" spans="1:5" x14ac:dyDescent="0.35">
      <c r="A3" s="24"/>
    </row>
    <row r="4" spans="1:5" ht="25.5" x14ac:dyDescent="0.35">
      <c r="A4" s="41" t="s">
        <v>47</v>
      </c>
      <c r="B4" s="41" t="s">
        <v>45</v>
      </c>
      <c r="C4" s="41" t="s">
        <v>48</v>
      </c>
      <c r="D4" s="41" t="s">
        <v>49</v>
      </c>
      <c r="E4" s="41" t="s">
        <v>55</v>
      </c>
    </row>
    <row r="5" spans="1:5" x14ac:dyDescent="0.35">
      <c r="A5" s="24" t="s">
        <v>50</v>
      </c>
      <c r="B5" s="43">
        <v>285.39080000000001</v>
      </c>
      <c r="C5" s="44">
        <v>157.78309999999999</v>
      </c>
      <c r="D5" s="42">
        <f>B5*C5</f>
        <v>45029.845135479998</v>
      </c>
      <c r="E5" s="45"/>
    </row>
    <row r="6" spans="1:5" x14ac:dyDescent="0.35">
      <c r="A6" s="24" t="s">
        <v>51</v>
      </c>
      <c r="B6" s="43">
        <v>105.1036</v>
      </c>
      <c r="C6" s="44">
        <f>NasdaqInicialValorUnitario</f>
        <v>157.78309999999999</v>
      </c>
      <c r="D6" s="42">
        <f t="shared" ref="D6:D8" si="0">B6*C6</f>
        <v>16583.571829159999</v>
      </c>
      <c r="E6" s="45">
        <v>0.2</v>
      </c>
    </row>
    <row r="7" spans="1:5" x14ac:dyDescent="0.35">
      <c r="A7" s="24" t="s">
        <v>52</v>
      </c>
      <c r="B7" s="43">
        <v>337.99270000000001</v>
      </c>
      <c r="C7" s="44">
        <v>538.95100000000002</v>
      </c>
      <c r="D7" s="42">
        <f t="shared" si="0"/>
        <v>182161.50365770003</v>
      </c>
      <c r="E7" s="45"/>
    </row>
    <row r="8" spans="1:5" x14ac:dyDescent="0.35">
      <c r="A8" s="24" t="s">
        <v>53</v>
      </c>
      <c r="B8" s="43">
        <v>122.5585</v>
      </c>
      <c r="C8" s="44">
        <f>DDInicialValorUnitario</f>
        <v>538.95100000000002</v>
      </c>
      <c r="D8" s="42">
        <f t="shared" si="0"/>
        <v>66053.026133499996</v>
      </c>
      <c r="E8" s="45">
        <v>0.8</v>
      </c>
    </row>
    <row r="9" spans="1:5" x14ac:dyDescent="0.35">
      <c r="A9" s="24" t="s">
        <v>143</v>
      </c>
      <c r="D9" s="94">
        <v>116002.04</v>
      </c>
    </row>
    <row r="10" spans="1:5" x14ac:dyDescent="0.35">
      <c r="A10" s="24" t="s">
        <v>144</v>
      </c>
      <c r="D10" s="94">
        <f>SUM(D5:D8)</f>
        <v>309827.94675584004</v>
      </c>
    </row>
    <row r="11" spans="1:5" x14ac:dyDescent="0.35">
      <c r="A11" s="24" t="s">
        <v>145</v>
      </c>
      <c r="D11" s="94">
        <f>D9+D10</f>
        <v>425829.98675584001</v>
      </c>
    </row>
    <row r="15" spans="1:5" x14ac:dyDescent="0.35">
      <c r="B15" s="24" t="s">
        <v>135</v>
      </c>
      <c r="C15" s="94">
        <f>D7+D5</f>
        <v>227191.34879318002</v>
      </c>
    </row>
    <row r="16" spans="1:5" x14ac:dyDescent="0.35">
      <c r="B16" s="24" t="s">
        <v>186</v>
      </c>
      <c r="C16" s="94">
        <f>ValorNasdaqComprometido+ValorDDComprometido</f>
        <v>82636.597962659987</v>
      </c>
    </row>
    <row r="17" spans="1:6" x14ac:dyDescent="0.35">
      <c r="A17" s="24"/>
      <c r="B17" s="24" t="s">
        <v>136</v>
      </c>
      <c r="C17" s="94">
        <f>C15*0.009</f>
        <v>2044.7221391386199</v>
      </c>
    </row>
    <row r="18" spans="1:6" x14ac:dyDescent="0.35">
      <c r="B18" s="24" t="s">
        <v>137</v>
      </c>
      <c r="C18" s="94">
        <f>C15*0.001</f>
        <v>227.19134879318003</v>
      </c>
    </row>
    <row r="19" spans="1:6" x14ac:dyDescent="0.35">
      <c r="B19" s="24" t="s">
        <v>138</v>
      </c>
      <c r="C19" s="42">
        <v>10254</v>
      </c>
    </row>
    <row r="20" spans="1:6" x14ac:dyDescent="0.35">
      <c r="B20" s="24"/>
      <c r="C20" s="94"/>
    </row>
    <row r="22" spans="1:6" x14ac:dyDescent="0.35">
      <c r="B22" s="24"/>
    </row>
    <row r="23" spans="1:6" x14ac:dyDescent="0.35">
      <c r="E23" s="24" t="s">
        <v>139</v>
      </c>
      <c r="F23">
        <v>10254</v>
      </c>
    </row>
    <row r="24" spans="1:6" x14ac:dyDescent="0.35">
      <c r="E24" s="24" t="s">
        <v>140</v>
      </c>
      <c r="F24">
        <v>24000</v>
      </c>
    </row>
    <row r="25" spans="1:6" x14ac:dyDescent="0.35">
      <c r="E25" s="24" t="s">
        <v>141</v>
      </c>
      <c r="F25">
        <v>20407</v>
      </c>
    </row>
    <row r="26" spans="1:6" x14ac:dyDescent="0.35">
      <c r="E26" s="24" t="s">
        <v>142</v>
      </c>
      <c r="F26">
        <v>15000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D2F32-DCA7-4843-9F7C-D135F1E9C3FC}">
  <sheetPr>
    <tabColor rgb="FFB6D7A8"/>
    <outlinePr summaryBelow="0" summaryRight="0"/>
  </sheetPr>
  <dimension ref="A1:AE977"/>
  <sheetViews>
    <sheetView zoomScale="150" zoomScaleNormal="150" workbookViewId="0">
      <pane xSplit="3" topLeftCell="D1" activePane="topRight" state="frozen"/>
      <selection pane="topRight" activeCell="F16" sqref="F16"/>
    </sheetView>
  </sheetViews>
  <sheetFormatPr defaultColWidth="12.6640625" defaultRowHeight="15" customHeight="1" x14ac:dyDescent="0.35"/>
  <cols>
    <col min="1" max="1" width="5.6640625" customWidth="1"/>
    <col min="2" max="2" width="13" customWidth="1"/>
    <col min="3" max="3" width="11.1328125" customWidth="1"/>
    <col min="4" max="4" width="7.33203125" customWidth="1"/>
    <col min="5" max="5" width="11.46484375" bestFit="1" customWidth="1"/>
    <col min="6" max="6" width="8.46484375" customWidth="1"/>
    <col min="7" max="7" width="9.796875" customWidth="1"/>
    <col min="8" max="8" width="15.1328125" customWidth="1"/>
    <col min="9" max="9" width="15.1328125" style="51" customWidth="1"/>
    <col min="10" max="10" width="17.6640625" customWidth="1"/>
    <col min="11" max="12" width="18.33203125" customWidth="1"/>
    <col min="13" max="13" width="18.796875" customWidth="1"/>
    <col min="14" max="14" width="14.796875" customWidth="1"/>
    <col min="15" max="16" width="15.1328125" customWidth="1"/>
    <col min="17" max="30" width="12.46484375" customWidth="1"/>
  </cols>
  <sheetData>
    <row r="1" spans="1:31" ht="1.5" customHeight="1" x14ac:dyDescent="0.35">
      <c r="A1" s="1"/>
      <c r="B1" s="1"/>
      <c r="C1" s="1"/>
      <c r="D1" s="1"/>
      <c r="E1" s="1"/>
      <c r="F1" s="1"/>
      <c r="G1" s="1"/>
      <c r="H1" s="1"/>
      <c r="I1" s="13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1" ht="39" customHeight="1" x14ac:dyDescent="0.35">
      <c r="A2" s="137"/>
      <c r="B2" s="138"/>
      <c r="C2" s="138"/>
      <c r="D2" s="139" t="s">
        <v>0</v>
      </c>
      <c r="E2" s="140"/>
      <c r="F2" s="140"/>
      <c r="G2" s="140"/>
      <c r="H2" s="140"/>
      <c r="I2" s="140"/>
      <c r="J2" s="140"/>
      <c r="K2" s="141"/>
      <c r="L2" s="125"/>
      <c r="M2" s="142" t="s">
        <v>1</v>
      </c>
      <c r="N2" s="140"/>
      <c r="O2" s="141"/>
      <c r="P2" s="127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1" ht="12.75" x14ac:dyDescent="0.35">
      <c r="A3" s="143" t="s">
        <v>2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5"/>
      <c r="P3" s="127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1" ht="15.75" customHeight="1" x14ac:dyDescent="0.35">
      <c r="A4" s="146" t="s">
        <v>3</v>
      </c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1"/>
      <c r="P4" s="127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1" ht="46.5" customHeight="1" x14ac:dyDescent="0.35">
      <c r="A5" s="27" t="s">
        <v>168</v>
      </c>
      <c r="B5" s="39" t="s">
        <v>169</v>
      </c>
      <c r="C5" s="27" t="s">
        <v>43</v>
      </c>
      <c r="D5" s="27" t="s">
        <v>170</v>
      </c>
      <c r="E5" s="27" t="s">
        <v>180</v>
      </c>
      <c r="F5" s="27" t="s">
        <v>175</v>
      </c>
      <c r="G5" s="27" t="s">
        <v>183</v>
      </c>
      <c r="H5" s="28" t="s">
        <v>176</v>
      </c>
      <c r="I5" s="136" t="s">
        <v>184</v>
      </c>
      <c r="J5" s="29" t="s">
        <v>177</v>
      </c>
      <c r="K5" s="29" t="s">
        <v>178</v>
      </c>
      <c r="L5" s="29" t="s">
        <v>182</v>
      </c>
      <c r="M5" s="29" t="s">
        <v>171</v>
      </c>
      <c r="N5" s="27" t="s">
        <v>172</v>
      </c>
      <c r="O5" s="27" t="s">
        <v>173</v>
      </c>
      <c r="P5" s="128" t="s">
        <v>181</v>
      </c>
      <c r="Q5" s="124" t="s">
        <v>174</v>
      </c>
      <c r="R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25.5" x14ac:dyDescent="0.35">
      <c r="A6" s="25">
        <v>1</v>
      </c>
      <c r="B6" s="23" t="s">
        <v>101</v>
      </c>
      <c r="C6" s="10" t="s">
        <v>71</v>
      </c>
      <c r="D6" s="11">
        <v>5</v>
      </c>
      <c r="E6" s="11">
        <v>0</v>
      </c>
      <c r="F6" s="12">
        <v>1318</v>
      </c>
      <c r="G6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1318</v>
      </c>
      <c r="H6" s="12">
        <v>1228.77</v>
      </c>
      <c r="I6" s="133">
        <f>IFERROR((PortafolioIndizado[[#This Row],[Current Unit Cost]] - PortafolioIndizado[[#This Row],[Average Unit Cost]]) / PortafolioIndizado[[#This Row],[Average Unit Cost]],0)</f>
        <v>-6.7701062215478017E-2</v>
      </c>
      <c r="J6" s="13">
        <f>PortafolioIndizado[[#This Row],[Shares]] * PortafolioIndizado[[#This Row],[Average Unit Cost]]</f>
        <v>6590</v>
      </c>
      <c r="K6" s="13">
        <f>PortafolioIndizado[[#This Row],[Shares]] * PortafolioIndizado[[#This Row],[Current Unit Cost]]</f>
        <v>6143.85</v>
      </c>
      <c r="L6" s="13">
        <f>PortafolioIndizado[[#This Row],[To Buy]] * PortafolioIndizado[[#This Row],[Current Unit Cost]] + PortafolioIndizado[[#This Row],[Market Value]]</f>
        <v>6143.85</v>
      </c>
      <c r="M6" s="13">
        <f>IFERROR(PortafolioIndizado[[#This Row],[Market Value]] - PortafolioIndizado[[#This Row],[Purchased Value]], 0)</f>
        <v>-446.14999999999964</v>
      </c>
      <c r="N6" s="14">
        <f>IFERROR(PortafolioIndizado[[#This Row],[Market Value]] / PortafolioIndizado[[#This Row],[Purchased Value]] - 1, 0)</f>
        <v>-6.7701062215477892E-2</v>
      </c>
      <c r="O6" s="15">
        <f>IFERROR(PortafolioIndizado[[#This Row],[Market Value]] / PortafolioIndizado[[#Totals],[Market Value]], "")</f>
        <v>0.38148119402058334</v>
      </c>
      <c r="P6" s="129">
        <f>IFERROR(PortafolioIndizado[[#This Row],[Potential Market Value]] / PortafolioIndizado[[#Totals],[Potential Market Value]], "")</f>
        <v>0.34432348367029553</v>
      </c>
      <c r="Q6" s="26">
        <v>0.4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3.15" x14ac:dyDescent="0.35">
      <c r="A7" s="25">
        <f>A6 + 1</f>
        <v>2</v>
      </c>
      <c r="B7" s="23" t="s">
        <v>87</v>
      </c>
      <c r="C7" s="10" t="s">
        <v>70</v>
      </c>
      <c r="D7" s="11">
        <v>1</v>
      </c>
      <c r="E7" s="11">
        <v>0</v>
      </c>
      <c r="F7" s="12">
        <v>818.79</v>
      </c>
      <c r="G7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818.79</v>
      </c>
      <c r="H7" s="12">
        <v>774.03</v>
      </c>
      <c r="I7" s="133">
        <f>IFERROR((PortafolioIndizado[[#This Row],[Current Unit Cost]] - PortafolioIndizado[[#This Row],[Average Unit Cost]]) / PortafolioIndizado[[#This Row],[Average Unit Cost]],0)</f>
        <v>-5.466603158318982E-2</v>
      </c>
      <c r="J7" s="13">
        <f>PortafolioIndizado[[#This Row],[Shares]] * PortafolioIndizado[[#This Row],[Average Unit Cost]]</f>
        <v>818.79</v>
      </c>
      <c r="K7" s="13">
        <f>PortafolioIndizado[[#This Row],[Shares]] * PortafolioIndizado[[#This Row],[Current Unit Cost]]</f>
        <v>774.03</v>
      </c>
      <c r="L7" s="13">
        <f>PortafolioIndizado[[#This Row],[To Buy]] * PortafolioIndizado[[#This Row],[Current Unit Cost]] + PortafolioIndizado[[#This Row],[Market Value]]</f>
        <v>774.03</v>
      </c>
      <c r="M7" s="13">
        <f>IFERROR(PortafolioIndizado[[#This Row],[Market Value]] - PortafolioIndizado[[#This Row],[Purchased Value]], 0)</f>
        <v>-44.759999999999991</v>
      </c>
      <c r="N7" s="14">
        <f>IFERROR(PortafolioIndizado[[#This Row],[Market Value]] / PortafolioIndizado[[#This Row],[Purchased Value]] - 1, 0)</f>
        <v>-5.4666031583189834E-2</v>
      </c>
      <c r="O7" s="15">
        <f>IFERROR(PortafolioIndizado[[#This Row],[Market Value]] / PortafolioIndizado[[#Totals],[Market Value]], "")</f>
        <v>4.806072553980844E-2</v>
      </c>
      <c r="P7" s="129">
        <f>IFERROR(PortafolioIndizado[[#This Row],[Potential Market Value]] / PortafolioIndizado[[#Totals],[Potential Market Value]], "")</f>
        <v>4.3379429195914421E-2</v>
      </c>
      <c r="Q7" s="26">
        <v>0.05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5.75" customHeight="1" x14ac:dyDescent="0.35">
      <c r="A8" s="25">
        <f t="shared" ref="A8:A16" si="0">A7 + 1</f>
        <v>3</v>
      </c>
      <c r="B8" s="23" t="s">
        <v>26</v>
      </c>
      <c r="C8" s="10" t="s">
        <v>72</v>
      </c>
      <c r="D8" s="11">
        <v>8</v>
      </c>
      <c r="E8" s="11">
        <v>0</v>
      </c>
      <c r="F8" s="12">
        <v>52.5</v>
      </c>
      <c r="G8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52.5</v>
      </c>
      <c r="H8" s="12">
        <v>51.97</v>
      </c>
      <c r="I8" s="133">
        <f>IFERROR((PortafolioIndizado[[#This Row],[Current Unit Cost]] - PortafolioIndizado[[#This Row],[Average Unit Cost]]) / PortafolioIndizado[[#This Row],[Average Unit Cost]],0)</f>
        <v>-1.0095238095238117E-2</v>
      </c>
      <c r="J8" s="13">
        <f>PortafolioIndizado[[#This Row],[Shares]] * PortafolioIndizado[[#This Row],[Average Unit Cost]]</f>
        <v>420</v>
      </c>
      <c r="K8" s="13">
        <f>PortafolioIndizado[[#This Row],[Shares]] * PortafolioIndizado[[#This Row],[Current Unit Cost]]</f>
        <v>415.76</v>
      </c>
      <c r="L8" s="13">
        <f>PortafolioIndizado[[#This Row],[To Buy]] * PortafolioIndizado[[#This Row],[Current Unit Cost]] + PortafolioIndizado[[#This Row],[Market Value]]</f>
        <v>415.76</v>
      </c>
      <c r="M8" s="13">
        <f>IFERROR(PortafolioIndizado[[#This Row],[Market Value]] - PortafolioIndizado[[#This Row],[Purchased Value]], 0)</f>
        <v>-4.2400000000000091</v>
      </c>
      <c r="N8" s="14">
        <f>IFERROR(PortafolioIndizado[[#This Row],[Market Value]] / PortafolioIndizado[[#This Row],[Purchased Value]] - 1, 0)</f>
        <v>-1.0095238095238157E-2</v>
      </c>
      <c r="O8" s="15">
        <f>IFERROR(PortafolioIndizado[[#This Row],[Market Value]] / PortafolioIndizado[[#Totals],[Market Value]], "")</f>
        <v>2.5815184489529807E-2</v>
      </c>
      <c r="P8" s="129">
        <f>IFERROR(PortafolioIndizado[[#This Row],[Potential Market Value]] / PortafolioIndizado[[#Totals],[Potential Market Value]], "")</f>
        <v>2.3300687935213595E-2</v>
      </c>
      <c r="Q8" s="26">
        <v>2.5000000000000001E-2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15.75" customHeight="1" x14ac:dyDescent="0.35">
      <c r="A9" s="25">
        <f>A8 + 1</f>
        <v>4</v>
      </c>
      <c r="B9" s="23" t="s">
        <v>27</v>
      </c>
      <c r="C9" s="10" t="s">
        <v>73</v>
      </c>
      <c r="D9" s="11">
        <v>1</v>
      </c>
      <c r="E9" s="11">
        <v>0</v>
      </c>
      <c r="F9" s="12">
        <v>515.89</v>
      </c>
      <c r="G9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515.89</v>
      </c>
      <c r="H9" s="12">
        <v>501.92</v>
      </c>
      <c r="I9" s="133">
        <f>IFERROR((PortafolioIndizado[[#This Row],[Current Unit Cost]] - PortafolioIndizado[[#This Row],[Average Unit Cost]]) / PortafolioIndizado[[#This Row],[Average Unit Cost]],0)</f>
        <v>-2.7079416154606545E-2</v>
      </c>
      <c r="J9" s="13">
        <f>PortafolioIndizado[[#This Row],[Shares]] * PortafolioIndizado[[#This Row],[Average Unit Cost]]</f>
        <v>515.89</v>
      </c>
      <c r="K9" s="13">
        <f>PortafolioIndizado[[#This Row],[Shares]] * PortafolioIndizado[[#This Row],[Current Unit Cost]]</f>
        <v>501.92</v>
      </c>
      <c r="L9" s="13">
        <f>PortafolioIndizado[[#This Row],[To Buy]] * PortafolioIndizado[[#This Row],[Current Unit Cost]] + PortafolioIndizado[[#This Row],[Market Value]]</f>
        <v>501.92</v>
      </c>
      <c r="M9" s="13">
        <f>IFERROR(PortafolioIndizado[[#This Row],[Market Value]] - PortafolioIndizado[[#This Row],[Purchased Value]], 0)</f>
        <v>-13.96999999999997</v>
      </c>
      <c r="N9" s="14">
        <f>IFERROR(PortafolioIndizado[[#This Row],[Market Value]] / PortafolioIndizado[[#This Row],[Purchased Value]] - 1, 0)</f>
        <v>-2.7079416154606517E-2</v>
      </c>
      <c r="O9" s="15">
        <f>IFERROR(PortafolioIndizado[[#This Row],[Market Value]] / PortafolioIndizado[[#Totals],[Market Value]], "")</f>
        <v>3.1164992781856846E-2</v>
      </c>
      <c r="P9" s="129">
        <f>IFERROR(PortafolioIndizado[[#This Row],[Potential Market Value]] / PortafolioIndizado[[#Totals],[Potential Market Value]], "")</f>
        <v>2.8129404676838582E-2</v>
      </c>
      <c r="Q9" s="26">
        <v>2.5000000000000001E-2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15.75" customHeight="1" x14ac:dyDescent="0.35">
      <c r="A10" s="25">
        <f t="shared" si="0"/>
        <v>5</v>
      </c>
      <c r="B10" s="23" t="s">
        <v>162</v>
      </c>
      <c r="C10" s="10" t="s">
        <v>163</v>
      </c>
      <c r="D10" s="11">
        <v>3</v>
      </c>
      <c r="E10" s="11">
        <v>0</v>
      </c>
      <c r="F10" s="12">
        <v>1462.33</v>
      </c>
      <c r="G10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1462.33</v>
      </c>
      <c r="H10" s="12">
        <v>1308</v>
      </c>
      <c r="I10" s="133">
        <f>IFERROR((PortafolioIndizado[[#This Row],[Current Unit Cost]] - PortafolioIndizado[[#This Row],[Average Unit Cost]]) / PortafolioIndizado[[#This Row],[Average Unit Cost]],0)</f>
        <v>-0.10553705387976718</v>
      </c>
      <c r="J10" s="13">
        <f>PortafolioIndizado[[#This Row],[Shares]] * PortafolioIndizado[[#This Row],[Average Unit Cost]]</f>
        <v>4386.99</v>
      </c>
      <c r="K10" s="13">
        <f>PortafolioIndizado[[#This Row],[Shares]] * PortafolioIndizado[[#This Row],[Current Unit Cost]]</f>
        <v>3924</v>
      </c>
      <c r="L10" s="13">
        <f>PortafolioIndizado[[#This Row],[To Buy]] * PortafolioIndizado[[#This Row],[Current Unit Cost]] + PortafolioIndizado[[#This Row],[Market Value]]</f>
        <v>3924</v>
      </c>
      <c r="M10" s="13">
        <f>IFERROR(PortafolioIndizado[[#This Row],[Market Value]] - PortafolioIndizado[[#This Row],[Purchased Value]], 0)</f>
        <v>-462.98999999999978</v>
      </c>
      <c r="N10" s="14">
        <f>IFERROR(PortafolioIndizado[[#This Row],[Market Value]] / PortafolioIndizado[[#This Row],[Purchased Value]] - 1, 0)</f>
        <v>-0.1055370538797672</v>
      </c>
      <c r="O10" s="15">
        <f>IFERROR(PortafolioIndizado[[#This Row],[Market Value]] / PortafolioIndizado[[#Totals],[Market Value]], "")</f>
        <v>0.2436472578817466</v>
      </c>
      <c r="P10" s="129">
        <f>IFERROR(PortafolioIndizado[[#This Row],[Potential Market Value]] / PortafolioIndizado[[#Totals],[Potential Market Value]], "")</f>
        <v>0.21991509394308772</v>
      </c>
      <c r="Q10" s="26">
        <v>0.25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13.15" x14ac:dyDescent="0.35">
      <c r="A11" s="25">
        <f t="shared" si="0"/>
        <v>6</v>
      </c>
      <c r="B11" s="31" t="s">
        <v>33</v>
      </c>
      <c r="C11" s="32" t="s">
        <v>80</v>
      </c>
      <c r="D11" s="33">
        <v>0</v>
      </c>
      <c r="E11" s="33">
        <v>1</v>
      </c>
      <c r="F11" s="34">
        <v>0</v>
      </c>
      <c r="G11" s="34">
        <f>IFERROR( (PortafolioIndizado[[#This Row],[Purchased Value]] + PortafolioIndizado[[#This Row],[Current Unit Cost]] * PortafolioIndizado[[#This Row],[To Buy]])/(PortafolioIndizado[[#This Row],[Shares]] + PortafolioIndizado[[#This Row],[To Buy]]), 0)</f>
        <v>1309</v>
      </c>
      <c r="H11" s="34">
        <v>1309</v>
      </c>
      <c r="I11" s="134">
        <f>IFERROR((PortafolioIndizado[[#This Row],[Current Unit Cost]] - PortafolioIndizado[[#This Row],[Average Unit Cost]]) / PortafolioIndizado[[#This Row],[Average Unit Cost]],0)</f>
        <v>0</v>
      </c>
      <c r="J11" s="13">
        <f>PortafolioIndizado[[#This Row],[Shares]] * PortafolioIndizado[[#This Row],[Average Unit Cost]]</f>
        <v>0</v>
      </c>
      <c r="K11" s="13">
        <f>PortafolioIndizado[[#This Row],[Shares]] * PortafolioIndizado[[#This Row],[Current Unit Cost]]</f>
        <v>0</v>
      </c>
      <c r="L11" s="13">
        <f>PortafolioIndizado[[#This Row],[To Buy]] * PortafolioIndizado[[#This Row],[Current Unit Cost]] + PortafolioIndizado[[#This Row],[Market Value]]</f>
        <v>1309</v>
      </c>
      <c r="M11" s="13">
        <f>IFERROR(PortafolioIndizado[[#This Row],[Market Value]] - PortafolioIndizado[[#This Row],[Purchased Value]], 0)</f>
        <v>0</v>
      </c>
      <c r="N11" s="14">
        <f>IFERROR(PortafolioIndizado[[#This Row],[Market Value]] / PortafolioIndizado[[#This Row],[Purchased Value]] - 1, 0)</f>
        <v>0</v>
      </c>
      <c r="O11" s="15">
        <f>IFERROR(PortafolioIndizado[[#This Row],[Market Value]] / PortafolioIndizado[[#Totals],[Market Value]], "")</f>
        <v>0</v>
      </c>
      <c r="P11" s="130">
        <f>IFERROR(PortafolioIndizado[[#This Row],[Potential Market Value]] / PortafolioIndizado[[#Totals],[Potential Market Value]], "")</f>
        <v>7.3361074916284866E-2</v>
      </c>
      <c r="Q11" s="38">
        <v>0.03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13.15" x14ac:dyDescent="0.35">
      <c r="A12" s="25">
        <f t="shared" si="0"/>
        <v>7</v>
      </c>
      <c r="B12" s="23" t="s">
        <v>28</v>
      </c>
      <c r="C12" s="10" t="s">
        <v>74</v>
      </c>
      <c r="D12" s="11">
        <v>1</v>
      </c>
      <c r="E12" s="11">
        <v>0</v>
      </c>
      <c r="F12" s="12">
        <v>1169.82</v>
      </c>
      <c r="G12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1169.82</v>
      </c>
      <c r="H12" s="12">
        <v>960</v>
      </c>
      <c r="I12" s="133">
        <f>IFERROR((PortafolioIndizado[[#This Row],[Current Unit Cost]] - PortafolioIndizado[[#This Row],[Average Unit Cost]]) / PortafolioIndizado[[#This Row],[Average Unit Cost]],0)</f>
        <v>-0.17936092732215209</v>
      </c>
      <c r="J12" s="13">
        <f>PortafolioIndizado[[#This Row],[Shares]] * PortafolioIndizado[[#This Row],[Average Unit Cost]]</f>
        <v>1169.82</v>
      </c>
      <c r="K12" s="13">
        <f>PortafolioIndizado[[#This Row],[Shares]] * PortafolioIndizado[[#This Row],[Current Unit Cost]]</f>
        <v>960</v>
      </c>
      <c r="L12" s="13">
        <f>PortafolioIndizado[[#This Row],[To Buy]] * PortafolioIndizado[[#This Row],[Current Unit Cost]] + PortafolioIndizado[[#This Row],[Market Value]]</f>
        <v>960</v>
      </c>
      <c r="M12" s="13">
        <f>IFERROR(PortafolioIndizado[[#This Row],[Market Value]] - PortafolioIndizado[[#This Row],[Purchased Value]], 0)</f>
        <v>-209.81999999999994</v>
      </c>
      <c r="N12" s="14">
        <f>IFERROR(PortafolioIndizado[[#This Row],[Market Value]] / PortafolioIndizado[[#This Row],[Purchased Value]] - 1, 0)</f>
        <v>-0.17936092732215203</v>
      </c>
      <c r="O12" s="15">
        <f>IFERROR(PortafolioIndizado[[#This Row],[Market Value]] / PortafolioIndizado[[#Totals],[Market Value]], "")</f>
        <v>5.9607891836512931E-2</v>
      </c>
      <c r="P12" s="129">
        <f>IFERROR(PortafolioIndizado[[#This Row],[Potential Market Value]] / PortafolioIndizado[[#Totals],[Potential Market Value]], "")</f>
        <v>5.3801857845403721E-2</v>
      </c>
      <c r="Q12" s="26">
        <v>0.06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3.15" x14ac:dyDescent="0.35">
      <c r="A13" s="25">
        <f t="shared" si="0"/>
        <v>8</v>
      </c>
      <c r="B13" s="23" t="s">
        <v>32</v>
      </c>
      <c r="C13" s="10" t="s">
        <v>79</v>
      </c>
      <c r="D13" s="11">
        <v>1</v>
      </c>
      <c r="E13" s="11">
        <v>0</v>
      </c>
      <c r="F13" s="12">
        <v>1144.2</v>
      </c>
      <c r="G13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1144.2</v>
      </c>
      <c r="H13" s="12">
        <v>1029</v>
      </c>
      <c r="I13" s="133">
        <f>IFERROR((PortafolioIndizado[[#This Row],[Current Unit Cost]] - PortafolioIndizado[[#This Row],[Average Unit Cost]]) / PortafolioIndizado[[#This Row],[Average Unit Cost]],0)</f>
        <v>-0.10068169900367072</v>
      </c>
      <c r="J13" s="13">
        <f>PortafolioIndizado[[#This Row],[Shares]] * PortafolioIndizado[[#This Row],[Average Unit Cost]]</f>
        <v>1144.2</v>
      </c>
      <c r="K13" s="13">
        <f>PortafolioIndizado[[#This Row],[Shares]] * PortafolioIndizado[[#This Row],[Current Unit Cost]]</f>
        <v>1029</v>
      </c>
      <c r="L13" s="13">
        <f>PortafolioIndizado[[#This Row],[To Buy]] * PortafolioIndizado[[#This Row],[Current Unit Cost]] + PortafolioIndizado[[#This Row],[Market Value]]</f>
        <v>1029</v>
      </c>
      <c r="M13" s="13">
        <f>IFERROR(PortafolioIndizado[[#This Row],[Market Value]] - PortafolioIndizado[[#This Row],[Purchased Value]], 0)</f>
        <v>-115.20000000000005</v>
      </c>
      <c r="N13" s="14">
        <f>IFERROR(PortafolioIndizado[[#This Row],[Market Value]] / PortafolioIndizado[[#This Row],[Purchased Value]] - 1, 0)</f>
        <v>-0.10068169900367074</v>
      </c>
      <c r="O13" s="15">
        <f>IFERROR(PortafolioIndizado[[#This Row],[Market Value]] / PortafolioIndizado[[#Totals],[Market Value]], "")</f>
        <v>6.3892209062262298E-2</v>
      </c>
      <c r="P13" s="129">
        <f>IFERROR(PortafolioIndizado[[#This Row],[Potential Market Value]] / PortafolioIndizado[[#Totals],[Potential Market Value]], "")</f>
        <v>5.7668866378042118E-2</v>
      </c>
      <c r="Q13" s="26">
        <v>0.04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13.15" x14ac:dyDescent="0.35">
      <c r="A14" s="25">
        <f t="shared" si="0"/>
        <v>9</v>
      </c>
      <c r="B14" s="23" t="s">
        <v>31</v>
      </c>
      <c r="C14" s="10" t="s">
        <v>78</v>
      </c>
      <c r="D14" s="11">
        <v>1</v>
      </c>
      <c r="E14" s="11">
        <v>0</v>
      </c>
      <c r="F14" s="12">
        <v>995.79</v>
      </c>
      <c r="G14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995.79</v>
      </c>
      <c r="H14" s="12">
        <v>1018</v>
      </c>
      <c r="I14" s="133">
        <f>IFERROR((PortafolioIndizado[[#This Row],[Current Unit Cost]] - PortafolioIndizado[[#This Row],[Average Unit Cost]]) / PortafolioIndizado[[#This Row],[Average Unit Cost]],0)</f>
        <v>2.2303899416543687E-2</v>
      </c>
      <c r="J14" s="13">
        <f>PortafolioIndizado[[#This Row],[Shares]] * PortafolioIndizado[[#This Row],[Average Unit Cost]]</f>
        <v>995.79</v>
      </c>
      <c r="K14" s="13">
        <f>PortafolioIndizado[[#This Row],[Shares]] * PortafolioIndizado[[#This Row],[Current Unit Cost]]</f>
        <v>1018</v>
      </c>
      <c r="L14" s="13">
        <f>PortafolioIndizado[[#This Row],[To Buy]] * PortafolioIndizado[[#This Row],[Current Unit Cost]] + PortafolioIndizado[[#This Row],[Market Value]]</f>
        <v>1018</v>
      </c>
      <c r="M14" s="13">
        <f>IFERROR(PortafolioIndizado[[#This Row],[Market Value]] - PortafolioIndizado[[#This Row],[Purchased Value]], 0)</f>
        <v>22.210000000000036</v>
      </c>
      <c r="N14" s="14">
        <f>IFERROR(PortafolioIndizado[[#This Row],[Market Value]] / PortafolioIndizado[[#This Row],[Purchased Value]] - 1, 0)</f>
        <v>2.2303899416543649E-2</v>
      </c>
      <c r="O14" s="15">
        <f>IFERROR(PortafolioIndizado[[#This Row],[Market Value]] / PortafolioIndizado[[#Totals],[Market Value]], "")</f>
        <v>6.320920196830225E-2</v>
      </c>
      <c r="P14" s="129">
        <f>IFERROR(PortafolioIndizado[[#This Row],[Potential Market Value]] / PortafolioIndizado[[#Totals],[Potential Market Value]], "")</f>
        <v>5.7052386756896868E-2</v>
      </c>
      <c r="Q14" s="26">
        <v>0.04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15.75" customHeight="1" x14ac:dyDescent="0.35">
      <c r="A15" s="25">
        <f t="shared" si="0"/>
        <v>10</v>
      </c>
      <c r="B15" s="23" t="s">
        <v>29</v>
      </c>
      <c r="C15" s="10" t="s">
        <v>75</v>
      </c>
      <c r="D15" s="11">
        <v>3</v>
      </c>
      <c r="E15" s="11">
        <v>0</v>
      </c>
      <c r="F15" s="12">
        <v>462.33</v>
      </c>
      <c r="G15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462.33</v>
      </c>
      <c r="H15" s="12">
        <v>446.23</v>
      </c>
      <c r="I15" s="133">
        <f>IFERROR((PortafolioIndizado[[#This Row],[Current Unit Cost]] - PortafolioIndizado[[#This Row],[Average Unit Cost]]) / PortafolioIndizado[[#This Row],[Average Unit Cost]],0)</f>
        <v>-3.4823610840741391E-2</v>
      </c>
      <c r="J15" s="13">
        <f>PortafolioIndizado[[#This Row],[Shares]] * PortafolioIndizado[[#This Row],[Average Unit Cost]]</f>
        <v>1386.99</v>
      </c>
      <c r="K15" s="13">
        <f>PortafolioIndizado[[#This Row],[Shares]] * PortafolioIndizado[[#This Row],[Current Unit Cost]]</f>
        <v>1338.69</v>
      </c>
      <c r="L15" s="13">
        <f>PortafolioIndizado[[#This Row],[To Buy]] * PortafolioIndizado[[#This Row],[Current Unit Cost]] + PortafolioIndizado[[#This Row],[Market Value]]</f>
        <v>1338.69</v>
      </c>
      <c r="M15" s="13">
        <f>IFERROR(PortafolioIndizado[[#This Row],[Market Value]] - PortafolioIndizado[[#This Row],[Purchased Value]], 0)</f>
        <v>-48.299999999999955</v>
      </c>
      <c r="N15" s="14">
        <f>IFERROR(PortafolioIndizado[[#This Row],[Market Value]] / PortafolioIndizado[[#This Row],[Purchased Value]] - 1, 0)</f>
        <v>-3.4823610840741481E-2</v>
      </c>
      <c r="O15" s="15">
        <f>IFERROR(PortafolioIndizado[[#This Row],[Market Value]] / PortafolioIndizado[[#Totals],[Market Value]], "")</f>
        <v>8.3121342419397393E-2</v>
      </c>
      <c r="P15" s="129">
        <f>IFERROR(PortafolioIndizado[[#This Row],[Potential Market Value]] / PortafolioIndizado[[#Totals],[Potential Market Value]], "")</f>
        <v>7.5025009457357822E-2</v>
      </c>
      <c r="Q15" s="26">
        <v>0.05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29" customHeight="1" x14ac:dyDescent="0.35">
      <c r="A16" s="25">
        <f t="shared" si="0"/>
        <v>11</v>
      </c>
      <c r="B16" s="23" t="s">
        <v>30</v>
      </c>
      <c r="C16" s="10" t="s">
        <v>62</v>
      </c>
      <c r="D16" s="11">
        <v>0</v>
      </c>
      <c r="E16" s="11">
        <v>1</v>
      </c>
      <c r="F16" s="12">
        <v>0</v>
      </c>
      <c r="G16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429</v>
      </c>
      <c r="H16" s="12">
        <v>429</v>
      </c>
      <c r="I16" s="133">
        <f>IFERROR((PortafolioIndizado[[#This Row],[Current Unit Cost]] - PortafolioIndizado[[#This Row],[Average Unit Cost]]) / PortafolioIndizado[[#This Row],[Average Unit Cost]],0)</f>
        <v>0</v>
      </c>
      <c r="J16" s="13">
        <f>PortafolioIndizado[[#This Row],[Shares]] * PortafolioIndizado[[#This Row],[Average Unit Cost]]</f>
        <v>0</v>
      </c>
      <c r="K16" s="13">
        <f>PortafolioIndizado[[#This Row],[Shares]] * PortafolioIndizado[[#This Row],[Current Unit Cost]]</f>
        <v>0</v>
      </c>
      <c r="L16" s="13">
        <f>PortafolioIndizado[[#This Row],[To Buy]] * PortafolioIndizado[[#This Row],[Current Unit Cost]] + PortafolioIndizado[[#This Row],[Market Value]]</f>
        <v>429</v>
      </c>
      <c r="M16" s="13">
        <f>IFERROR(PortafolioIndizado[[#This Row],[Market Value]] - PortafolioIndizado[[#This Row],[Purchased Value]], 0)</f>
        <v>0</v>
      </c>
      <c r="N16" s="14">
        <f>IFERROR(PortafolioIndizado[[#This Row],[Market Value]] / PortafolioIndizado[[#This Row],[Purchased Value]] - 1, 0)</f>
        <v>0</v>
      </c>
      <c r="O16" s="15">
        <f>IFERROR(PortafolioIndizado[[#This Row],[Market Value]] / PortafolioIndizado[[#Totals],[Market Value]], "")</f>
        <v>0</v>
      </c>
      <c r="P16" s="129">
        <f>IFERROR(PortafolioIndizado[[#This Row],[Potential Market Value]] / PortafolioIndizado[[#Totals],[Potential Market Value]], "")</f>
        <v>2.4042705224664788E-2</v>
      </c>
      <c r="Q16" s="26">
        <v>0.03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15.75" customHeight="1" x14ac:dyDescent="0.35">
      <c r="A17" s="30" t="s">
        <v>44</v>
      </c>
      <c r="B17" s="31"/>
      <c r="C17" s="32"/>
      <c r="D17" s="33"/>
      <c r="E17" s="126">
        <f>SUMPRODUCT(PortafolioIndizado[To Buy], PortafolioIndizado[Current Unit Cost])</f>
        <v>1738</v>
      </c>
      <c r="F17" s="33"/>
      <c r="G17" s="33"/>
      <c r="H17" s="33"/>
      <c r="I17" s="150"/>
      <c r="J17" s="35">
        <f>SUBTOTAL(109,PortafolioIndizado[Purchased Value])</f>
        <v>17428.47</v>
      </c>
      <c r="K17" s="35">
        <f>SUBTOTAL(109,PortafolioIndizado[Market Value])</f>
        <v>16105.250000000002</v>
      </c>
      <c r="L17" s="35">
        <f>SUBTOTAL(109,PortafolioIndizado[Potential Market Value])</f>
        <v>17843.25</v>
      </c>
      <c r="M17" s="35">
        <f>SUBTOTAL(109,PortafolioIndizado[Balance])</f>
        <v>-1323.2199999999993</v>
      </c>
      <c r="N17" s="36">
        <f>SUBTOTAL(101,PortafolioIndizado[Balance %])</f>
        <v>-5.0694649061663655E-2</v>
      </c>
      <c r="O17" s="37">
        <f>SUBTOTAL(109,PortafolioIndizado[Current Weight %])</f>
        <v>1</v>
      </c>
      <c r="P17" s="37"/>
      <c r="Q17" s="38">
        <f>SUBTOTAL(109,PortafolioIndizado[Target Weight %])</f>
        <v>1.0000000000000002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15.75" customHeight="1" x14ac:dyDescent="0.35">
      <c r="A18" s="3"/>
      <c r="B18" s="3"/>
      <c r="C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1" ht="15.75" customHeight="1" x14ac:dyDescent="0.35">
      <c r="A19" s="3"/>
      <c r="B19" s="3"/>
      <c r="C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1" ht="15.75" customHeight="1" x14ac:dyDescent="0.35">
      <c r="A20" s="3"/>
      <c r="E20" s="131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1" ht="15.75" customHeight="1" x14ac:dyDescent="0.35">
      <c r="A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1" ht="15.75" customHeight="1" x14ac:dyDescent="0.35">
      <c r="A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1" ht="15.75" customHeight="1" x14ac:dyDescent="0.35">
      <c r="A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1" ht="15.75" customHeight="1" x14ac:dyDescent="0.35">
      <c r="A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1" ht="15.75" customHeight="1" x14ac:dyDescent="0.35">
      <c r="A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1" ht="15.75" customHeight="1" x14ac:dyDescent="0.35">
      <c r="A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1" ht="15.75" customHeight="1" x14ac:dyDescent="0.35">
      <c r="A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1" ht="15.75" customHeight="1" x14ac:dyDescent="0.35">
      <c r="A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1" ht="15.75" customHeight="1" x14ac:dyDescent="0.35">
      <c r="A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1" ht="15.75" customHeight="1" x14ac:dyDescent="0.35">
      <c r="A30" s="3"/>
      <c r="B30" s="3"/>
      <c r="C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1" ht="15.75" customHeight="1" x14ac:dyDescent="0.35">
      <c r="A31" s="3"/>
      <c r="B31" s="3"/>
      <c r="C31" s="3"/>
      <c r="F31" s="3"/>
      <c r="G31" s="3"/>
      <c r="H31" s="3"/>
      <c r="I31" s="135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1" ht="15.75" customHeight="1" x14ac:dyDescent="0.35">
      <c r="A32" s="3"/>
      <c r="B32" s="3"/>
      <c r="C32" s="3"/>
      <c r="F32" s="3"/>
      <c r="G32" s="3"/>
      <c r="H32" s="3"/>
      <c r="I32" s="135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.75" customHeight="1" x14ac:dyDescent="0.35">
      <c r="A33" s="3"/>
      <c r="B33" s="3"/>
      <c r="C33" s="3"/>
      <c r="F33" s="3"/>
      <c r="G33" s="3"/>
      <c r="H33" s="3"/>
      <c r="I33" s="13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.75" customHeight="1" x14ac:dyDescent="0.35">
      <c r="A34" s="3"/>
      <c r="B34" s="3"/>
      <c r="C34" s="3"/>
      <c r="F34" s="3"/>
      <c r="G34" s="3"/>
      <c r="H34" s="3"/>
      <c r="I34" s="135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.75" customHeight="1" x14ac:dyDescent="0.35">
      <c r="A35" s="3"/>
      <c r="B35" s="3"/>
      <c r="C35" s="3"/>
      <c r="F35" s="3"/>
      <c r="G35" s="3"/>
      <c r="H35" s="3"/>
      <c r="I35" s="13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75" customHeight="1" x14ac:dyDescent="0.35">
      <c r="A36" s="3"/>
      <c r="B36" s="3"/>
      <c r="C36" s="3"/>
      <c r="F36" s="3"/>
      <c r="G36" s="3"/>
      <c r="H36" s="3"/>
      <c r="I36" s="13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5.75" customHeight="1" x14ac:dyDescent="0.35">
      <c r="A37" s="3"/>
      <c r="B37" s="3"/>
      <c r="C37" s="3"/>
      <c r="F37" s="3"/>
      <c r="G37" s="3"/>
      <c r="H37" s="3"/>
      <c r="I37" s="135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5.75" customHeight="1" x14ac:dyDescent="0.35">
      <c r="A38" s="3"/>
      <c r="B38" s="3"/>
      <c r="C38" s="3"/>
      <c r="F38" s="3"/>
      <c r="G38" s="3"/>
      <c r="H38" s="3"/>
      <c r="I38" s="135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5.75" customHeight="1" x14ac:dyDescent="0.35">
      <c r="A39" s="3"/>
      <c r="B39" s="3"/>
      <c r="C39" s="3"/>
      <c r="F39" s="3"/>
      <c r="G39" s="3"/>
      <c r="H39" s="3"/>
      <c r="I39" s="135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5.75" customHeight="1" x14ac:dyDescent="0.35">
      <c r="A40" s="3"/>
      <c r="B40" s="3"/>
      <c r="C40" s="3"/>
      <c r="F40" s="3"/>
      <c r="G40" s="3"/>
      <c r="H40" s="3"/>
      <c r="I40" s="13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5.75" customHeight="1" x14ac:dyDescent="0.35">
      <c r="A41" s="3"/>
      <c r="B41" s="3"/>
      <c r="C41" s="3"/>
      <c r="F41" s="3"/>
      <c r="G41" s="3"/>
      <c r="H41" s="3"/>
      <c r="I41" s="135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 x14ac:dyDescent="0.35">
      <c r="A42" s="3"/>
      <c r="B42" s="3"/>
      <c r="C42" s="3"/>
      <c r="F42" s="3"/>
      <c r="G42" s="3"/>
      <c r="H42" s="3"/>
      <c r="I42" s="135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5.75" customHeight="1" x14ac:dyDescent="0.35">
      <c r="A43" s="3"/>
      <c r="B43" s="3"/>
      <c r="C43" s="3"/>
      <c r="F43" s="3"/>
      <c r="G43" s="3"/>
      <c r="H43" s="3"/>
      <c r="I43" s="135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5.75" customHeight="1" x14ac:dyDescent="0.35">
      <c r="A44" s="3"/>
      <c r="B44" s="3"/>
      <c r="C44" s="3"/>
      <c r="D44" s="3"/>
      <c r="E44" s="3"/>
      <c r="F44" s="3"/>
      <c r="G44" s="3"/>
      <c r="H44" s="3"/>
      <c r="I44" s="135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5.75" customHeight="1" x14ac:dyDescent="0.35">
      <c r="A45" s="3"/>
      <c r="B45" s="3"/>
      <c r="C45" s="3"/>
      <c r="D45" s="3"/>
      <c r="E45" s="3"/>
      <c r="F45" s="3"/>
      <c r="G45" s="3"/>
      <c r="H45" s="3"/>
      <c r="I45" s="135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5.75" customHeight="1" x14ac:dyDescent="0.35">
      <c r="A46" s="3"/>
      <c r="B46" s="3"/>
      <c r="C46" s="3"/>
      <c r="D46" s="3"/>
      <c r="E46" s="3"/>
      <c r="F46" s="3"/>
      <c r="G46" s="3"/>
      <c r="H46" s="3"/>
      <c r="I46" s="135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5.75" customHeight="1" x14ac:dyDescent="0.35">
      <c r="A47" s="3"/>
      <c r="B47" s="3"/>
      <c r="C47" s="3"/>
      <c r="D47" s="3"/>
      <c r="E47" s="3"/>
      <c r="F47" s="3"/>
      <c r="G47" s="3"/>
      <c r="H47" s="3"/>
      <c r="I47" s="135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5.75" customHeight="1" x14ac:dyDescent="0.35">
      <c r="A48" s="3"/>
      <c r="B48" s="3"/>
      <c r="C48" s="3"/>
      <c r="D48" s="3"/>
      <c r="E48" s="3"/>
      <c r="F48" s="3"/>
      <c r="G48" s="3"/>
      <c r="H48" s="3"/>
      <c r="I48" s="135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5.75" customHeight="1" x14ac:dyDescent="0.35">
      <c r="A49" s="3"/>
      <c r="B49" s="3"/>
      <c r="C49" s="3"/>
      <c r="D49" s="3"/>
      <c r="E49" s="3"/>
      <c r="F49" s="3"/>
      <c r="G49" s="3"/>
      <c r="H49" s="3"/>
      <c r="I49" s="135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5.75" customHeight="1" x14ac:dyDescent="0.35">
      <c r="A50" s="3"/>
      <c r="B50" s="3"/>
      <c r="C50" s="3"/>
      <c r="D50" s="3"/>
      <c r="E50" s="3"/>
      <c r="F50" s="3"/>
      <c r="G50" s="3"/>
      <c r="H50" s="3"/>
      <c r="I50" s="135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5.75" customHeight="1" x14ac:dyDescent="0.35">
      <c r="A51" s="3"/>
      <c r="B51" s="3"/>
      <c r="C51" s="3"/>
      <c r="D51" s="3"/>
      <c r="E51" s="3"/>
      <c r="F51" s="3"/>
      <c r="G51" s="3"/>
      <c r="H51" s="3"/>
      <c r="I51" s="135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 x14ac:dyDescent="0.35">
      <c r="A52" s="3"/>
      <c r="B52" s="3"/>
      <c r="C52" s="3"/>
      <c r="D52" s="3"/>
      <c r="E52" s="3"/>
      <c r="F52" s="3"/>
      <c r="G52" s="3"/>
      <c r="H52" s="3"/>
      <c r="I52" s="135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 x14ac:dyDescent="0.35">
      <c r="A53" s="3"/>
      <c r="B53" s="3"/>
      <c r="C53" s="3"/>
      <c r="D53" s="3"/>
      <c r="E53" s="3"/>
      <c r="F53" s="3"/>
      <c r="G53" s="3"/>
      <c r="H53" s="3"/>
      <c r="I53" s="135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 x14ac:dyDescent="0.35">
      <c r="A54" s="3"/>
      <c r="B54" s="3"/>
      <c r="C54" s="3"/>
      <c r="D54" s="3"/>
      <c r="E54" s="3"/>
      <c r="F54" s="3"/>
      <c r="G54" s="3"/>
      <c r="H54" s="3"/>
      <c r="I54" s="135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5.75" customHeight="1" x14ac:dyDescent="0.35">
      <c r="A55" s="3"/>
      <c r="B55" s="3"/>
      <c r="C55" s="3"/>
      <c r="D55" s="3"/>
      <c r="E55" s="3"/>
      <c r="F55" s="3"/>
      <c r="G55" s="3"/>
      <c r="H55" s="3"/>
      <c r="I55" s="135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5.75" customHeight="1" x14ac:dyDescent="0.35">
      <c r="A56" s="3"/>
      <c r="B56" s="3"/>
      <c r="C56" s="3"/>
      <c r="D56" s="3"/>
      <c r="E56" s="3"/>
      <c r="F56" s="3"/>
      <c r="G56" s="3"/>
      <c r="H56" s="3"/>
      <c r="I56" s="13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5.75" customHeight="1" x14ac:dyDescent="0.35">
      <c r="A57" s="3"/>
      <c r="B57" s="3"/>
      <c r="C57" s="3"/>
      <c r="D57" s="3"/>
      <c r="E57" s="3"/>
      <c r="F57" s="3"/>
      <c r="G57" s="3"/>
      <c r="H57" s="3"/>
      <c r="I57" s="135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5.75" customHeight="1" x14ac:dyDescent="0.35">
      <c r="A58" s="3"/>
      <c r="B58" s="3"/>
      <c r="C58" s="3"/>
      <c r="D58" s="3"/>
      <c r="E58" s="3"/>
      <c r="F58" s="3"/>
      <c r="G58" s="3"/>
      <c r="H58" s="3"/>
      <c r="I58" s="135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5.75" customHeight="1" x14ac:dyDescent="0.35">
      <c r="A59" s="3"/>
      <c r="B59" s="3"/>
      <c r="C59" s="3"/>
      <c r="D59" s="3"/>
      <c r="E59" s="3"/>
      <c r="F59" s="3"/>
      <c r="G59" s="3"/>
      <c r="H59" s="3"/>
      <c r="I59" s="13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5.75" customHeight="1" x14ac:dyDescent="0.35">
      <c r="A60" s="3"/>
      <c r="B60" s="3"/>
      <c r="C60" s="3"/>
      <c r="D60" s="3"/>
      <c r="E60" s="3"/>
      <c r="F60" s="3"/>
      <c r="G60" s="3"/>
      <c r="H60" s="3"/>
      <c r="I60" s="135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5.75" customHeight="1" x14ac:dyDescent="0.35">
      <c r="A61" s="3"/>
      <c r="B61" s="3"/>
      <c r="C61" s="3"/>
      <c r="D61" s="3"/>
      <c r="E61" s="3"/>
      <c r="F61" s="3"/>
      <c r="G61" s="3"/>
      <c r="H61" s="3"/>
      <c r="I61" s="13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5.75" customHeight="1" x14ac:dyDescent="0.35">
      <c r="A62" s="3"/>
      <c r="B62" s="3"/>
      <c r="C62" s="3"/>
      <c r="D62" s="3"/>
      <c r="E62" s="3"/>
      <c r="F62" s="3"/>
      <c r="G62" s="3"/>
      <c r="H62" s="3"/>
      <c r="I62" s="135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5.75" customHeight="1" x14ac:dyDescent="0.35">
      <c r="A63" s="3"/>
      <c r="B63" s="3"/>
      <c r="C63" s="3"/>
      <c r="D63" s="3"/>
      <c r="E63" s="3"/>
      <c r="F63" s="3"/>
      <c r="G63" s="3"/>
      <c r="H63" s="3"/>
      <c r="I63" s="135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5.75" customHeight="1" x14ac:dyDescent="0.35">
      <c r="A64" s="3"/>
      <c r="B64" s="3"/>
      <c r="C64" s="3"/>
      <c r="D64" s="3"/>
      <c r="E64" s="3"/>
      <c r="F64" s="3"/>
      <c r="G64" s="3"/>
      <c r="H64" s="3"/>
      <c r="I64" s="135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5.75" customHeight="1" x14ac:dyDescent="0.35">
      <c r="A65" s="3"/>
      <c r="B65" s="3"/>
      <c r="C65" s="3"/>
      <c r="D65" s="3"/>
      <c r="E65" s="3"/>
      <c r="F65" s="3"/>
      <c r="G65" s="3"/>
      <c r="H65" s="3"/>
      <c r="I65" s="135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5.75" customHeight="1" x14ac:dyDescent="0.35">
      <c r="A66" s="3"/>
      <c r="B66" s="3"/>
      <c r="C66" s="3"/>
      <c r="D66" s="3"/>
      <c r="E66" s="3"/>
      <c r="F66" s="3"/>
      <c r="G66" s="3"/>
      <c r="H66" s="3"/>
      <c r="I66" s="135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5.75" customHeight="1" x14ac:dyDescent="0.35">
      <c r="A67" s="3"/>
      <c r="B67" s="3"/>
      <c r="C67" s="3"/>
      <c r="D67" s="3"/>
      <c r="E67" s="3"/>
      <c r="F67" s="3"/>
      <c r="G67" s="3"/>
      <c r="H67" s="3"/>
      <c r="I67" s="135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5.75" customHeight="1" x14ac:dyDescent="0.35">
      <c r="A68" s="3"/>
      <c r="B68" s="3"/>
      <c r="C68" s="3"/>
      <c r="D68" s="3"/>
      <c r="E68" s="3"/>
      <c r="F68" s="3"/>
      <c r="G68" s="3"/>
      <c r="H68" s="3"/>
      <c r="I68" s="135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5.75" customHeight="1" x14ac:dyDescent="0.35">
      <c r="A69" s="3"/>
      <c r="B69" s="3"/>
      <c r="C69" s="3"/>
      <c r="D69" s="3"/>
      <c r="E69" s="3"/>
      <c r="F69" s="3"/>
      <c r="G69" s="3"/>
      <c r="H69" s="3"/>
      <c r="I69" s="135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5.75" customHeight="1" x14ac:dyDescent="0.35">
      <c r="A70" s="3"/>
      <c r="B70" s="3"/>
      <c r="C70" s="3"/>
      <c r="D70" s="3"/>
      <c r="E70" s="3"/>
      <c r="F70" s="3"/>
      <c r="G70" s="3"/>
      <c r="H70" s="3"/>
      <c r="I70" s="135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5.75" customHeight="1" x14ac:dyDescent="0.35">
      <c r="A71" s="3"/>
      <c r="B71" s="3"/>
      <c r="C71" s="3"/>
      <c r="D71" s="3"/>
      <c r="E71" s="3"/>
      <c r="F71" s="3"/>
      <c r="G71" s="3"/>
      <c r="H71" s="3"/>
      <c r="I71" s="135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5.75" customHeight="1" x14ac:dyDescent="0.35">
      <c r="A72" s="3"/>
      <c r="B72" s="3"/>
      <c r="C72" s="3"/>
      <c r="D72" s="3"/>
      <c r="E72" s="3"/>
      <c r="F72" s="3"/>
      <c r="G72" s="3"/>
      <c r="H72" s="3"/>
      <c r="I72" s="135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5.75" customHeight="1" x14ac:dyDescent="0.35">
      <c r="A73" s="3"/>
      <c r="B73" s="3"/>
      <c r="C73" s="3"/>
      <c r="D73" s="3"/>
      <c r="E73" s="3"/>
      <c r="F73" s="3"/>
      <c r="G73" s="3"/>
      <c r="H73" s="3"/>
      <c r="I73" s="135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5.75" customHeight="1" x14ac:dyDescent="0.35">
      <c r="A74" s="3"/>
      <c r="B74" s="3"/>
      <c r="C74" s="3"/>
      <c r="D74" s="3"/>
      <c r="E74" s="3"/>
      <c r="F74" s="3"/>
      <c r="G74" s="3"/>
      <c r="H74" s="3"/>
      <c r="I74" s="135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5.75" customHeight="1" x14ac:dyDescent="0.35">
      <c r="A75" s="3"/>
      <c r="B75" s="3"/>
      <c r="C75" s="3"/>
      <c r="D75" s="3"/>
      <c r="E75" s="3"/>
      <c r="F75" s="3"/>
      <c r="G75" s="3"/>
      <c r="H75" s="3"/>
      <c r="I75" s="135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5.75" customHeight="1" x14ac:dyDescent="0.35">
      <c r="A76" s="3"/>
      <c r="B76" s="3"/>
      <c r="C76" s="3"/>
      <c r="D76" s="3"/>
      <c r="E76" s="3"/>
      <c r="F76" s="3"/>
      <c r="G76" s="3"/>
      <c r="H76" s="3"/>
      <c r="I76" s="135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5.75" customHeight="1" x14ac:dyDescent="0.35">
      <c r="A77" s="3"/>
      <c r="B77" s="3"/>
      <c r="C77" s="3"/>
      <c r="D77" s="3"/>
      <c r="E77" s="3"/>
      <c r="F77" s="3"/>
      <c r="G77" s="3"/>
      <c r="H77" s="3"/>
      <c r="I77" s="135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5.75" customHeight="1" x14ac:dyDescent="0.35">
      <c r="A78" s="3"/>
      <c r="B78" s="3"/>
      <c r="C78" s="3"/>
      <c r="D78" s="3"/>
      <c r="E78" s="3"/>
      <c r="F78" s="3"/>
      <c r="G78" s="3"/>
      <c r="H78" s="3"/>
      <c r="I78" s="135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5.75" customHeight="1" x14ac:dyDescent="0.35">
      <c r="A79" s="3"/>
      <c r="B79" s="3"/>
      <c r="C79" s="3"/>
      <c r="D79" s="3"/>
      <c r="E79" s="3"/>
      <c r="F79" s="3"/>
      <c r="G79" s="3"/>
      <c r="H79" s="3"/>
      <c r="I79" s="135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5.75" customHeight="1" x14ac:dyDescent="0.35">
      <c r="A80" s="3"/>
      <c r="B80" s="3"/>
      <c r="C80" s="3"/>
      <c r="D80" s="3"/>
      <c r="E80" s="3"/>
      <c r="F80" s="3"/>
      <c r="G80" s="3"/>
      <c r="H80" s="3"/>
      <c r="I80" s="135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5.75" customHeight="1" x14ac:dyDescent="0.35">
      <c r="A81" s="3"/>
      <c r="B81" s="3"/>
      <c r="C81" s="3"/>
      <c r="D81" s="3"/>
      <c r="E81" s="3"/>
      <c r="F81" s="3"/>
      <c r="G81" s="3"/>
      <c r="H81" s="3"/>
      <c r="I81" s="135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5.75" customHeight="1" x14ac:dyDescent="0.35">
      <c r="A82" s="3"/>
      <c r="B82" s="3"/>
      <c r="C82" s="3"/>
      <c r="D82" s="3"/>
      <c r="E82" s="3"/>
      <c r="F82" s="3"/>
      <c r="G82" s="3"/>
      <c r="H82" s="3"/>
      <c r="I82" s="135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5.75" customHeight="1" x14ac:dyDescent="0.35">
      <c r="A83" s="3"/>
      <c r="B83" s="3"/>
      <c r="C83" s="3"/>
      <c r="D83" s="3"/>
      <c r="E83" s="3"/>
      <c r="F83" s="3"/>
      <c r="G83" s="3"/>
      <c r="H83" s="3"/>
      <c r="I83" s="135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5.75" customHeight="1" x14ac:dyDescent="0.35">
      <c r="A84" s="3"/>
      <c r="B84" s="3"/>
      <c r="C84" s="3"/>
      <c r="D84" s="3"/>
      <c r="E84" s="3"/>
      <c r="F84" s="3"/>
      <c r="G84" s="3"/>
      <c r="H84" s="3"/>
      <c r="I84" s="135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 x14ac:dyDescent="0.35">
      <c r="A85" s="3"/>
      <c r="B85" s="3"/>
      <c r="C85" s="3"/>
      <c r="D85" s="3"/>
      <c r="E85" s="3"/>
      <c r="F85" s="3"/>
      <c r="G85" s="3"/>
      <c r="H85" s="3"/>
      <c r="I85" s="135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 x14ac:dyDescent="0.35">
      <c r="A86" s="3"/>
      <c r="B86" s="3"/>
      <c r="C86" s="3"/>
      <c r="D86" s="3"/>
      <c r="E86" s="3"/>
      <c r="F86" s="3"/>
      <c r="G86" s="3"/>
      <c r="H86" s="3"/>
      <c r="I86" s="135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 x14ac:dyDescent="0.35">
      <c r="A87" s="3"/>
      <c r="B87" s="3"/>
      <c r="C87" s="3"/>
      <c r="D87" s="3"/>
      <c r="E87" s="3"/>
      <c r="F87" s="3"/>
      <c r="G87" s="3"/>
      <c r="H87" s="3"/>
      <c r="I87" s="135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5.75" customHeight="1" x14ac:dyDescent="0.35">
      <c r="A88" s="3"/>
      <c r="B88" s="3"/>
      <c r="C88" s="3"/>
      <c r="D88" s="3"/>
      <c r="E88" s="3"/>
      <c r="F88" s="3"/>
      <c r="G88" s="3"/>
      <c r="H88" s="3"/>
      <c r="I88" s="135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5.75" customHeight="1" x14ac:dyDescent="0.35">
      <c r="A89" s="3"/>
      <c r="B89" s="3"/>
      <c r="C89" s="3"/>
      <c r="D89" s="3"/>
      <c r="E89" s="3"/>
      <c r="F89" s="3"/>
      <c r="G89" s="3"/>
      <c r="H89" s="3"/>
      <c r="I89" s="135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5.75" customHeight="1" x14ac:dyDescent="0.35">
      <c r="A90" s="3"/>
      <c r="B90" s="3"/>
      <c r="C90" s="3"/>
      <c r="D90" s="3"/>
      <c r="E90" s="3"/>
      <c r="F90" s="3"/>
      <c r="G90" s="3"/>
      <c r="H90" s="3"/>
      <c r="I90" s="135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5.75" customHeight="1" x14ac:dyDescent="0.35">
      <c r="A91" s="3"/>
      <c r="B91" s="3"/>
      <c r="C91" s="3"/>
      <c r="D91" s="3"/>
      <c r="E91" s="3"/>
      <c r="F91" s="3"/>
      <c r="G91" s="3"/>
      <c r="H91" s="3"/>
      <c r="I91" s="135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5.75" customHeight="1" x14ac:dyDescent="0.35">
      <c r="A92" s="3"/>
      <c r="B92" s="3"/>
      <c r="C92" s="3"/>
      <c r="D92" s="3"/>
      <c r="E92" s="3"/>
      <c r="F92" s="3"/>
      <c r="G92" s="3"/>
      <c r="H92" s="3"/>
      <c r="I92" s="135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5.75" customHeight="1" x14ac:dyDescent="0.35">
      <c r="A93" s="3"/>
      <c r="B93" s="3"/>
      <c r="C93" s="3"/>
      <c r="D93" s="3"/>
      <c r="E93" s="3"/>
      <c r="F93" s="3"/>
      <c r="G93" s="3"/>
      <c r="H93" s="3"/>
      <c r="I93" s="135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5.75" customHeight="1" x14ac:dyDescent="0.35">
      <c r="A94" s="3"/>
      <c r="B94" s="3"/>
      <c r="C94" s="3"/>
      <c r="D94" s="3"/>
      <c r="E94" s="3"/>
      <c r="F94" s="3"/>
      <c r="G94" s="3"/>
      <c r="H94" s="3"/>
      <c r="I94" s="135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5.75" customHeight="1" x14ac:dyDescent="0.35">
      <c r="A95" s="3"/>
      <c r="B95" s="3"/>
      <c r="C95" s="3"/>
      <c r="D95" s="3"/>
      <c r="E95" s="3"/>
      <c r="F95" s="3"/>
      <c r="G95" s="3"/>
      <c r="H95" s="3"/>
      <c r="I95" s="135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5.75" customHeight="1" x14ac:dyDescent="0.35">
      <c r="A96" s="3"/>
      <c r="B96" s="3"/>
      <c r="C96" s="3"/>
      <c r="D96" s="3"/>
      <c r="E96" s="3"/>
      <c r="F96" s="3"/>
      <c r="G96" s="3"/>
      <c r="H96" s="3"/>
      <c r="I96" s="135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5.75" customHeight="1" x14ac:dyDescent="0.35">
      <c r="A97" s="3"/>
      <c r="B97" s="3"/>
      <c r="C97" s="3"/>
      <c r="D97" s="3"/>
      <c r="E97" s="3"/>
      <c r="F97" s="3"/>
      <c r="G97" s="3"/>
      <c r="H97" s="3"/>
      <c r="I97" s="135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5.75" customHeight="1" x14ac:dyDescent="0.35">
      <c r="A98" s="3"/>
      <c r="B98" s="3"/>
      <c r="C98" s="3"/>
      <c r="D98" s="3"/>
      <c r="E98" s="3"/>
      <c r="F98" s="3"/>
      <c r="G98" s="3"/>
      <c r="H98" s="3"/>
      <c r="I98" s="135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5.75" customHeight="1" x14ac:dyDescent="0.35">
      <c r="A99" s="3"/>
      <c r="B99" s="3"/>
      <c r="C99" s="3"/>
      <c r="D99" s="3"/>
      <c r="E99" s="3"/>
      <c r="F99" s="3"/>
      <c r="G99" s="3"/>
      <c r="H99" s="3"/>
      <c r="I99" s="135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135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135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135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135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135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135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135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135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135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5.75" customHeight="1" x14ac:dyDescent="0.35">
      <c r="A109" s="3"/>
      <c r="B109" s="3"/>
      <c r="C109" s="3"/>
      <c r="D109" s="3"/>
      <c r="E109" s="3"/>
      <c r="F109" s="3"/>
      <c r="G109" s="3"/>
      <c r="H109" s="3"/>
      <c r="I109" s="135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135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135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135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135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135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135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135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135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135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135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135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135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135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135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135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135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135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5.75" customHeight="1" x14ac:dyDescent="0.35">
      <c r="A127" s="3"/>
      <c r="B127" s="3"/>
      <c r="C127" s="3"/>
      <c r="D127" s="3"/>
      <c r="E127" s="3"/>
      <c r="F127" s="3"/>
      <c r="G127" s="3"/>
      <c r="H127" s="3"/>
      <c r="I127" s="135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135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135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135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135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135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135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135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135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13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135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135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135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13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13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135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135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135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5.75" customHeight="1" x14ac:dyDescent="0.35">
      <c r="A145" s="3"/>
      <c r="B145" s="3"/>
      <c r="C145" s="3"/>
      <c r="D145" s="3"/>
      <c r="E145" s="3"/>
      <c r="F145" s="3"/>
      <c r="G145" s="3"/>
      <c r="H145" s="3"/>
      <c r="I145" s="135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135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135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135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135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135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135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135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135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135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135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13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135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135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135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13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13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135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5.75" customHeight="1" x14ac:dyDescent="0.35">
      <c r="A163" s="3"/>
      <c r="B163" s="3"/>
      <c r="C163" s="3"/>
      <c r="D163" s="3"/>
      <c r="E163" s="3"/>
      <c r="F163" s="3"/>
      <c r="G163" s="3"/>
      <c r="H163" s="3"/>
      <c r="I163" s="135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135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135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135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135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135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135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135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135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135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135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135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135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135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135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135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135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135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5.75" customHeight="1" x14ac:dyDescent="0.35">
      <c r="A181" s="3"/>
      <c r="B181" s="3"/>
      <c r="C181" s="3"/>
      <c r="D181" s="3"/>
      <c r="E181" s="3"/>
      <c r="F181" s="3"/>
      <c r="G181" s="3"/>
      <c r="H181" s="3"/>
      <c r="I181" s="135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5.75" customHeight="1" x14ac:dyDescent="0.35">
      <c r="A182" s="3"/>
      <c r="B182" s="3"/>
      <c r="C182" s="3"/>
      <c r="D182" s="3"/>
      <c r="E182" s="3"/>
      <c r="F182" s="3"/>
      <c r="G182" s="3"/>
      <c r="H182" s="3"/>
      <c r="I182" s="135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5.75" customHeight="1" x14ac:dyDescent="0.35">
      <c r="A183" s="3"/>
      <c r="B183" s="3"/>
      <c r="C183" s="3"/>
      <c r="D183" s="3"/>
      <c r="E183" s="3"/>
      <c r="F183" s="3"/>
      <c r="G183" s="3"/>
      <c r="H183" s="3"/>
      <c r="I183" s="135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5.75" customHeight="1" x14ac:dyDescent="0.35">
      <c r="A184" s="3"/>
      <c r="B184" s="3"/>
      <c r="C184" s="3"/>
      <c r="D184" s="3"/>
      <c r="E184" s="3"/>
      <c r="F184" s="3"/>
      <c r="G184" s="3"/>
      <c r="H184" s="3"/>
      <c r="I184" s="135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5.75" customHeight="1" x14ac:dyDescent="0.35">
      <c r="A185" s="3"/>
      <c r="B185" s="3"/>
      <c r="C185" s="3"/>
      <c r="D185" s="3"/>
      <c r="E185" s="3"/>
      <c r="F185" s="3"/>
      <c r="G185" s="3"/>
      <c r="H185" s="3"/>
      <c r="I185" s="135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5.75" customHeight="1" x14ac:dyDescent="0.35">
      <c r="A186" s="3"/>
      <c r="B186" s="3"/>
      <c r="C186" s="3"/>
      <c r="D186" s="3"/>
      <c r="E186" s="3"/>
      <c r="F186" s="3"/>
      <c r="G186" s="3"/>
      <c r="H186" s="3"/>
      <c r="I186" s="135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5.75" customHeight="1" x14ac:dyDescent="0.35">
      <c r="A187" s="3"/>
      <c r="B187" s="3"/>
      <c r="C187" s="3"/>
      <c r="D187" s="3"/>
      <c r="E187" s="3"/>
      <c r="F187" s="3"/>
      <c r="G187" s="3"/>
      <c r="H187" s="3"/>
      <c r="I187" s="135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5.75" customHeight="1" x14ac:dyDescent="0.35">
      <c r="A188" s="3"/>
      <c r="B188" s="3"/>
      <c r="C188" s="3"/>
      <c r="D188" s="3"/>
      <c r="E188" s="3"/>
      <c r="F188" s="3"/>
      <c r="G188" s="3"/>
      <c r="H188" s="3"/>
      <c r="I188" s="135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5.75" customHeight="1" x14ac:dyDescent="0.35">
      <c r="A189" s="3"/>
      <c r="B189" s="3"/>
      <c r="C189" s="3"/>
      <c r="D189" s="3"/>
      <c r="E189" s="3"/>
      <c r="F189" s="3"/>
      <c r="G189" s="3"/>
      <c r="H189" s="3"/>
      <c r="I189" s="135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5.75" customHeight="1" x14ac:dyDescent="0.35">
      <c r="A190" s="3"/>
      <c r="B190" s="3"/>
      <c r="C190" s="3"/>
      <c r="D190" s="3"/>
      <c r="E190" s="3"/>
      <c r="F190" s="3"/>
      <c r="G190" s="3"/>
      <c r="H190" s="3"/>
      <c r="I190" s="135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5.75" customHeight="1" x14ac:dyDescent="0.35">
      <c r="A191" s="3"/>
      <c r="B191" s="3"/>
      <c r="C191" s="3"/>
      <c r="D191" s="3"/>
      <c r="E191" s="3"/>
      <c r="F191" s="3"/>
      <c r="G191" s="3"/>
      <c r="H191" s="3"/>
      <c r="I191" s="135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5.75" customHeight="1" x14ac:dyDescent="0.35">
      <c r="A192" s="3"/>
      <c r="B192" s="3"/>
      <c r="C192" s="3"/>
      <c r="D192" s="3"/>
      <c r="E192" s="3"/>
      <c r="F192" s="3"/>
      <c r="G192" s="3"/>
      <c r="H192" s="3"/>
      <c r="I192" s="135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5.75" customHeight="1" x14ac:dyDescent="0.35">
      <c r="A193" s="3"/>
      <c r="B193" s="3"/>
      <c r="C193" s="3"/>
      <c r="D193" s="3"/>
      <c r="E193" s="3"/>
      <c r="F193" s="3"/>
      <c r="G193" s="3"/>
      <c r="H193" s="3"/>
      <c r="I193" s="135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5.75" customHeight="1" x14ac:dyDescent="0.35">
      <c r="A194" s="3"/>
      <c r="B194" s="3"/>
      <c r="C194" s="3"/>
      <c r="D194" s="3"/>
      <c r="E194" s="3"/>
      <c r="F194" s="3"/>
      <c r="G194" s="3"/>
      <c r="H194" s="3"/>
      <c r="I194" s="135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5.75" customHeight="1" x14ac:dyDescent="0.35">
      <c r="A195" s="3"/>
      <c r="B195" s="3"/>
      <c r="C195" s="3"/>
      <c r="D195" s="3"/>
      <c r="E195" s="3"/>
      <c r="F195" s="3"/>
      <c r="G195" s="3"/>
      <c r="H195" s="3"/>
      <c r="I195" s="135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5.75" customHeight="1" x14ac:dyDescent="0.35">
      <c r="A196" s="3"/>
      <c r="B196" s="3"/>
      <c r="C196" s="3"/>
      <c r="D196" s="3"/>
      <c r="E196" s="3"/>
      <c r="F196" s="3"/>
      <c r="G196" s="3"/>
      <c r="H196" s="3"/>
      <c r="I196" s="135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5.75" customHeight="1" x14ac:dyDescent="0.35">
      <c r="A197" s="3"/>
      <c r="B197" s="3"/>
      <c r="C197" s="3"/>
      <c r="D197" s="3"/>
      <c r="E197" s="3"/>
      <c r="F197" s="3"/>
      <c r="G197" s="3"/>
      <c r="H197" s="3"/>
      <c r="I197" s="135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135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135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5.75" customHeight="1" x14ac:dyDescent="0.35">
      <c r="A200" s="3"/>
      <c r="B200" s="3"/>
      <c r="C200" s="3"/>
      <c r="D200" s="3"/>
      <c r="E200" s="3"/>
      <c r="F200" s="3"/>
      <c r="G200" s="3"/>
      <c r="H200" s="3"/>
      <c r="I200" s="135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5.75" customHeight="1" x14ac:dyDescent="0.35">
      <c r="A201" s="3"/>
      <c r="B201" s="3"/>
      <c r="C201" s="3"/>
      <c r="D201" s="3"/>
      <c r="E201" s="3"/>
      <c r="F201" s="3"/>
      <c r="G201" s="3"/>
      <c r="H201" s="3"/>
      <c r="I201" s="135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5.75" customHeight="1" x14ac:dyDescent="0.35">
      <c r="A202" s="3"/>
      <c r="B202" s="3"/>
      <c r="C202" s="3"/>
      <c r="D202" s="3"/>
      <c r="E202" s="3"/>
      <c r="F202" s="3"/>
      <c r="G202" s="3"/>
      <c r="H202" s="3"/>
      <c r="I202" s="135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5.75" customHeight="1" x14ac:dyDescent="0.35">
      <c r="A203" s="3"/>
      <c r="B203" s="3"/>
      <c r="C203" s="3"/>
      <c r="D203" s="3"/>
      <c r="E203" s="3"/>
      <c r="F203" s="3"/>
      <c r="G203" s="3"/>
      <c r="H203" s="3"/>
      <c r="I203" s="135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5.75" customHeight="1" x14ac:dyDescent="0.35">
      <c r="A204" s="3"/>
      <c r="B204" s="3"/>
      <c r="C204" s="3"/>
      <c r="D204" s="3"/>
      <c r="E204" s="3"/>
      <c r="F204" s="3"/>
      <c r="G204" s="3"/>
      <c r="H204" s="3"/>
      <c r="I204" s="135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5.75" customHeight="1" x14ac:dyDescent="0.35">
      <c r="A205" s="3"/>
      <c r="B205" s="3"/>
      <c r="C205" s="3"/>
      <c r="D205" s="3"/>
      <c r="E205" s="3"/>
      <c r="F205" s="3"/>
      <c r="G205" s="3"/>
      <c r="H205" s="3"/>
      <c r="I205" s="135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5.75" customHeight="1" x14ac:dyDescent="0.35">
      <c r="A206" s="3"/>
      <c r="B206" s="3"/>
      <c r="C206" s="3"/>
      <c r="D206" s="3"/>
      <c r="E206" s="3"/>
      <c r="F206" s="3"/>
      <c r="G206" s="3"/>
      <c r="H206" s="3"/>
      <c r="I206" s="135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5.75" customHeight="1" x14ac:dyDescent="0.35">
      <c r="A207" s="3"/>
      <c r="B207" s="3"/>
      <c r="C207" s="3"/>
      <c r="D207" s="3"/>
      <c r="E207" s="3"/>
      <c r="F207" s="3"/>
      <c r="G207" s="3"/>
      <c r="H207" s="3"/>
      <c r="I207" s="135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5.75" customHeight="1" x14ac:dyDescent="0.35">
      <c r="A208" s="3"/>
      <c r="B208" s="3"/>
      <c r="C208" s="3"/>
      <c r="D208" s="3"/>
      <c r="E208" s="3"/>
      <c r="F208" s="3"/>
      <c r="G208" s="3"/>
      <c r="H208" s="3"/>
      <c r="I208" s="135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5.75" customHeight="1" x14ac:dyDescent="0.35">
      <c r="A209" s="3"/>
      <c r="B209" s="3"/>
      <c r="C209" s="3"/>
      <c r="D209" s="3"/>
      <c r="E209" s="3"/>
      <c r="F209" s="3"/>
      <c r="G209" s="3"/>
      <c r="H209" s="3"/>
      <c r="I209" s="135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5.75" customHeight="1" x14ac:dyDescent="0.35">
      <c r="A210" s="3"/>
      <c r="B210" s="3"/>
      <c r="C210" s="3"/>
      <c r="D210" s="3"/>
      <c r="E210" s="3"/>
      <c r="F210" s="3"/>
      <c r="G210" s="3"/>
      <c r="H210" s="3"/>
      <c r="I210" s="135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5.75" customHeight="1" x14ac:dyDescent="0.35">
      <c r="A211" s="3"/>
      <c r="B211" s="3"/>
      <c r="C211" s="3"/>
      <c r="D211" s="3"/>
      <c r="E211" s="3"/>
      <c r="F211" s="3"/>
      <c r="G211" s="3"/>
      <c r="H211" s="3"/>
      <c r="I211" s="135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5.75" customHeight="1" x14ac:dyDescent="0.35">
      <c r="A212" s="3"/>
      <c r="B212" s="3"/>
      <c r="C212" s="3"/>
      <c r="D212" s="3"/>
      <c r="E212" s="3"/>
      <c r="F212" s="3"/>
      <c r="G212" s="3"/>
      <c r="H212" s="3"/>
      <c r="I212" s="135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5.75" customHeight="1" x14ac:dyDescent="0.35">
      <c r="A213" s="3"/>
      <c r="B213" s="3"/>
      <c r="C213" s="3"/>
      <c r="D213" s="3"/>
      <c r="E213" s="3"/>
      <c r="F213" s="3"/>
      <c r="G213" s="3"/>
      <c r="H213" s="3"/>
      <c r="I213" s="135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5.75" customHeight="1" x14ac:dyDescent="0.35">
      <c r="A214" s="3"/>
      <c r="B214" s="3"/>
      <c r="C214" s="3"/>
      <c r="D214" s="3"/>
      <c r="E214" s="3"/>
      <c r="F214" s="3"/>
      <c r="G214" s="3"/>
      <c r="H214" s="3"/>
      <c r="I214" s="135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5.75" customHeight="1" x14ac:dyDescent="0.35">
      <c r="A215" s="3"/>
      <c r="B215" s="3"/>
      <c r="C215" s="3"/>
      <c r="D215" s="3"/>
      <c r="E215" s="3"/>
      <c r="F215" s="3"/>
      <c r="G215" s="3"/>
      <c r="H215" s="3"/>
      <c r="I215" s="135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5.75" customHeight="1" x14ac:dyDescent="0.35">
      <c r="A216" s="3"/>
      <c r="B216" s="3"/>
      <c r="C216" s="3"/>
      <c r="D216" s="3"/>
      <c r="E216" s="3"/>
      <c r="F216" s="3"/>
      <c r="G216" s="3"/>
      <c r="H216" s="3"/>
      <c r="I216" s="135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135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5.75" customHeight="1" x14ac:dyDescent="0.35">
      <c r="A218" s="3"/>
      <c r="B218" s="3"/>
      <c r="C218" s="3"/>
      <c r="D218" s="3"/>
      <c r="E218" s="3"/>
      <c r="F218" s="3"/>
      <c r="G218" s="3"/>
      <c r="H218" s="3"/>
      <c r="I218" s="135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5.75" customHeight="1" x14ac:dyDescent="0.35">
      <c r="A219" s="3"/>
      <c r="B219" s="3"/>
      <c r="C219" s="3"/>
      <c r="D219" s="3"/>
      <c r="E219" s="3"/>
      <c r="F219" s="3"/>
      <c r="G219" s="3"/>
      <c r="H219" s="3"/>
      <c r="I219" s="135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5.75" customHeight="1" x14ac:dyDescent="0.35">
      <c r="A220" s="3"/>
      <c r="B220" s="3"/>
      <c r="C220" s="3"/>
      <c r="D220" s="3"/>
      <c r="E220" s="3"/>
      <c r="F220" s="3"/>
      <c r="G220" s="3"/>
      <c r="H220" s="3"/>
      <c r="I220" s="135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5.75" customHeight="1" x14ac:dyDescent="0.35">
      <c r="A221" s="3"/>
      <c r="B221" s="3"/>
      <c r="C221" s="3"/>
      <c r="D221" s="3"/>
      <c r="E221" s="3"/>
      <c r="F221" s="3"/>
      <c r="G221" s="3"/>
      <c r="H221" s="3"/>
      <c r="I221" s="135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5.75" customHeight="1" x14ac:dyDescent="0.35">
      <c r="A222" s="3"/>
      <c r="B222" s="3"/>
      <c r="C222" s="3"/>
      <c r="D222" s="3"/>
      <c r="E222" s="3"/>
      <c r="F222" s="3"/>
      <c r="G222" s="3"/>
      <c r="H222" s="3"/>
      <c r="I222" s="135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5.75" customHeight="1" x14ac:dyDescent="0.35">
      <c r="A223" s="3"/>
      <c r="B223" s="3"/>
      <c r="C223" s="3"/>
      <c r="D223" s="3"/>
      <c r="E223" s="3"/>
      <c r="F223" s="3"/>
      <c r="G223" s="3"/>
      <c r="H223" s="3"/>
      <c r="I223" s="135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5.75" customHeight="1" x14ac:dyDescent="0.35">
      <c r="A224" s="3"/>
      <c r="B224" s="3"/>
      <c r="C224" s="3"/>
      <c r="D224" s="3"/>
      <c r="E224" s="3"/>
      <c r="F224" s="3"/>
      <c r="G224" s="3"/>
      <c r="H224" s="3"/>
      <c r="I224" s="135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5.75" customHeight="1" x14ac:dyDescent="0.35">
      <c r="A225" s="3"/>
      <c r="B225" s="3"/>
      <c r="C225" s="3"/>
      <c r="D225" s="3"/>
      <c r="E225" s="3"/>
      <c r="F225" s="3"/>
      <c r="G225" s="3"/>
      <c r="H225" s="3"/>
      <c r="I225" s="135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5.75" customHeight="1" x14ac:dyDescent="0.35">
      <c r="A226" s="3"/>
      <c r="B226" s="3"/>
      <c r="C226" s="3"/>
      <c r="D226" s="3"/>
      <c r="E226" s="3"/>
      <c r="F226" s="3"/>
      <c r="G226" s="3"/>
      <c r="H226" s="3"/>
      <c r="I226" s="135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5.75" customHeight="1" x14ac:dyDescent="0.35">
      <c r="A227" s="3"/>
      <c r="B227" s="3"/>
      <c r="C227" s="3"/>
      <c r="D227" s="3"/>
      <c r="E227" s="3"/>
      <c r="F227" s="3"/>
      <c r="G227" s="3"/>
      <c r="H227" s="3"/>
      <c r="I227" s="135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5.75" customHeight="1" x14ac:dyDescent="0.35">
      <c r="A228" s="3"/>
      <c r="B228" s="3"/>
      <c r="C228" s="3"/>
      <c r="D228" s="3"/>
      <c r="E228" s="3"/>
      <c r="F228" s="3"/>
      <c r="G228" s="3"/>
      <c r="H228" s="3"/>
      <c r="I228" s="135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5.75" customHeight="1" x14ac:dyDescent="0.35">
      <c r="A229" s="3"/>
      <c r="B229" s="3"/>
      <c r="C229" s="3"/>
      <c r="D229" s="3"/>
      <c r="E229" s="3"/>
      <c r="F229" s="3"/>
      <c r="G229" s="3"/>
      <c r="H229" s="3"/>
      <c r="I229" s="135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5.75" customHeight="1" x14ac:dyDescent="0.35">
      <c r="A230" s="3"/>
      <c r="B230" s="3"/>
      <c r="C230" s="3"/>
      <c r="D230" s="3"/>
      <c r="E230" s="3"/>
      <c r="F230" s="3"/>
      <c r="G230" s="3"/>
      <c r="H230" s="3"/>
      <c r="I230" s="135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5.75" customHeight="1" x14ac:dyDescent="0.35">
      <c r="A231" s="3"/>
      <c r="B231" s="3"/>
      <c r="C231" s="3"/>
      <c r="D231" s="3"/>
      <c r="E231" s="3"/>
      <c r="F231" s="3"/>
      <c r="G231" s="3"/>
      <c r="H231" s="3"/>
      <c r="I231" s="135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5.75" customHeight="1" x14ac:dyDescent="0.35">
      <c r="A232" s="3"/>
      <c r="B232" s="3"/>
      <c r="C232" s="3"/>
      <c r="D232" s="3"/>
      <c r="E232" s="3"/>
      <c r="F232" s="3"/>
      <c r="G232" s="3"/>
      <c r="H232" s="3"/>
      <c r="I232" s="135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5.75" customHeight="1" x14ac:dyDescent="0.35">
      <c r="A233" s="3"/>
      <c r="B233" s="3"/>
      <c r="C233" s="3"/>
      <c r="D233" s="3"/>
      <c r="E233" s="3"/>
      <c r="F233" s="3"/>
      <c r="G233" s="3"/>
      <c r="H233" s="3"/>
      <c r="I233" s="135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5.75" customHeight="1" x14ac:dyDescent="0.35">
      <c r="A234" s="3"/>
      <c r="B234" s="3"/>
      <c r="C234" s="3"/>
      <c r="D234" s="3"/>
      <c r="E234" s="3"/>
      <c r="F234" s="3"/>
      <c r="G234" s="3"/>
      <c r="H234" s="3"/>
      <c r="I234" s="135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5.75" customHeight="1" x14ac:dyDescent="0.35">
      <c r="A235" s="3"/>
      <c r="B235" s="3"/>
      <c r="C235" s="3"/>
      <c r="D235" s="3"/>
      <c r="E235" s="3"/>
      <c r="F235" s="3"/>
      <c r="G235" s="3"/>
      <c r="H235" s="3"/>
      <c r="I235" s="135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5.75" customHeight="1" x14ac:dyDescent="0.35">
      <c r="A236" s="3"/>
      <c r="B236" s="3"/>
      <c r="C236" s="3"/>
      <c r="D236" s="3"/>
      <c r="E236" s="3"/>
      <c r="F236" s="3"/>
      <c r="G236" s="3"/>
      <c r="H236" s="3"/>
      <c r="I236" s="135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5.75" customHeight="1" x14ac:dyDescent="0.35">
      <c r="A237" s="3"/>
      <c r="B237" s="3"/>
      <c r="C237" s="3"/>
      <c r="D237" s="3"/>
      <c r="E237" s="3"/>
      <c r="F237" s="3"/>
      <c r="G237" s="3"/>
      <c r="H237" s="3"/>
      <c r="I237" s="135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5.75" customHeight="1" x14ac:dyDescent="0.35">
      <c r="A238" s="3"/>
      <c r="B238" s="3"/>
      <c r="C238" s="3"/>
      <c r="D238" s="3"/>
      <c r="E238" s="3"/>
      <c r="F238" s="3"/>
      <c r="G238" s="3"/>
      <c r="H238" s="3"/>
      <c r="I238" s="135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5.75" customHeight="1" x14ac:dyDescent="0.35">
      <c r="A239" s="3"/>
      <c r="B239" s="3"/>
      <c r="C239" s="3"/>
      <c r="D239" s="3"/>
      <c r="E239" s="3"/>
      <c r="F239" s="3"/>
      <c r="G239" s="3"/>
      <c r="H239" s="3"/>
      <c r="I239" s="135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5.75" customHeight="1" x14ac:dyDescent="0.35">
      <c r="A240" s="3"/>
      <c r="B240" s="3"/>
      <c r="C240" s="3"/>
      <c r="D240" s="3"/>
      <c r="E240" s="3"/>
      <c r="F240" s="3"/>
      <c r="G240" s="3"/>
      <c r="H240" s="3"/>
      <c r="I240" s="135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5.75" customHeight="1" x14ac:dyDescent="0.35">
      <c r="A241" s="3"/>
      <c r="B241" s="3"/>
      <c r="C241" s="3"/>
      <c r="D241" s="3"/>
      <c r="E241" s="3"/>
      <c r="F241" s="3"/>
      <c r="G241" s="3"/>
      <c r="H241" s="3"/>
      <c r="I241" s="135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5.75" customHeight="1" x14ac:dyDescent="0.35">
      <c r="A242" s="3"/>
      <c r="B242" s="3"/>
      <c r="C242" s="3"/>
      <c r="D242" s="3"/>
      <c r="E242" s="3"/>
      <c r="F242" s="3"/>
      <c r="G242" s="3"/>
      <c r="H242" s="3"/>
      <c r="I242" s="135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5.75" customHeight="1" x14ac:dyDescent="0.35">
      <c r="A243" s="3"/>
      <c r="B243" s="3"/>
      <c r="C243" s="3"/>
      <c r="D243" s="3"/>
      <c r="E243" s="3"/>
      <c r="F243" s="3"/>
      <c r="G243" s="3"/>
      <c r="H243" s="3"/>
      <c r="I243" s="135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5.75" customHeight="1" x14ac:dyDescent="0.35">
      <c r="A244" s="3"/>
      <c r="B244" s="3"/>
      <c r="C244" s="3"/>
      <c r="D244" s="3"/>
      <c r="E244" s="3"/>
      <c r="F244" s="3"/>
      <c r="G244" s="3"/>
      <c r="H244" s="3"/>
      <c r="I244" s="135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5.75" customHeight="1" x14ac:dyDescent="0.35">
      <c r="A245" s="3"/>
      <c r="B245" s="3"/>
      <c r="C245" s="3"/>
      <c r="D245" s="3"/>
      <c r="E245" s="3"/>
      <c r="F245" s="3"/>
      <c r="G245" s="3"/>
      <c r="H245" s="3"/>
      <c r="I245" s="135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5.75" customHeight="1" x14ac:dyDescent="0.35">
      <c r="A246" s="3"/>
      <c r="B246" s="3"/>
      <c r="C246" s="3"/>
      <c r="D246" s="3"/>
      <c r="E246" s="3"/>
      <c r="F246" s="3"/>
      <c r="G246" s="3"/>
      <c r="H246" s="3"/>
      <c r="I246" s="135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5.75" customHeight="1" x14ac:dyDescent="0.35">
      <c r="A247" s="3"/>
      <c r="B247" s="3"/>
      <c r="C247" s="3"/>
      <c r="D247" s="3"/>
      <c r="E247" s="3"/>
      <c r="F247" s="3"/>
      <c r="G247" s="3"/>
      <c r="H247" s="3"/>
      <c r="I247" s="135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5.75" customHeight="1" x14ac:dyDescent="0.35">
      <c r="A248" s="3"/>
      <c r="B248" s="3"/>
      <c r="C248" s="3"/>
      <c r="D248" s="3"/>
      <c r="E248" s="3"/>
      <c r="F248" s="3"/>
      <c r="G248" s="3"/>
      <c r="H248" s="3"/>
      <c r="I248" s="135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5.75" customHeight="1" x14ac:dyDescent="0.35">
      <c r="A249" s="3"/>
      <c r="B249" s="3"/>
      <c r="C249" s="3"/>
      <c r="D249" s="3"/>
      <c r="E249" s="3"/>
      <c r="F249" s="3"/>
      <c r="G249" s="3"/>
      <c r="H249" s="3"/>
      <c r="I249" s="135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5.75" customHeight="1" x14ac:dyDescent="0.35">
      <c r="A250" s="3"/>
      <c r="B250" s="3"/>
      <c r="C250" s="3"/>
      <c r="D250" s="3"/>
      <c r="E250" s="3"/>
      <c r="F250" s="3"/>
      <c r="G250" s="3"/>
      <c r="H250" s="3"/>
      <c r="I250" s="135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5.75" customHeight="1" x14ac:dyDescent="0.35">
      <c r="A251" s="3"/>
      <c r="B251" s="3"/>
      <c r="C251" s="3"/>
      <c r="D251" s="3"/>
      <c r="E251" s="3"/>
      <c r="F251" s="3"/>
      <c r="G251" s="3"/>
      <c r="H251" s="3"/>
      <c r="I251" s="135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5.75" customHeight="1" x14ac:dyDescent="0.35">
      <c r="A252" s="3"/>
      <c r="B252" s="3"/>
      <c r="C252" s="3"/>
      <c r="D252" s="3"/>
      <c r="E252" s="3"/>
      <c r="F252" s="3"/>
      <c r="G252" s="3"/>
      <c r="H252" s="3"/>
      <c r="I252" s="135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5.75" customHeight="1" x14ac:dyDescent="0.35">
      <c r="A253" s="3"/>
      <c r="B253" s="3"/>
      <c r="C253" s="3"/>
      <c r="D253" s="3"/>
      <c r="E253" s="3"/>
      <c r="F253" s="3"/>
      <c r="G253" s="3"/>
      <c r="H253" s="3"/>
      <c r="I253" s="135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5.75" customHeight="1" x14ac:dyDescent="0.35">
      <c r="A254" s="3"/>
      <c r="B254" s="3"/>
      <c r="C254" s="3"/>
      <c r="D254" s="3"/>
      <c r="E254" s="3"/>
      <c r="F254" s="3"/>
      <c r="G254" s="3"/>
      <c r="H254" s="3"/>
      <c r="I254" s="135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5.75" customHeight="1" x14ac:dyDescent="0.35">
      <c r="A255" s="3"/>
      <c r="B255" s="3"/>
      <c r="C255" s="3"/>
      <c r="D255" s="3"/>
      <c r="E255" s="3"/>
      <c r="F255" s="3"/>
      <c r="G255" s="3"/>
      <c r="H255" s="3"/>
      <c r="I255" s="135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5.75" customHeight="1" x14ac:dyDescent="0.35">
      <c r="A256" s="3"/>
      <c r="B256" s="3"/>
      <c r="C256" s="3"/>
      <c r="D256" s="3"/>
      <c r="E256" s="3"/>
      <c r="F256" s="3"/>
      <c r="G256" s="3"/>
      <c r="H256" s="3"/>
      <c r="I256" s="135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5.75" customHeight="1" x14ac:dyDescent="0.35">
      <c r="A257" s="3"/>
      <c r="B257" s="3"/>
      <c r="C257" s="3"/>
      <c r="D257" s="3"/>
      <c r="E257" s="3"/>
      <c r="F257" s="3"/>
      <c r="G257" s="3"/>
      <c r="H257" s="3"/>
      <c r="I257" s="135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5.75" customHeight="1" x14ac:dyDescent="0.35">
      <c r="A258" s="3"/>
      <c r="B258" s="3"/>
      <c r="C258" s="3"/>
      <c r="D258" s="3"/>
      <c r="E258" s="3"/>
      <c r="F258" s="3"/>
      <c r="G258" s="3"/>
      <c r="H258" s="3"/>
      <c r="I258" s="135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5.75" customHeight="1" x14ac:dyDescent="0.35">
      <c r="A259" s="3"/>
      <c r="B259" s="3"/>
      <c r="C259" s="3"/>
      <c r="D259" s="3"/>
      <c r="E259" s="3"/>
      <c r="F259" s="3"/>
      <c r="G259" s="3"/>
      <c r="H259" s="3"/>
      <c r="I259" s="135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5.75" customHeight="1" x14ac:dyDescent="0.35">
      <c r="A260" s="3"/>
      <c r="B260" s="3"/>
      <c r="C260" s="3"/>
      <c r="D260" s="3"/>
      <c r="E260" s="3"/>
      <c r="F260" s="3"/>
      <c r="G260" s="3"/>
      <c r="H260" s="3"/>
      <c r="I260" s="135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5.75" customHeight="1" x14ac:dyDescent="0.35">
      <c r="A261" s="3"/>
      <c r="B261" s="3"/>
      <c r="C261" s="3"/>
      <c r="D261" s="3"/>
      <c r="E261" s="3"/>
      <c r="F261" s="3"/>
      <c r="G261" s="3"/>
      <c r="H261" s="3"/>
      <c r="I261" s="135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5.75" customHeight="1" x14ac:dyDescent="0.35">
      <c r="A262" s="3"/>
      <c r="B262" s="3"/>
      <c r="C262" s="3"/>
      <c r="D262" s="3"/>
      <c r="E262" s="3"/>
      <c r="F262" s="3"/>
      <c r="G262" s="3"/>
      <c r="H262" s="3"/>
      <c r="I262" s="135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5.75" customHeight="1" x14ac:dyDescent="0.35">
      <c r="A263" s="3"/>
      <c r="B263" s="3"/>
      <c r="C263" s="3"/>
      <c r="D263" s="3"/>
      <c r="E263" s="3"/>
      <c r="F263" s="3"/>
      <c r="G263" s="3"/>
      <c r="H263" s="3"/>
      <c r="I263" s="135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5.75" customHeight="1" x14ac:dyDescent="0.35">
      <c r="A264" s="3"/>
      <c r="B264" s="3"/>
      <c r="C264" s="3"/>
      <c r="D264" s="3"/>
      <c r="E264" s="3"/>
      <c r="F264" s="3"/>
      <c r="G264" s="3"/>
      <c r="H264" s="3"/>
      <c r="I264" s="135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5.75" customHeight="1" x14ac:dyDescent="0.35">
      <c r="A265" s="3"/>
      <c r="B265" s="3"/>
      <c r="C265" s="3"/>
      <c r="D265" s="3"/>
      <c r="E265" s="3"/>
      <c r="F265" s="3"/>
      <c r="G265" s="3"/>
      <c r="H265" s="3"/>
      <c r="I265" s="135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5.75" customHeight="1" x14ac:dyDescent="0.35">
      <c r="A266" s="3"/>
      <c r="B266" s="3"/>
      <c r="C266" s="3"/>
      <c r="D266" s="3"/>
      <c r="E266" s="3"/>
      <c r="F266" s="3"/>
      <c r="G266" s="3"/>
      <c r="H266" s="3"/>
      <c r="I266" s="135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5.75" customHeight="1" x14ac:dyDescent="0.35">
      <c r="A267" s="3"/>
      <c r="B267" s="3"/>
      <c r="C267" s="3"/>
      <c r="D267" s="3"/>
      <c r="E267" s="3"/>
      <c r="F267" s="3"/>
      <c r="G267" s="3"/>
      <c r="H267" s="3"/>
      <c r="I267" s="135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5.75" customHeight="1" x14ac:dyDescent="0.35">
      <c r="A268" s="3"/>
      <c r="B268" s="3"/>
      <c r="C268" s="3"/>
      <c r="D268" s="3"/>
      <c r="E268" s="3"/>
      <c r="F268" s="3"/>
      <c r="G268" s="3"/>
      <c r="H268" s="3"/>
      <c r="I268" s="135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5.75" customHeight="1" x14ac:dyDescent="0.35">
      <c r="A269" s="3"/>
      <c r="B269" s="3"/>
      <c r="C269" s="3"/>
      <c r="D269" s="3"/>
      <c r="E269" s="3"/>
      <c r="F269" s="3"/>
      <c r="G269" s="3"/>
      <c r="H269" s="3"/>
      <c r="I269" s="135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5.75" customHeight="1" x14ac:dyDescent="0.35">
      <c r="A270" s="3"/>
      <c r="B270" s="3"/>
      <c r="C270" s="3"/>
      <c r="D270" s="3"/>
      <c r="E270" s="3"/>
      <c r="F270" s="3"/>
      <c r="G270" s="3"/>
      <c r="H270" s="3"/>
      <c r="I270" s="135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5.75" customHeight="1" x14ac:dyDescent="0.35">
      <c r="A271" s="3"/>
      <c r="B271" s="3"/>
      <c r="C271" s="3"/>
      <c r="D271" s="3"/>
      <c r="E271" s="3"/>
      <c r="F271" s="3"/>
      <c r="G271" s="3"/>
      <c r="H271" s="3"/>
      <c r="I271" s="135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5.75" customHeight="1" x14ac:dyDescent="0.35">
      <c r="A272" s="3"/>
      <c r="B272" s="3"/>
      <c r="C272" s="3"/>
      <c r="D272" s="3"/>
      <c r="E272" s="3"/>
      <c r="F272" s="3"/>
      <c r="G272" s="3"/>
      <c r="H272" s="3"/>
      <c r="I272" s="135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5.75" customHeight="1" x14ac:dyDescent="0.35">
      <c r="A273" s="3"/>
      <c r="B273" s="3"/>
      <c r="C273" s="3"/>
      <c r="D273" s="3"/>
      <c r="E273" s="3"/>
      <c r="F273" s="3"/>
      <c r="G273" s="3"/>
      <c r="H273" s="3"/>
      <c r="I273" s="135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5.75" customHeight="1" x14ac:dyDescent="0.35">
      <c r="A274" s="3"/>
      <c r="B274" s="3"/>
      <c r="C274" s="3"/>
      <c r="D274" s="3"/>
      <c r="E274" s="3"/>
      <c r="F274" s="3"/>
      <c r="G274" s="3"/>
      <c r="H274" s="3"/>
      <c r="I274" s="135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5.75" customHeight="1" x14ac:dyDescent="0.35">
      <c r="A275" s="3"/>
      <c r="B275" s="3"/>
      <c r="C275" s="3"/>
      <c r="D275" s="3"/>
      <c r="E275" s="3"/>
      <c r="F275" s="3"/>
      <c r="G275" s="3"/>
      <c r="H275" s="3"/>
      <c r="I275" s="135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5.75" customHeight="1" x14ac:dyDescent="0.35">
      <c r="A276" s="3"/>
      <c r="B276" s="3"/>
      <c r="C276" s="3"/>
      <c r="D276" s="3"/>
      <c r="E276" s="3"/>
      <c r="F276" s="3"/>
      <c r="G276" s="3"/>
      <c r="H276" s="3"/>
      <c r="I276" s="135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5.75" customHeight="1" x14ac:dyDescent="0.35">
      <c r="A277" s="3"/>
      <c r="B277" s="3"/>
      <c r="C277" s="3"/>
      <c r="D277" s="3"/>
      <c r="E277" s="3"/>
      <c r="F277" s="3"/>
      <c r="G277" s="3"/>
      <c r="H277" s="3"/>
      <c r="I277" s="135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5.75" customHeight="1" x14ac:dyDescent="0.35">
      <c r="A278" s="3"/>
      <c r="B278" s="3"/>
      <c r="C278" s="3"/>
      <c r="D278" s="3"/>
      <c r="E278" s="3"/>
      <c r="F278" s="3"/>
      <c r="G278" s="3"/>
      <c r="H278" s="3"/>
      <c r="I278" s="135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5.75" customHeight="1" x14ac:dyDescent="0.35">
      <c r="A279" s="3"/>
      <c r="B279" s="3"/>
      <c r="C279" s="3"/>
      <c r="D279" s="3"/>
      <c r="E279" s="3"/>
      <c r="F279" s="3"/>
      <c r="G279" s="3"/>
      <c r="H279" s="3"/>
      <c r="I279" s="135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5.75" customHeight="1" x14ac:dyDescent="0.35">
      <c r="A280" s="3"/>
      <c r="B280" s="3"/>
      <c r="C280" s="3"/>
      <c r="D280" s="3"/>
      <c r="E280" s="3"/>
      <c r="F280" s="3"/>
      <c r="G280" s="3"/>
      <c r="H280" s="3"/>
      <c r="I280" s="135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5.75" customHeight="1" x14ac:dyDescent="0.35">
      <c r="A281" s="3"/>
      <c r="B281" s="3"/>
      <c r="C281" s="3"/>
      <c r="D281" s="3"/>
      <c r="E281" s="3"/>
      <c r="F281" s="3"/>
      <c r="G281" s="3"/>
      <c r="H281" s="3"/>
      <c r="I281" s="135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5.75" customHeight="1" x14ac:dyDescent="0.35">
      <c r="A282" s="3"/>
      <c r="B282" s="3"/>
      <c r="C282" s="3"/>
      <c r="D282" s="3"/>
      <c r="E282" s="3"/>
      <c r="F282" s="3"/>
      <c r="G282" s="3"/>
      <c r="H282" s="3"/>
      <c r="I282" s="135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5.75" customHeight="1" x14ac:dyDescent="0.35">
      <c r="A283" s="3"/>
      <c r="B283" s="3"/>
      <c r="C283" s="3"/>
      <c r="D283" s="3"/>
      <c r="E283" s="3"/>
      <c r="F283" s="3"/>
      <c r="G283" s="3"/>
      <c r="H283" s="3"/>
      <c r="I283" s="135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5.75" customHeight="1" x14ac:dyDescent="0.35">
      <c r="A284" s="3"/>
      <c r="B284" s="3"/>
      <c r="C284" s="3"/>
      <c r="D284" s="3"/>
      <c r="E284" s="3"/>
      <c r="F284" s="3"/>
      <c r="G284" s="3"/>
      <c r="H284" s="3"/>
      <c r="I284" s="135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5.75" customHeight="1" x14ac:dyDescent="0.35">
      <c r="A285" s="3"/>
      <c r="B285" s="3"/>
      <c r="C285" s="3"/>
      <c r="D285" s="3"/>
      <c r="E285" s="3"/>
      <c r="F285" s="3"/>
      <c r="G285" s="3"/>
      <c r="H285" s="3"/>
      <c r="I285" s="135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5.75" customHeight="1" x14ac:dyDescent="0.35">
      <c r="A286" s="3"/>
      <c r="B286" s="3"/>
      <c r="C286" s="3"/>
      <c r="D286" s="3"/>
      <c r="E286" s="3"/>
      <c r="F286" s="3"/>
      <c r="G286" s="3"/>
      <c r="H286" s="3"/>
      <c r="I286" s="135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5.75" customHeight="1" x14ac:dyDescent="0.35">
      <c r="A287" s="3"/>
      <c r="B287" s="3"/>
      <c r="C287" s="3"/>
      <c r="D287" s="3"/>
      <c r="E287" s="3"/>
      <c r="F287" s="3"/>
      <c r="G287" s="3"/>
      <c r="H287" s="3"/>
      <c r="I287" s="135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5.75" customHeight="1" x14ac:dyDescent="0.35">
      <c r="A288" s="3"/>
      <c r="B288" s="3"/>
      <c r="C288" s="3"/>
      <c r="D288" s="3"/>
      <c r="E288" s="3"/>
      <c r="F288" s="3"/>
      <c r="G288" s="3"/>
      <c r="H288" s="3"/>
      <c r="I288" s="135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5.75" customHeight="1" x14ac:dyDescent="0.35">
      <c r="A289" s="3"/>
      <c r="B289" s="3"/>
      <c r="C289" s="3"/>
      <c r="D289" s="3"/>
      <c r="E289" s="3"/>
      <c r="F289" s="3"/>
      <c r="G289" s="3"/>
      <c r="H289" s="3"/>
      <c r="I289" s="135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5.75" customHeight="1" x14ac:dyDescent="0.35">
      <c r="A290" s="3"/>
      <c r="B290" s="3"/>
      <c r="C290" s="3"/>
      <c r="D290" s="3"/>
      <c r="E290" s="3"/>
      <c r="F290" s="3"/>
      <c r="G290" s="3"/>
      <c r="H290" s="3"/>
      <c r="I290" s="135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5.75" customHeight="1" x14ac:dyDescent="0.35">
      <c r="A291" s="3"/>
      <c r="B291" s="3"/>
      <c r="C291" s="3"/>
      <c r="D291" s="3"/>
      <c r="E291" s="3"/>
      <c r="F291" s="3"/>
      <c r="G291" s="3"/>
      <c r="H291" s="3"/>
      <c r="I291" s="135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5.75" customHeight="1" x14ac:dyDescent="0.35">
      <c r="A292" s="3"/>
      <c r="B292" s="3"/>
      <c r="C292" s="3"/>
      <c r="D292" s="3"/>
      <c r="E292" s="3"/>
      <c r="F292" s="3"/>
      <c r="G292" s="3"/>
      <c r="H292" s="3"/>
      <c r="I292" s="135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5.75" customHeight="1" x14ac:dyDescent="0.35">
      <c r="A293" s="3"/>
      <c r="B293" s="3"/>
      <c r="C293" s="3"/>
      <c r="D293" s="3"/>
      <c r="E293" s="3"/>
      <c r="F293" s="3"/>
      <c r="G293" s="3"/>
      <c r="H293" s="3"/>
      <c r="I293" s="135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5.75" customHeight="1" x14ac:dyDescent="0.35">
      <c r="A294" s="3"/>
      <c r="B294" s="3"/>
      <c r="C294" s="3"/>
      <c r="D294" s="3"/>
      <c r="E294" s="3"/>
      <c r="F294" s="3"/>
      <c r="G294" s="3"/>
      <c r="H294" s="3"/>
      <c r="I294" s="135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5.75" customHeight="1" x14ac:dyDescent="0.35">
      <c r="A295" s="3"/>
      <c r="B295" s="3"/>
      <c r="C295" s="3"/>
      <c r="D295" s="3"/>
      <c r="E295" s="3"/>
      <c r="F295" s="3"/>
      <c r="G295" s="3"/>
      <c r="H295" s="3"/>
      <c r="I295" s="135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5.75" customHeight="1" x14ac:dyDescent="0.35">
      <c r="A296" s="3"/>
      <c r="B296" s="3"/>
      <c r="C296" s="3"/>
      <c r="D296" s="3"/>
      <c r="E296" s="3"/>
      <c r="F296" s="3"/>
      <c r="G296" s="3"/>
      <c r="H296" s="3"/>
      <c r="I296" s="135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5.75" customHeight="1" x14ac:dyDescent="0.35">
      <c r="A297" s="3"/>
      <c r="B297" s="3"/>
      <c r="C297" s="3"/>
      <c r="D297" s="3"/>
      <c r="E297" s="3"/>
      <c r="F297" s="3"/>
      <c r="G297" s="3"/>
      <c r="H297" s="3"/>
      <c r="I297" s="135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5.75" customHeight="1" x14ac:dyDescent="0.35">
      <c r="A298" s="3"/>
      <c r="B298" s="3"/>
      <c r="C298" s="3"/>
      <c r="D298" s="3"/>
      <c r="E298" s="3"/>
      <c r="F298" s="3"/>
      <c r="G298" s="3"/>
      <c r="H298" s="3"/>
      <c r="I298" s="135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5.75" customHeight="1" x14ac:dyDescent="0.35">
      <c r="A299" s="3"/>
      <c r="B299" s="3"/>
      <c r="C299" s="3"/>
      <c r="D299" s="3"/>
      <c r="E299" s="3"/>
      <c r="F299" s="3"/>
      <c r="G299" s="3"/>
      <c r="H299" s="3"/>
      <c r="I299" s="135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5.75" customHeight="1" x14ac:dyDescent="0.35">
      <c r="A300" s="3"/>
      <c r="B300" s="3"/>
      <c r="C300" s="3"/>
      <c r="D300" s="3"/>
      <c r="E300" s="3"/>
      <c r="F300" s="3"/>
      <c r="G300" s="3"/>
      <c r="H300" s="3"/>
      <c r="I300" s="135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5.75" customHeight="1" x14ac:dyDescent="0.35">
      <c r="A301" s="3"/>
      <c r="B301" s="3"/>
      <c r="C301" s="3"/>
      <c r="D301" s="3"/>
      <c r="E301" s="3"/>
      <c r="F301" s="3"/>
      <c r="G301" s="3"/>
      <c r="H301" s="3"/>
      <c r="I301" s="135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5.75" customHeight="1" x14ac:dyDescent="0.35">
      <c r="A302" s="3"/>
      <c r="B302" s="3"/>
      <c r="C302" s="3"/>
      <c r="D302" s="3"/>
      <c r="E302" s="3"/>
      <c r="F302" s="3"/>
      <c r="G302" s="3"/>
      <c r="H302" s="3"/>
      <c r="I302" s="135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5.75" customHeight="1" x14ac:dyDescent="0.35">
      <c r="A303" s="3"/>
      <c r="B303" s="3"/>
      <c r="C303" s="3"/>
      <c r="D303" s="3"/>
      <c r="E303" s="3"/>
      <c r="F303" s="3"/>
      <c r="G303" s="3"/>
      <c r="H303" s="3"/>
      <c r="I303" s="135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5.75" customHeight="1" x14ac:dyDescent="0.35">
      <c r="A304" s="3"/>
      <c r="B304" s="3"/>
      <c r="C304" s="3"/>
      <c r="D304" s="3"/>
      <c r="E304" s="3"/>
      <c r="F304" s="3"/>
      <c r="G304" s="3"/>
      <c r="H304" s="3"/>
      <c r="I304" s="135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5.75" customHeight="1" x14ac:dyDescent="0.35">
      <c r="A305" s="3"/>
      <c r="B305" s="3"/>
      <c r="C305" s="3"/>
      <c r="D305" s="3"/>
      <c r="E305" s="3"/>
      <c r="F305" s="3"/>
      <c r="G305" s="3"/>
      <c r="H305" s="3"/>
      <c r="I305" s="135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5.75" customHeight="1" x14ac:dyDescent="0.35">
      <c r="A306" s="3"/>
      <c r="B306" s="3"/>
      <c r="C306" s="3"/>
      <c r="D306" s="3"/>
      <c r="E306" s="3"/>
      <c r="F306" s="3"/>
      <c r="G306" s="3"/>
      <c r="H306" s="3"/>
      <c r="I306" s="135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5.75" customHeight="1" x14ac:dyDescent="0.35">
      <c r="A307" s="3"/>
      <c r="B307" s="3"/>
      <c r="C307" s="3"/>
      <c r="D307" s="3"/>
      <c r="E307" s="3"/>
      <c r="F307" s="3"/>
      <c r="G307" s="3"/>
      <c r="H307" s="3"/>
      <c r="I307" s="135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5.75" customHeight="1" x14ac:dyDescent="0.35">
      <c r="A308" s="3"/>
      <c r="B308" s="3"/>
      <c r="C308" s="3"/>
      <c r="D308" s="3"/>
      <c r="E308" s="3"/>
      <c r="F308" s="3"/>
      <c r="G308" s="3"/>
      <c r="H308" s="3"/>
      <c r="I308" s="135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5.75" customHeight="1" x14ac:dyDescent="0.35">
      <c r="A309" s="3"/>
      <c r="B309" s="3"/>
      <c r="C309" s="3"/>
      <c r="D309" s="3"/>
      <c r="E309" s="3"/>
      <c r="F309" s="3"/>
      <c r="G309" s="3"/>
      <c r="H309" s="3"/>
      <c r="I309" s="135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5.75" customHeight="1" x14ac:dyDescent="0.35">
      <c r="A310" s="3"/>
      <c r="B310" s="3"/>
      <c r="C310" s="3"/>
      <c r="D310" s="3"/>
      <c r="E310" s="3"/>
      <c r="F310" s="3"/>
      <c r="G310" s="3"/>
      <c r="H310" s="3"/>
      <c r="I310" s="135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5.75" customHeight="1" x14ac:dyDescent="0.35">
      <c r="A311" s="3"/>
      <c r="B311" s="3"/>
      <c r="C311" s="3"/>
      <c r="D311" s="3"/>
      <c r="E311" s="3"/>
      <c r="F311" s="3"/>
      <c r="G311" s="3"/>
      <c r="H311" s="3"/>
      <c r="I311" s="135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5.75" customHeight="1" x14ac:dyDescent="0.35">
      <c r="A312" s="3"/>
      <c r="B312" s="3"/>
      <c r="C312" s="3"/>
      <c r="D312" s="3"/>
      <c r="E312" s="3"/>
      <c r="F312" s="3"/>
      <c r="G312" s="3"/>
      <c r="H312" s="3"/>
      <c r="I312" s="135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5.75" customHeight="1" x14ac:dyDescent="0.35">
      <c r="A313" s="3"/>
      <c r="B313" s="3"/>
      <c r="C313" s="3"/>
      <c r="D313" s="3"/>
      <c r="E313" s="3"/>
      <c r="F313" s="3"/>
      <c r="G313" s="3"/>
      <c r="H313" s="3"/>
      <c r="I313" s="135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5.75" customHeight="1" x14ac:dyDescent="0.35">
      <c r="A314" s="3"/>
      <c r="B314" s="3"/>
      <c r="C314" s="3"/>
      <c r="D314" s="3"/>
      <c r="E314" s="3"/>
      <c r="F314" s="3"/>
      <c r="G314" s="3"/>
      <c r="H314" s="3"/>
      <c r="I314" s="135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5.75" customHeight="1" x14ac:dyDescent="0.35">
      <c r="A315" s="3"/>
      <c r="B315" s="3"/>
      <c r="C315" s="3"/>
      <c r="D315" s="3"/>
      <c r="E315" s="3"/>
      <c r="F315" s="3"/>
      <c r="G315" s="3"/>
      <c r="H315" s="3"/>
      <c r="I315" s="135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5.75" customHeight="1" x14ac:dyDescent="0.35">
      <c r="A316" s="3"/>
      <c r="B316" s="3"/>
      <c r="C316" s="3"/>
      <c r="D316" s="3"/>
      <c r="E316" s="3"/>
      <c r="F316" s="3"/>
      <c r="G316" s="3"/>
      <c r="H316" s="3"/>
      <c r="I316" s="135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5.75" customHeight="1" x14ac:dyDescent="0.35">
      <c r="A317" s="3"/>
      <c r="B317" s="3"/>
      <c r="C317" s="3"/>
      <c r="D317" s="3"/>
      <c r="E317" s="3"/>
      <c r="F317" s="3"/>
      <c r="G317" s="3"/>
      <c r="H317" s="3"/>
      <c r="I317" s="135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5.75" customHeight="1" x14ac:dyDescent="0.35">
      <c r="A318" s="3"/>
      <c r="B318" s="3"/>
      <c r="C318" s="3"/>
      <c r="D318" s="3"/>
      <c r="E318" s="3"/>
      <c r="F318" s="3"/>
      <c r="G318" s="3"/>
      <c r="H318" s="3"/>
      <c r="I318" s="135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5.75" customHeight="1" x14ac:dyDescent="0.35">
      <c r="A319" s="3"/>
      <c r="B319" s="3"/>
      <c r="C319" s="3"/>
      <c r="D319" s="3"/>
      <c r="E319" s="3"/>
      <c r="F319" s="3"/>
      <c r="G319" s="3"/>
      <c r="H319" s="3"/>
      <c r="I319" s="135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5.75" customHeight="1" x14ac:dyDescent="0.35">
      <c r="A320" s="3"/>
      <c r="B320" s="3"/>
      <c r="C320" s="3"/>
      <c r="D320" s="3"/>
      <c r="E320" s="3"/>
      <c r="F320" s="3"/>
      <c r="G320" s="3"/>
      <c r="H320" s="3"/>
      <c r="I320" s="135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5.75" customHeight="1" x14ac:dyDescent="0.35">
      <c r="A321" s="3"/>
      <c r="B321" s="3"/>
      <c r="C321" s="3"/>
      <c r="D321" s="3"/>
      <c r="E321" s="3"/>
      <c r="F321" s="3"/>
      <c r="G321" s="3"/>
      <c r="H321" s="3"/>
      <c r="I321" s="135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5.75" customHeight="1" x14ac:dyDescent="0.35">
      <c r="A322" s="3"/>
      <c r="B322" s="3"/>
      <c r="C322" s="3"/>
      <c r="D322" s="3"/>
      <c r="E322" s="3"/>
      <c r="F322" s="3"/>
      <c r="G322" s="3"/>
      <c r="H322" s="3"/>
      <c r="I322" s="135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5.75" customHeight="1" x14ac:dyDescent="0.35">
      <c r="A323" s="3"/>
      <c r="B323" s="3"/>
      <c r="C323" s="3"/>
      <c r="D323" s="3"/>
      <c r="E323" s="3"/>
      <c r="F323" s="3"/>
      <c r="G323" s="3"/>
      <c r="H323" s="3"/>
      <c r="I323" s="135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5.75" customHeight="1" x14ac:dyDescent="0.35">
      <c r="A324" s="3"/>
      <c r="B324" s="3"/>
      <c r="C324" s="3"/>
      <c r="D324" s="3"/>
      <c r="E324" s="3"/>
      <c r="F324" s="3"/>
      <c r="G324" s="3"/>
      <c r="H324" s="3"/>
      <c r="I324" s="135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5.75" customHeight="1" x14ac:dyDescent="0.35">
      <c r="A325" s="3"/>
      <c r="B325" s="3"/>
      <c r="C325" s="3"/>
      <c r="D325" s="3"/>
      <c r="E325" s="3"/>
      <c r="F325" s="3"/>
      <c r="G325" s="3"/>
      <c r="H325" s="3"/>
      <c r="I325" s="135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5.75" customHeight="1" x14ac:dyDescent="0.35">
      <c r="A326" s="3"/>
      <c r="B326" s="3"/>
      <c r="C326" s="3"/>
      <c r="D326" s="3"/>
      <c r="E326" s="3"/>
      <c r="F326" s="3"/>
      <c r="G326" s="3"/>
      <c r="H326" s="3"/>
      <c r="I326" s="135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5.75" customHeight="1" x14ac:dyDescent="0.35">
      <c r="A327" s="3"/>
      <c r="B327" s="3"/>
      <c r="C327" s="3"/>
      <c r="D327" s="3"/>
      <c r="E327" s="3"/>
      <c r="F327" s="3"/>
      <c r="G327" s="3"/>
      <c r="H327" s="3"/>
      <c r="I327" s="135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5.75" customHeight="1" x14ac:dyDescent="0.35">
      <c r="A328" s="3"/>
      <c r="B328" s="3"/>
      <c r="C328" s="3"/>
      <c r="D328" s="3"/>
      <c r="E328" s="3"/>
      <c r="F328" s="3"/>
      <c r="G328" s="3"/>
      <c r="H328" s="3"/>
      <c r="I328" s="135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5.75" customHeight="1" x14ac:dyDescent="0.35">
      <c r="A329" s="3"/>
      <c r="B329" s="3"/>
      <c r="C329" s="3"/>
      <c r="D329" s="3"/>
      <c r="E329" s="3"/>
      <c r="F329" s="3"/>
      <c r="G329" s="3"/>
      <c r="H329" s="3"/>
      <c r="I329" s="135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5.75" customHeight="1" x14ac:dyDescent="0.35">
      <c r="A330" s="3"/>
      <c r="B330" s="3"/>
      <c r="C330" s="3"/>
      <c r="D330" s="3"/>
      <c r="E330" s="3"/>
      <c r="F330" s="3"/>
      <c r="G330" s="3"/>
      <c r="H330" s="3"/>
      <c r="I330" s="135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5.75" customHeight="1" x14ac:dyDescent="0.35">
      <c r="A331" s="3"/>
      <c r="B331" s="3"/>
      <c r="C331" s="3"/>
      <c r="D331" s="3"/>
      <c r="E331" s="3"/>
      <c r="F331" s="3"/>
      <c r="G331" s="3"/>
      <c r="H331" s="3"/>
      <c r="I331" s="135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5.75" customHeight="1" x14ac:dyDescent="0.35">
      <c r="A332" s="3"/>
      <c r="B332" s="3"/>
      <c r="C332" s="3"/>
      <c r="D332" s="3"/>
      <c r="E332" s="3"/>
      <c r="F332" s="3"/>
      <c r="G332" s="3"/>
      <c r="H332" s="3"/>
      <c r="I332" s="135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5.75" customHeight="1" x14ac:dyDescent="0.35">
      <c r="A333" s="3"/>
      <c r="B333" s="3"/>
      <c r="C333" s="3"/>
      <c r="D333" s="3"/>
      <c r="E333" s="3"/>
      <c r="F333" s="3"/>
      <c r="G333" s="3"/>
      <c r="H333" s="3"/>
      <c r="I333" s="135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5.75" customHeight="1" x14ac:dyDescent="0.35">
      <c r="A334" s="3"/>
      <c r="B334" s="3"/>
      <c r="C334" s="3"/>
      <c r="D334" s="3"/>
      <c r="E334" s="3"/>
      <c r="F334" s="3"/>
      <c r="G334" s="3"/>
      <c r="H334" s="3"/>
      <c r="I334" s="135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5.75" customHeight="1" x14ac:dyDescent="0.35">
      <c r="A335" s="3"/>
      <c r="B335" s="3"/>
      <c r="C335" s="3"/>
      <c r="D335" s="3"/>
      <c r="E335" s="3"/>
      <c r="F335" s="3"/>
      <c r="G335" s="3"/>
      <c r="H335" s="3"/>
      <c r="I335" s="135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5.75" customHeight="1" x14ac:dyDescent="0.35">
      <c r="A336" s="3"/>
      <c r="B336" s="3"/>
      <c r="C336" s="3"/>
      <c r="D336" s="3"/>
      <c r="E336" s="3"/>
      <c r="F336" s="3"/>
      <c r="G336" s="3"/>
      <c r="H336" s="3"/>
      <c r="I336" s="135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5.75" customHeight="1" x14ac:dyDescent="0.35">
      <c r="A337" s="3"/>
      <c r="B337" s="3"/>
      <c r="C337" s="3"/>
      <c r="D337" s="3"/>
      <c r="E337" s="3"/>
      <c r="F337" s="3"/>
      <c r="G337" s="3"/>
      <c r="H337" s="3"/>
      <c r="I337" s="135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5.75" customHeight="1" x14ac:dyDescent="0.35">
      <c r="A338" s="3"/>
      <c r="B338" s="3"/>
      <c r="C338" s="3"/>
      <c r="D338" s="3"/>
      <c r="E338" s="3"/>
      <c r="F338" s="3"/>
      <c r="G338" s="3"/>
      <c r="H338" s="3"/>
      <c r="I338" s="135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5.75" customHeight="1" x14ac:dyDescent="0.35">
      <c r="A339" s="3"/>
      <c r="B339" s="3"/>
      <c r="C339" s="3"/>
      <c r="D339" s="3"/>
      <c r="E339" s="3"/>
      <c r="F339" s="3"/>
      <c r="G339" s="3"/>
      <c r="H339" s="3"/>
      <c r="I339" s="135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5.75" customHeight="1" x14ac:dyDescent="0.35">
      <c r="A340" s="3"/>
      <c r="B340" s="3"/>
      <c r="C340" s="3"/>
      <c r="D340" s="3"/>
      <c r="E340" s="3"/>
      <c r="F340" s="3"/>
      <c r="G340" s="3"/>
      <c r="H340" s="3"/>
      <c r="I340" s="135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5.75" customHeight="1" x14ac:dyDescent="0.35">
      <c r="A341" s="3"/>
      <c r="B341" s="3"/>
      <c r="C341" s="3"/>
      <c r="D341" s="3"/>
      <c r="E341" s="3"/>
      <c r="F341" s="3"/>
      <c r="G341" s="3"/>
      <c r="H341" s="3"/>
      <c r="I341" s="135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5.75" customHeight="1" x14ac:dyDescent="0.35">
      <c r="A342" s="3"/>
      <c r="B342" s="3"/>
      <c r="C342" s="3"/>
      <c r="D342" s="3"/>
      <c r="E342" s="3"/>
      <c r="F342" s="3"/>
      <c r="G342" s="3"/>
      <c r="H342" s="3"/>
      <c r="I342" s="135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5.75" customHeight="1" x14ac:dyDescent="0.35">
      <c r="A343" s="3"/>
      <c r="B343" s="3"/>
      <c r="C343" s="3"/>
      <c r="D343" s="3"/>
      <c r="E343" s="3"/>
      <c r="F343" s="3"/>
      <c r="G343" s="3"/>
      <c r="H343" s="3"/>
      <c r="I343" s="135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5.75" customHeight="1" x14ac:dyDescent="0.35">
      <c r="A344" s="3"/>
      <c r="B344" s="3"/>
      <c r="C344" s="3"/>
      <c r="D344" s="3"/>
      <c r="E344" s="3"/>
      <c r="F344" s="3"/>
      <c r="G344" s="3"/>
      <c r="H344" s="3"/>
      <c r="I344" s="135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5.75" customHeight="1" x14ac:dyDescent="0.35">
      <c r="A345" s="3"/>
      <c r="B345" s="3"/>
      <c r="C345" s="3"/>
      <c r="D345" s="3"/>
      <c r="E345" s="3"/>
      <c r="F345" s="3"/>
      <c r="G345" s="3"/>
      <c r="H345" s="3"/>
      <c r="I345" s="135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5.75" customHeight="1" x14ac:dyDescent="0.35">
      <c r="A346" s="3"/>
      <c r="B346" s="3"/>
      <c r="C346" s="3"/>
      <c r="D346" s="3"/>
      <c r="E346" s="3"/>
      <c r="F346" s="3"/>
      <c r="G346" s="3"/>
      <c r="H346" s="3"/>
      <c r="I346" s="135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5.75" customHeight="1" x14ac:dyDescent="0.35">
      <c r="A347" s="3"/>
      <c r="B347" s="3"/>
      <c r="C347" s="3"/>
      <c r="D347" s="3"/>
      <c r="E347" s="3"/>
      <c r="F347" s="3"/>
      <c r="G347" s="3"/>
      <c r="H347" s="3"/>
      <c r="I347" s="135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5.75" customHeight="1" x14ac:dyDescent="0.35">
      <c r="A348" s="3"/>
      <c r="B348" s="3"/>
      <c r="C348" s="3"/>
      <c r="D348" s="3"/>
      <c r="E348" s="3"/>
      <c r="F348" s="3"/>
      <c r="G348" s="3"/>
      <c r="H348" s="3"/>
      <c r="I348" s="135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5.75" customHeight="1" x14ac:dyDescent="0.35">
      <c r="A349" s="3"/>
      <c r="B349" s="3"/>
      <c r="C349" s="3"/>
      <c r="D349" s="3"/>
      <c r="E349" s="3"/>
      <c r="F349" s="3"/>
      <c r="G349" s="3"/>
      <c r="H349" s="3"/>
      <c r="I349" s="135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5.75" customHeight="1" x14ac:dyDescent="0.35">
      <c r="A350" s="3"/>
      <c r="B350" s="3"/>
      <c r="C350" s="3"/>
      <c r="D350" s="3"/>
      <c r="E350" s="3"/>
      <c r="F350" s="3"/>
      <c r="G350" s="3"/>
      <c r="H350" s="3"/>
      <c r="I350" s="135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5.75" customHeight="1" x14ac:dyDescent="0.35">
      <c r="A351" s="3"/>
      <c r="B351" s="3"/>
      <c r="C351" s="3"/>
      <c r="D351" s="3"/>
      <c r="E351" s="3"/>
      <c r="F351" s="3"/>
      <c r="G351" s="3"/>
      <c r="H351" s="3"/>
      <c r="I351" s="135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5.75" customHeight="1" x14ac:dyDescent="0.35">
      <c r="A352" s="3"/>
      <c r="B352" s="3"/>
      <c r="C352" s="3"/>
      <c r="D352" s="3"/>
      <c r="E352" s="3"/>
      <c r="F352" s="3"/>
      <c r="G352" s="3"/>
      <c r="H352" s="3"/>
      <c r="I352" s="135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5.75" customHeight="1" x14ac:dyDescent="0.35">
      <c r="A353" s="3"/>
      <c r="B353" s="3"/>
      <c r="C353" s="3"/>
      <c r="D353" s="3"/>
      <c r="E353" s="3"/>
      <c r="F353" s="3"/>
      <c r="G353" s="3"/>
      <c r="H353" s="3"/>
      <c r="I353" s="135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5.75" customHeight="1" x14ac:dyDescent="0.35">
      <c r="A354" s="3"/>
      <c r="B354" s="3"/>
      <c r="C354" s="3"/>
      <c r="D354" s="3"/>
      <c r="E354" s="3"/>
      <c r="F354" s="3"/>
      <c r="G354" s="3"/>
      <c r="H354" s="3"/>
      <c r="I354" s="135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5.75" customHeight="1" x14ac:dyDescent="0.35">
      <c r="A355" s="3"/>
      <c r="B355" s="3"/>
      <c r="C355" s="3"/>
      <c r="D355" s="3"/>
      <c r="E355" s="3"/>
      <c r="F355" s="3"/>
      <c r="G355" s="3"/>
      <c r="H355" s="3"/>
      <c r="I355" s="135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5.75" customHeight="1" x14ac:dyDescent="0.35">
      <c r="A356" s="3"/>
      <c r="B356" s="3"/>
      <c r="C356" s="3"/>
      <c r="D356" s="3"/>
      <c r="E356" s="3"/>
      <c r="F356" s="3"/>
      <c r="G356" s="3"/>
      <c r="H356" s="3"/>
      <c r="I356" s="135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5.75" customHeight="1" x14ac:dyDescent="0.35">
      <c r="A357" s="3"/>
      <c r="B357" s="3"/>
      <c r="C357" s="3"/>
      <c r="D357" s="3"/>
      <c r="E357" s="3"/>
      <c r="F357" s="3"/>
      <c r="G357" s="3"/>
      <c r="H357" s="3"/>
      <c r="I357" s="135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5.75" customHeight="1" x14ac:dyDescent="0.35">
      <c r="A358" s="3"/>
      <c r="B358" s="3"/>
      <c r="C358" s="3"/>
      <c r="D358" s="3"/>
      <c r="E358" s="3"/>
      <c r="F358" s="3"/>
      <c r="G358" s="3"/>
      <c r="H358" s="3"/>
      <c r="I358" s="135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5.75" customHeight="1" x14ac:dyDescent="0.35">
      <c r="A359" s="3"/>
      <c r="B359" s="3"/>
      <c r="C359" s="3"/>
      <c r="D359" s="3"/>
      <c r="E359" s="3"/>
      <c r="F359" s="3"/>
      <c r="G359" s="3"/>
      <c r="H359" s="3"/>
      <c r="I359" s="135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5.75" customHeight="1" x14ac:dyDescent="0.35">
      <c r="A360" s="3"/>
      <c r="B360" s="3"/>
      <c r="C360" s="3"/>
      <c r="D360" s="3"/>
      <c r="E360" s="3"/>
      <c r="F360" s="3"/>
      <c r="G360" s="3"/>
      <c r="H360" s="3"/>
      <c r="I360" s="135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5.75" customHeight="1" x14ac:dyDescent="0.35">
      <c r="A361" s="3"/>
      <c r="B361" s="3"/>
      <c r="C361" s="3"/>
      <c r="D361" s="3"/>
      <c r="E361" s="3"/>
      <c r="F361" s="3"/>
      <c r="G361" s="3"/>
      <c r="H361" s="3"/>
      <c r="I361" s="135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5.75" customHeight="1" x14ac:dyDescent="0.35">
      <c r="A362" s="3"/>
      <c r="B362" s="3"/>
      <c r="C362" s="3"/>
      <c r="D362" s="3"/>
      <c r="E362" s="3"/>
      <c r="F362" s="3"/>
      <c r="G362" s="3"/>
      <c r="H362" s="3"/>
      <c r="I362" s="135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5.75" customHeight="1" x14ac:dyDescent="0.35">
      <c r="A363" s="3"/>
      <c r="B363" s="3"/>
      <c r="C363" s="3"/>
      <c r="D363" s="3"/>
      <c r="E363" s="3"/>
      <c r="F363" s="3"/>
      <c r="G363" s="3"/>
      <c r="H363" s="3"/>
      <c r="I363" s="135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5.75" customHeight="1" x14ac:dyDescent="0.35">
      <c r="A364" s="3"/>
      <c r="B364" s="3"/>
      <c r="C364" s="3"/>
      <c r="D364" s="3"/>
      <c r="E364" s="3"/>
      <c r="F364" s="3"/>
      <c r="G364" s="3"/>
      <c r="H364" s="3"/>
      <c r="I364" s="135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5.75" customHeight="1" x14ac:dyDescent="0.35">
      <c r="A365" s="3"/>
      <c r="B365" s="3"/>
      <c r="C365" s="3"/>
      <c r="D365" s="3"/>
      <c r="E365" s="3"/>
      <c r="F365" s="3"/>
      <c r="G365" s="3"/>
      <c r="H365" s="3"/>
      <c r="I365" s="135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5.75" customHeight="1" x14ac:dyDescent="0.35">
      <c r="A366" s="3"/>
      <c r="B366" s="3"/>
      <c r="C366" s="3"/>
      <c r="D366" s="3"/>
      <c r="E366" s="3"/>
      <c r="F366" s="3"/>
      <c r="G366" s="3"/>
      <c r="H366" s="3"/>
      <c r="I366" s="135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5.75" customHeight="1" x14ac:dyDescent="0.35">
      <c r="A367" s="3"/>
      <c r="B367" s="3"/>
      <c r="C367" s="3"/>
      <c r="D367" s="3"/>
      <c r="E367" s="3"/>
      <c r="F367" s="3"/>
      <c r="G367" s="3"/>
      <c r="H367" s="3"/>
      <c r="I367" s="135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5.75" customHeight="1" x14ac:dyDescent="0.35">
      <c r="A368" s="3"/>
      <c r="B368" s="3"/>
      <c r="C368" s="3"/>
      <c r="D368" s="3"/>
      <c r="E368" s="3"/>
      <c r="F368" s="3"/>
      <c r="G368" s="3"/>
      <c r="H368" s="3"/>
      <c r="I368" s="135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5.75" customHeight="1" x14ac:dyDescent="0.35">
      <c r="A369" s="3"/>
      <c r="B369" s="3"/>
      <c r="C369" s="3"/>
      <c r="D369" s="3"/>
      <c r="E369" s="3"/>
      <c r="F369" s="3"/>
      <c r="G369" s="3"/>
      <c r="H369" s="3"/>
      <c r="I369" s="135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5.75" customHeight="1" x14ac:dyDescent="0.35">
      <c r="A370" s="3"/>
      <c r="B370" s="3"/>
      <c r="C370" s="3"/>
      <c r="D370" s="3"/>
      <c r="E370" s="3"/>
      <c r="F370" s="3"/>
      <c r="G370" s="3"/>
      <c r="H370" s="3"/>
      <c r="I370" s="135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5.75" customHeight="1" x14ac:dyDescent="0.35">
      <c r="A371" s="3"/>
      <c r="B371" s="3"/>
      <c r="C371" s="3"/>
      <c r="D371" s="3"/>
      <c r="E371" s="3"/>
      <c r="F371" s="3"/>
      <c r="G371" s="3"/>
      <c r="H371" s="3"/>
      <c r="I371" s="135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5.75" customHeight="1" x14ac:dyDescent="0.35">
      <c r="A372" s="3"/>
      <c r="B372" s="3"/>
      <c r="C372" s="3"/>
      <c r="D372" s="3"/>
      <c r="E372" s="3"/>
      <c r="F372" s="3"/>
      <c r="G372" s="3"/>
      <c r="H372" s="3"/>
      <c r="I372" s="135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5.75" customHeight="1" x14ac:dyDescent="0.35">
      <c r="A373" s="3"/>
      <c r="B373" s="3"/>
      <c r="C373" s="3"/>
      <c r="D373" s="3"/>
      <c r="E373" s="3"/>
      <c r="F373" s="3"/>
      <c r="G373" s="3"/>
      <c r="H373" s="3"/>
      <c r="I373" s="135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5.75" customHeight="1" x14ac:dyDescent="0.35">
      <c r="A374" s="3"/>
      <c r="B374" s="3"/>
      <c r="C374" s="3"/>
      <c r="D374" s="3"/>
      <c r="E374" s="3"/>
      <c r="F374" s="3"/>
      <c r="G374" s="3"/>
      <c r="H374" s="3"/>
      <c r="I374" s="135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5.75" customHeight="1" x14ac:dyDescent="0.35">
      <c r="A375" s="3"/>
      <c r="B375" s="3"/>
      <c r="C375" s="3"/>
      <c r="D375" s="3"/>
      <c r="E375" s="3"/>
      <c r="F375" s="3"/>
      <c r="G375" s="3"/>
      <c r="H375" s="3"/>
      <c r="I375" s="135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5.75" customHeight="1" x14ac:dyDescent="0.35">
      <c r="A376" s="3"/>
      <c r="B376" s="3"/>
      <c r="C376" s="3"/>
      <c r="D376" s="3"/>
      <c r="E376" s="3"/>
      <c r="F376" s="3"/>
      <c r="G376" s="3"/>
      <c r="H376" s="3"/>
      <c r="I376" s="135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5.75" customHeight="1" x14ac:dyDescent="0.35">
      <c r="A377" s="3"/>
      <c r="B377" s="3"/>
      <c r="C377" s="3"/>
      <c r="D377" s="3"/>
      <c r="E377" s="3"/>
      <c r="F377" s="3"/>
      <c r="G377" s="3"/>
      <c r="H377" s="3"/>
      <c r="I377" s="135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5.75" customHeight="1" x14ac:dyDescent="0.35">
      <c r="A378" s="3"/>
      <c r="B378" s="3"/>
      <c r="C378" s="3"/>
      <c r="D378" s="3"/>
      <c r="E378" s="3"/>
      <c r="F378" s="3"/>
      <c r="G378" s="3"/>
      <c r="H378" s="3"/>
      <c r="I378" s="135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5.75" customHeight="1" x14ac:dyDescent="0.35">
      <c r="A379" s="3"/>
      <c r="B379" s="3"/>
      <c r="C379" s="3"/>
      <c r="D379" s="3"/>
      <c r="E379" s="3"/>
      <c r="F379" s="3"/>
      <c r="G379" s="3"/>
      <c r="H379" s="3"/>
      <c r="I379" s="135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5.75" customHeight="1" x14ac:dyDescent="0.35">
      <c r="A380" s="3"/>
      <c r="B380" s="3"/>
      <c r="C380" s="3"/>
      <c r="D380" s="3"/>
      <c r="E380" s="3"/>
      <c r="F380" s="3"/>
      <c r="G380" s="3"/>
      <c r="H380" s="3"/>
      <c r="I380" s="135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5.75" customHeight="1" x14ac:dyDescent="0.35">
      <c r="A381" s="3"/>
      <c r="B381" s="3"/>
      <c r="C381" s="3"/>
      <c r="D381" s="3"/>
      <c r="E381" s="3"/>
      <c r="F381" s="3"/>
      <c r="G381" s="3"/>
      <c r="H381" s="3"/>
      <c r="I381" s="135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5.75" customHeight="1" x14ac:dyDescent="0.35">
      <c r="A382" s="3"/>
      <c r="B382" s="3"/>
      <c r="C382" s="3"/>
      <c r="D382" s="3"/>
      <c r="E382" s="3"/>
      <c r="F382" s="3"/>
      <c r="G382" s="3"/>
      <c r="H382" s="3"/>
      <c r="I382" s="135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5.75" customHeight="1" x14ac:dyDescent="0.35">
      <c r="A383" s="3"/>
      <c r="B383" s="3"/>
      <c r="C383" s="3"/>
      <c r="D383" s="3"/>
      <c r="E383" s="3"/>
      <c r="F383" s="3"/>
      <c r="G383" s="3"/>
      <c r="H383" s="3"/>
      <c r="I383" s="135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5.75" customHeight="1" x14ac:dyDescent="0.35">
      <c r="A384" s="3"/>
      <c r="B384" s="3"/>
      <c r="C384" s="3"/>
      <c r="D384" s="3"/>
      <c r="E384" s="3"/>
      <c r="F384" s="3"/>
      <c r="G384" s="3"/>
      <c r="H384" s="3"/>
      <c r="I384" s="135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5.75" customHeight="1" x14ac:dyDescent="0.35">
      <c r="A385" s="3"/>
      <c r="B385" s="3"/>
      <c r="C385" s="3"/>
      <c r="D385" s="3"/>
      <c r="E385" s="3"/>
      <c r="F385" s="3"/>
      <c r="G385" s="3"/>
      <c r="H385" s="3"/>
      <c r="I385" s="135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5.75" customHeight="1" x14ac:dyDescent="0.35">
      <c r="A386" s="3"/>
      <c r="B386" s="3"/>
      <c r="C386" s="3"/>
      <c r="D386" s="3"/>
      <c r="E386" s="3"/>
      <c r="F386" s="3"/>
      <c r="G386" s="3"/>
      <c r="H386" s="3"/>
      <c r="I386" s="135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5.75" customHeight="1" x14ac:dyDescent="0.35">
      <c r="A387" s="3"/>
      <c r="B387" s="3"/>
      <c r="C387" s="3"/>
      <c r="D387" s="3"/>
      <c r="E387" s="3"/>
      <c r="F387" s="3"/>
      <c r="G387" s="3"/>
      <c r="H387" s="3"/>
      <c r="I387" s="135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5.75" customHeight="1" x14ac:dyDescent="0.35">
      <c r="A388" s="3"/>
      <c r="B388" s="3"/>
      <c r="C388" s="3"/>
      <c r="D388" s="3"/>
      <c r="E388" s="3"/>
      <c r="F388" s="3"/>
      <c r="G388" s="3"/>
      <c r="H388" s="3"/>
      <c r="I388" s="135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5.75" customHeight="1" x14ac:dyDescent="0.35">
      <c r="A389" s="3"/>
      <c r="B389" s="3"/>
      <c r="C389" s="3"/>
      <c r="D389" s="3"/>
      <c r="E389" s="3"/>
      <c r="F389" s="3"/>
      <c r="G389" s="3"/>
      <c r="H389" s="3"/>
      <c r="I389" s="135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5.75" customHeight="1" x14ac:dyDescent="0.35">
      <c r="A390" s="3"/>
      <c r="B390" s="3"/>
      <c r="C390" s="3"/>
      <c r="D390" s="3"/>
      <c r="E390" s="3"/>
      <c r="F390" s="3"/>
      <c r="G390" s="3"/>
      <c r="H390" s="3"/>
      <c r="I390" s="135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5.75" customHeight="1" x14ac:dyDescent="0.35">
      <c r="A391" s="3"/>
      <c r="B391" s="3"/>
      <c r="C391" s="3"/>
      <c r="D391" s="3"/>
      <c r="E391" s="3"/>
      <c r="F391" s="3"/>
      <c r="G391" s="3"/>
      <c r="H391" s="3"/>
      <c r="I391" s="135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5.75" customHeight="1" x14ac:dyDescent="0.35">
      <c r="A392" s="3"/>
      <c r="B392" s="3"/>
      <c r="C392" s="3"/>
      <c r="D392" s="3"/>
      <c r="E392" s="3"/>
      <c r="F392" s="3"/>
      <c r="G392" s="3"/>
      <c r="H392" s="3"/>
      <c r="I392" s="135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5.75" customHeight="1" x14ac:dyDescent="0.35">
      <c r="A393" s="3"/>
      <c r="B393" s="3"/>
      <c r="C393" s="3"/>
      <c r="D393" s="3"/>
      <c r="E393" s="3"/>
      <c r="F393" s="3"/>
      <c r="G393" s="3"/>
      <c r="H393" s="3"/>
      <c r="I393" s="135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5.75" customHeight="1" x14ac:dyDescent="0.35">
      <c r="A394" s="3"/>
      <c r="B394" s="3"/>
      <c r="C394" s="3"/>
      <c r="D394" s="3"/>
      <c r="E394" s="3"/>
      <c r="F394" s="3"/>
      <c r="G394" s="3"/>
      <c r="H394" s="3"/>
      <c r="I394" s="135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5.75" customHeight="1" x14ac:dyDescent="0.35">
      <c r="A395" s="3"/>
      <c r="B395" s="3"/>
      <c r="C395" s="3"/>
      <c r="D395" s="3"/>
      <c r="E395" s="3"/>
      <c r="F395" s="3"/>
      <c r="G395" s="3"/>
      <c r="H395" s="3"/>
      <c r="I395" s="135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5.75" customHeight="1" x14ac:dyDescent="0.35">
      <c r="A396" s="3"/>
      <c r="B396" s="3"/>
      <c r="C396" s="3"/>
      <c r="D396" s="3"/>
      <c r="E396" s="3"/>
      <c r="F396" s="3"/>
      <c r="G396" s="3"/>
      <c r="H396" s="3"/>
      <c r="I396" s="135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5.75" customHeight="1" x14ac:dyDescent="0.35">
      <c r="A397" s="3"/>
      <c r="B397" s="3"/>
      <c r="C397" s="3"/>
      <c r="D397" s="3"/>
      <c r="E397" s="3"/>
      <c r="F397" s="3"/>
      <c r="G397" s="3"/>
      <c r="H397" s="3"/>
      <c r="I397" s="135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5.75" customHeight="1" x14ac:dyDescent="0.35">
      <c r="A398" s="3"/>
      <c r="B398" s="3"/>
      <c r="C398" s="3"/>
      <c r="D398" s="3"/>
      <c r="E398" s="3"/>
      <c r="F398" s="3"/>
      <c r="G398" s="3"/>
      <c r="H398" s="3"/>
      <c r="I398" s="135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5.75" customHeight="1" x14ac:dyDescent="0.35">
      <c r="A399" s="3"/>
      <c r="B399" s="3"/>
      <c r="C399" s="3"/>
      <c r="D399" s="3"/>
      <c r="E399" s="3"/>
      <c r="F399" s="3"/>
      <c r="G399" s="3"/>
      <c r="H399" s="3"/>
      <c r="I399" s="135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5.75" customHeight="1" x14ac:dyDescent="0.35">
      <c r="A400" s="3"/>
      <c r="B400" s="3"/>
      <c r="C400" s="3"/>
      <c r="D400" s="3"/>
      <c r="E400" s="3"/>
      <c r="F400" s="3"/>
      <c r="G400" s="3"/>
      <c r="H400" s="3"/>
      <c r="I400" s="135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5.75" customHeight="1" x14ac:dyDescent="0.35">
      <c r="A401" s="3"/>
      <c r="B401" s="3"/>
      <c r="C401" s="3"/>
      <c r="D401" s="3"/>
      <c r="E401" s="3"/>
      <c r="F401" s="3"/>
      <c r="G401" s="3"/>
      <c r="H401" s="3"/>
      <c r="I401" s="135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5.75" customHeight="1" x14ac:dyDescent="0.35">
      <c r="A402" s="3"/>
      <c r="B402" s="3"/>
      <c r="C402" s="3"/>
      <c r="D402" s="3"/>
      <c r="E402" s="3"/>
      <c r="F402" s="3"/>
      <c r="G402" s="3"/>
      <c r="H402" s="3"/>
      <c r="I402" s="135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5.75" customHeight="1" x14ac:dyDescent="0.35">
      <c r="A403" s="3"/>
      <c r="B403" s="3"/>
      <c r="C403" s="3"/>
      <c r="D403" s="3"/>
      <c r="E403" s="3"/>
      <c r="F403" s="3"/>
      <c r="G403" s="3"/>
      <c r="H403" s="3"/>
      <c r="I403" s="135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5.75" customHeight="1" x14ac:dyDescent="0.35">
      <c r="A404" s="3"/>
      <c r="B404" s="3"/>
      <c r="C404" s="3"/>
      <c r="D404" s="3"/>
      <c r="E404" s="3"/>
      <c r="F404" s="3"/>
      <c r="G404" s="3"/>
      <c r="H404" s="3"/>
      <c r="I404" s="135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5.75" customHeight="1" x14ac:dyDescent="0.35">
      <c r="A405" s="3"/>
      <c r="B405" s="3"/>
      <c r="C405" s="3"/>
      <c r="D405" s="3"/>
      <c r="E405" s="3"/>
      <c r="F405" s="3"/>
      <c r="G405" s="3"/>
      <c r="H405" s="3"/>
      <c r="I405" s="135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5.75" customHeight="1" x14ac:dyDescent="0.35">
      <c r="A406" s="3"/>
      <c r="B406" s="3"/>
      <c r="C406" s="3"/>
      <c r="D406" s="3"/>
      <c r="E406" s="3"/>
      <c r="F406" s="3"/>
      <c r="G406" s="3"/>
      <c r="H406" s="3"/>
      <c r="I406" s="135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5.75" customHeight="1" x14ac:dyDescent="0.35">
      <c r="A407" s="3"/>
      <c r="B407" s="3"/>
      <c r="C407" s="3"/>
      <c r="D407" s="3"/>
      <c r="E407" s="3"/>
      <c r="F407" s="3"/>
      <c r="G407" s="3"/>
      <c r="H407" s="3"/>
      <c r="I407" s="135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5.75" customHeight="1" x14ac:dyDescent="0.35">
      <c r="A408" s="3"/>
      <c r="B408" s="3"/>
      <c r="C408" s="3"/>
      <c r="D408" s="3"/>
      <c r="E408" s="3"/>
      <c r="F408" s="3"/>
      <c r="G408" s="3"/>
      <c r="H408" s="3"/>
      <c r="I408" s="135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5.75" customHeight="1" x14ac:dyDescent="0.35">
      <c r="A409" s="3"/>
      <c r="B409" s="3"/>
      <c r="C409" s="3"/>
      <c r="D409" s="3"/>
      <c r="E409" s="3"/>
      <c r="F409" s="3"/>
      <c r="G409" s="3"/>
      <c r="H409" s="3"/>
      <c r="I409" s="135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5.75" customHeight="1" x14ac:dyDescent="0.35">
      <c r="A410" s="3"/>
      <c r="B410" s="3"/>
      <c r="C410" s="3"/>
      <c r="D410" s="3"/>
      <c r="E410" s="3"/>
      <c r="F410" s="3"/>
      <c r="G410" s="3"/>
      <c r="H410" s="3"/>
      <c r="I410" s="135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5.75" customHeight="1" x14ac:dyDescent="0.35">
      <c r="A411" s="3"/>
      <c r="B411" s="3"/>
      <c r="C411" s="3"/>
      <c r="D411" s="3"/>
      <c r="E411" s="3"/>
      <c r="F411" s="3"/>
      <c r="G411" s="3"/>
      <c r="H411" s="3"/>
      <c r="I411" s="135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5.75" customHeight="1" x14ac:dyDescent="0.35">
      <c r="A412" s="3"/>
      <c r="B412" s="3"/>
      <c r="C412" s="3"/>
      <c r="D412" s="3"/>
      <c r="E412" s="3"/>
      <c r="F412" s="3"/>
      <c r="G412" s="3"/>
      <c r="H412" s="3"/>
      <c r="I412" s="135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5.75" customHeight="1" x14ac:dyDescent="0.35">
      <c r="A413" s="3"/>
      <c r="B413" s="3"/>
      <c r="C413" s="3"/>
      <c r="D413" s="3"/>
      <c r="E413" s="3"/>
      <c r="F413" s="3"/>
      <c r="G413" s="3"/>
      <c r="H413" s="3"/>
      <c r="I413" s="135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5.75" customHeight="1" x14ac:dyDescent="0.35">
      <c r="A414" s="3"/>
      <c r="B414" s="3"/>
      <c r="C414" s="3"/>
      <c r="D414" s="3"/>
      <c r="E414" s="3"/>
      <c r="F414" s="3"/>
      <c r="G414" s="3"/>
      <c r="H414" s="3"/>
      <c r="I414" s="135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5.75" customHeight="1" x14ac:dyDescent="0.35">
      <c r="A415" s="3"/>
      <c r="B415" s="3"/>
      <c r="C415" s="3"/>
      <c r="D415" s="3"/>
      <c r="E415" s="3"/>
      <c r="F415" s="3"/>
      <c r="G415" s="3"/>
      <c r="H415" s="3"/>
      <c r="I415" s="135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5.75" customHeight="1" x14ac:dyDescent="0.35">
      <c r="A416" s="3"/>
      <c r="B416" s="3"/>
      <c r="C416" s="3"/>
      <c r="D416" s="3"/>
      <c r="E416" s="3"/>
      <c r="F416" s="3"/>
      <c r="G416" s="3"/>
      <c r="H416" s="3"/>
      <c r="I416" s="135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5.75" customHeight="1" x14ac:dyDescent="0.35">
      <c r="A417" s="3"/>
      <c r="B417" s="3"/>
      <c r="C417" s="3"/>
      <c r="D417" s="3"/>
      <c r="E417" s="3"/>
      <c r="F417" s="3"/>
      <c r="G417" s="3"/>
      <c r="H417" s="3"/>
      <c r="I417" s="135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5.75" customHeight="1" x14ac:dyDescent="0.35">
      <c r="A418" s="3"/>
      <c r="B418" s="3"/>
      <c r="C418" s="3"/>
      <c r="D418" s="3"/>
      <c r="E418" s="3"/>
      <c r="F418" s="3"/>
      <c r="G418" s="3"/>
      <c r="H418" s="3"/>
      <c r="I418" s="135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5.75" customHeight="1" x14ac:dyDescent="0.35">
      <c r="A419" s="3"/>
      <c r="B419" s="3"/>
      <c r="C419" s="3"/>
      <c r="D419" s="3"/>
      <c r="E419" s="3"/>
      <c r="F419" s="3"/>
      <c r="G419" s="3"/>
      <c r="H419" s="3"/>
      <c r="I419" s="135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5.75" customHeight="1" x14ac:dyDescent="0.35">
      <c r="A420" s="3"/>
      <c r="B420" s="3"/>
      <c r="C420" s="3"/>
      <c r="D420" s="3"/>
      <c r="E420" s="3"/>
      <c r="F420" s="3"/>
      <c r="G420" s="3"/>
      <c r="H420" s="3"/>
      <c r="I420" s="135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5.75" customHeight="1" x14ac:dyDescent="0.35">
      <c r="A421" s="3"/>
      <c r="B421" s="3"/>
      <c r="C421" s="3"/>
      <c r="D421" s="3"/>
      <c r="E421" s="3"/>
      <c r="F421" s="3"/>
      <c r="G421" s="3"/>
      <c r="H421" s="3"/>
      <c r="I421" s="135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5.75" customHeight="1" x14ac:dyDescent="0.35">
      <c r="A422" s="3"/>
      <c r="B422" s="3"/>
      <c r="C422" s="3"/>
      <c r="D422" s="3"/>
      <c r="E422" s="3"/>
      <c r="F422" s="3"/>
      <c r="G422" s="3"/>
      <c r="H422" s="3"/>
      <c r="I422" s="135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5.75" customHeight="1" x14ac:dyDescent="0.35">
      <c r="A423" s="3"/>
      <c r="B423" s="3"/>
      <c r="C423" s="3"/>
      <c r="D423" s="3"/>
      <c r="E423" s="3"/>
      <c r="F423" s="3"/>
      <c r="G423" s="3"/>
      <c r="H423" s="3"/>
      <c r="I423" s="135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5.75" customHeight="1" x14ac:dyDescent="0.35">
      <c r="A424" s="3"/>
      <c r="B424" s="3"/>
      <c r="C424" s="3"/>
      <c r="D424" s="3"/>
      <c r="E424" s="3"/>
      <c r="F424" s="3"/>
      <c r="G424" s="3"/>
      <c r="H424" s="3"/>
      <c r="I424" s="135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5.75" customHeight="1" x14ac:dyDescent="0.35">
      <c r="A425" s="3"/>
      <c r="B425" s="3"/>
      <c r="C425" s="3"/>
      <c r="D425" s="3"/>
      <c r="E425" s="3"/>
      <c r="F425" s="3"/>
      <c r="G425" s="3"/>
      <c r="H425" s="3"/>
      <c r="I425" s="135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5.75" customHeight="1" x14ac:dyDescent="0.35">
      <c r="A426" s="3"/>
      <c r="B426" s="3"/>
      <c r="C426" s="3"/>
      <c r="D426" s="3"/>
      <c r="E426" s="3"/>
      <c r="F426" s="3"/>
      <c r="G426" s="3"/>
      <c r="H426" s="3"/>
      <c r="I426" s="135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5.75" customHeight="1" x14ac:dyDescent="0.35">
      <c r="A427" s="3"/>
      <c r="B427" s="3"/>
      <c r="C427" s="3"/>
      <c r="D427" s="3"/>
      <c r="E427" s="3"/>
      <c r="F427" s="3"/>
      <c r="G427" s="3"/>
      <c r="H427" s="3"/>
      <c r="I427" s="135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5.75" customHeight="1" x14ac:dyDescent="0.35">
      <c r="A428" s="3"/>
      <c r="B428" s="3"/>
      <c r="C428" s="3"/>
      <c r="D428" s="3"/>
      <c r="E428" s="3"/>
      <c r="F428" s="3"/>
      <c r="G428" s="3"/>
      <c r="H428" s="3"/>
      <c r="I428" s="135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5.75" customHeight="1" x14ac:dyDescent="0.35">
      <c r="A429" s="3"/>
      <c r="B429" s="3"/>
      <c r="C429" s="3"/>
      <c r="D429" s="3"/>
      <c r="E429" s="3"/>
      <c r="F429" s="3"/>
      <c r="G429" s="3"/>
      <c r="H429" s="3"/>
      <c r="I429" s="135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5.75" customHeight="1" x14ac:dyDescent="0.35">
      <c r="A430" s="3"/>
      <c r="B430" s="3"/>
      <c r="C430" s="3"/>
      <c r="D430" s="3"/>
      <c r="E430" s="3"/>
      <c r="F430" s="3"/>
      <c r="G430" s="3"/>
      <c r="H430" s="3"/>
      <c r="I430" s="135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5.75" customHeight="1" x14ac:dyDescent="0.35">
      <c r="A431" s="3"/>
      <c r="B431" s="3"/>
      <c r="C431" s="3"/>
      <c r="D431" s="3"/>
      <c r="E431" s="3"/>
      <c r="F431" s="3"/>
      <c r="G431" s="3"/>
      <c r="H431" s="3"/>
      <c r="I431" s="135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5.75" customHeight="1" x14ac:dyDescent="0.35">
      <c r="A432" s="3"/>
      <c r="B432" s="3"/>
      <c r="C432" s="3"/>
      <c r="D432" s="3"/>
      <c r="E432" s="3"/>
      <c r="F432" s="3"/>
      <c r="G432" s="3"/>
      <c r="H432" s="3"/>
      <c r="I432" s="135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5.75" customHeight="1" x14ac:dyDescent="0.35">
      <c r="A433" s="3"/>
      <c r="B433" s="3"/>
      <c r="C433" s="3"/>
      <c r="D433" s="3"/>
      <c r="E433" s="3"/>
      <c r="F433" s="3"/>
      <c r="G433" s="3"/>
      <c r="H433" s="3"/>
      <c r="I433" s="135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5.75" customHeight="1" x14ac:dyDescent="0.35">
      <c r="A434" s="3"/>
      <c r="B434" s="3"/>
      <c r="C434" s="3"/>
      <c r="D434" s="3"/>
      <c r="E434" s="3"/>
      <c r="F434" s="3"/>
      <c r="G434" s="3"/>
      <c r="H434" s="3"/>
      <c r="I434" s="135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5.75" customHeight="1" x14ac:dyDescent="0.35">
      <c r="A435" s="3"/>
      <c r="B435" s="3"/>
      <c r="C435" s="3"/>
      <c r="D435" s="3"/>
      <c r="E435" s="3"/>
      <c r="F435" s="3"/>
      <c r="G435" s="3"/>
      <c r="H435" s="3"/>
      <c r="I435" s="135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5.75" customHeight="1" x14ac:dyDescent="0.35">
      <c r="A436" s="3"/>
      <c r="B436" s="3"/>
      <c r="C436" s="3"/>
      <c r="D436" s="3"/>
      <c r="E436" s="3"/>
      <c r="F436" s="3"/>
      <c r="G436" s="3"/>
      <c r="H436" s="3"/>
      <c r="I436" s="135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5.75" customHeight="1" x14ac:dyDescent="0.35">
      <c r="A437" s="3"/>
      <c r="B437" s="3"/>
      <c r="C437" s="3"/>
      <c r="D437" s="3"/>
      <c r="E437" s="3"/>
      <c r="F437" s="3"/>
      <c r="G437" s="3"/>
      <c r="H437" s="3"/>
      <c r="I437" s="135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5.75" customHeight="1" x14ac:dyDescent="0.35">
      <c r="A438" s="3"/>
      <c r="B438" s="3"/>
      <c r="C438" s="3"/>
      <c r="D438" s="3"/>
      <c r="E438" s="3"/>
      <c r="F438" s="3"/>
      <c r="G438" s="3"/>
      <c r="H438" s="3"/>
      <c r="I438" s="135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5.75" customHeight="1" x14ac:dyDescent="0.35">
      <c r="A439" s="3"/>
      <c r="B439" s="3"/>
      <c r="C439" s="3"/>
      <c r="D439" s="3"/>
      <c r="E439" s="3"/>
      <c r="F439" s="3"/>
      <c r="G439" s="3"/>
      <c r="H439" s="3"/>
      <c r="I439" s="135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5.75" customHeight="1" x14ac:dyDescent="0.35">
      <c r="A440" s="3"/>
      <c r="B440" s="3"/>
      <c r="C440" s="3"/>
      <c r="D440" s="3"/>
      <c r="E440" s="3"/>
      <c r="F440" s="3"/>
      <c r="G440" s="3"/>
      <c r="H440" s="3"/>
      <c r="I440" s="135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5.75" customHeight="1" x14ac:dyDescent="0.35">
      <c r="A441" s="3"/>
      <c r="B441" s="3"/>
      <c r="C441" s="3"/>
      <c r="D441" s="3"/>
      <c r="E441" s="3"/>
      <c r="F441" s="3"/>
      <c r="G441" s="3"/>
      <c r="H441" s="3"/>
      <c r="I441" s="135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5.75" customHeight="1" x14ac:dyDescent="0.35">
      <c r="A442" s="3"/>
      <c r="B442" s="3"/>
      <c r="C442" s="3"/>
      <c r="D442" s="3"/>
      <c r="E442" s="3"/>
      <c r="F442" s="3"/>
      <c r="G442" s="3"/>
      <c r="H442" s="3"/>
      <c r="I442" s="135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5.75" customHeight="1" x14ac:dyDescent="0.35">
      <c r="A443" s="3"/>
      <c r="B443" s="3"/>
      <c r="C443" s="3"/>
      <c r="D443" s="3"/>
      <c r="E443" s="3"/>
      <c r="F443" s="3"/>
      <c r="G443" s="3"/>
      <c r="H443" s="3"/>
      <c r="I443" s="135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5.75" customHeight="1" x14ac:dyDescent="0.35">
      <c r="A444" s="3"/>
      <c r="B444" s="3"/>
      <c r="C444" s="3"/>
      <c r="D444" s="3"/>
      <c r="E444" s="3"/>
      <c r="F444" s="3"/>
      <c r="G444" s="3"/>
      <c r="H444" s="3"/>
      <c r="I444" s="135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5.75" customHeight="1" x14ac:dyDescent="0.35">
      <c r="A445" s="3"/>
      <c r="B445" s="3"/>
      <c r="C445" s="3"/>
      <c r="D445" s="3"/>
      <c r="E445" s="3"/>
      <c r="F445" s="3"/>
      <c r="G445" s="3"/>
      <c r="H445" s="3"/>
      <c r="I445" s="135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5.75" customHeight="1" x14ac:dyDescent="0.35">
      <c r="A446" s="3"/>
      <c r="B446" s="3"/>
      <c r="C446" s="3"/>
      <c r="D446" s="3"/>
      <c r="E446" s="3"/>
      <c r="F446" s="3"/>
      <c r="G446" s="3"/>
      <c r="H446" s="3"/>
      <c r="I446" s="135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5.75" customHeight="1" x14ac:dyDescent="0.35">
      <c r="A447" s="3"/>
      <c r="B447" s="3"/>
      <c r="C447" s="3"/>
      <c r="D447" s="3"/>
      <c r="E447" s="3"/>
      <c r="F447" s="3"/>
      <c r="G447" s="3"/>
      <c r="H447" s="3"/>
      <c r="I447" s="135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5.75" customHeight="1" x14ac:dyDescent="0.35">
      <c r="A448" s="3"/>
      <c r="B448" s="3"/>
      <c r="C448" s="3"/>
      <c r="D448" s="3"/>
      <c r="E448" s="3"/>
      <c r="F448" s="3"/>
      <c r="G448" s="3"/>
      <c r="H448" s="3"/>
      <c r="I448" s="135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5.75" customHeight="1" x14ac:dyDescent="0.35">
      <c r="A449" s="3"/>
      <c r="B449" s="3"/>
      <c r="C449" s="3"/>
      <c r="D449" s="3"/>
      <c r="E449" s="3"/>
      <c r="F449" s="3"/>
      <c r="G449" s="3"/>
      <c r="H449" s="3"/>
      <c r="I449" s="135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5.75" customHeight="1" x14ac:dyDescent="0.35">
      <c r="A450" s="3"/>
      <c r="B450" s="3"/>
      <c r="C450" s="3"/>
      <c r="D450" s="3"/>
      <c r="E450" s="3"/>
      <c r="F450" s="3"/>
      <c r="G450" s="3"/>
      <c r="H450" s="3"/>
      <c r="I450" s="135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5.75" customHeight="1" x14ac:dyDescent="0.35">
      <c r="A451" s="3"/>
      <c r="B451" s="3"/>
      <c r="C451" s="3"/>
      <c r="D451" s="3"/>
      <c r="E451" s="3"/>
      <c r="F451" s="3"/>
      <c r="G451" s="3"/>
      <c r="H451" s="3"/>
      <c r="I451" s="135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5.75" customHeight="1" x14ac:dyDescent="0.35">
      <c r="A452" s="3"/>
      <c r="B452" s="3"/>
      <c r="C452" s="3"/>
      <c r="D452" s="3"/>
      <c r="E452" s="3"/>
      <c r="F452" s="3"/>
      <c r="G452" s="3"/>
      <c r="H452" s="3"/>
      <c r="I452" s="135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5.75" customHeight="1" x14ac:dyDescent="0.35">
      <c r="A453" s="3"/>
      <c r="B453" s="3"/>
      <c r="C453" s="3"/>
      <c r="D453" s="3"/>
      <c r="E453" s="3"/>
      <c r="F453" s="3"/>
      <c r="G453" s="3"/>
      <c r="H453" s="3"/>
      <c r="I453" s="135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5.75" customHeight="1" x14ac:dyDescent="0.35">
      <c r="A454" s="3"/>
      <c r="B454" s="3"/>
      <c r="C454" s="3"/>
      <c r="D454" s="3"/>
      <c r="E454" s="3"/>
      <c r="F454" s="3"/>
      <c r="G454" s="3"/>
      <c r="H454" s="3"/>
      <c r="I454" s="135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5.75" customHeight="1" x14ac:dyDescent="0.35">
      <c r="A455" s="3"/>
      <c r="B455" s="3"/>
      <c r="C455" s="3"/>
      <c r="D455" s="3"/>
      <c r="E455" s="3"/>
      <c r="F455" s="3"/>
      <c r="G455" s="3"/>
      <c r="H455" s="3"/>
      <c r="I455" s="135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5.75" customHeight="1" x14ac:dyDescent="0.35">
      <c r="A456" s="3"/>
      <c r="B456" s="3"/>
      <c r="C456" s="3"/>
      <c r="D456" s="3"/>
      <c r="E456" s="3"/>
      <c r="F456" s="3"/>
      <c r="G456" s="3"/>
      <c r="H456" s="3"/>
      <c r="I456" s="135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5.75" customHeight="1" x14ac:dyDescent="0.35">
      <c r="A457" s="3"/>
      <c r="B457" s="3"/>
      <c r="C457" s="3"/>
      <c r="D457" s="3"/>
      <c r="E457" s="3"/>
      <c r="F457" s="3"/>
      <c r="G457" s="3"/>
      <c r="H457" s="3"/>
      <c r="I457" s="135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5.75" customHeight="1" x14ac:dyDescent="0.35">
      <c r="A458" s="3"/>
      <c r="B458" s="3"/>
      <c r="C458" s="3"/>
      <c r="D458" s="3"/>
      <c r="E458" s="3"/>
      <c r="F458" s="3"/>
      <c r="G458" s="3"/>
      <c r="H458" s="3"/>
      <c r="I458" s="135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5.75" customHeight="1" x14ac:dyDescent="0.35">
      <c r="A459" s="3"/>
      <c r="B459" s="3"/>
      <c r="C459" s="3"/>
      <c r="D459" s="3"/>
      <c r="E459" s="3"/>
      <c r="F459" s="3"/>
      <c r="G459" s="3"/>
      <c r="H459" s="3"/>
      <c r="I459" s="135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5.75" customHeight="1" x14ac:dyDescent="0.35">
      <c r="A460" s="3"/>
      <c r="B460" s="3"/>
      <c r="C460" s="3"/>
      <c r="D460" s="3"/>
      <c r="E460" s="3"/>
      <c r="F460" s="3"/>
      <c r="G460" s="3"/>
      <c r="H460" s="3"/>
      <c r="I460" s="135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5.75" customHeight="1" x14ac:dyDescent="0.35">
      <c r="A461" s="3"/>
      <c r="B461" s="3"/>
      <c r="C461" s="3"/>
      <c r="D461" s="3"/>
      <c r="E461" s="3"/>
      <c r="F461" s="3"/>
      <c r="G461" s="3"/>
      <c r="H461" s="3"/>
      <c r="I461" s="135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5.75" customHeight="1" x14ac:dyDescent="0.35">
      <c r="A462" s="3"/>
      <c r="B462" s="3"/>
      <c r="C462" s="3"/>
      <c r="D462" s="3"/>
      <c r="E462" s="3"/>
      <c r="F462" s="3"/>
      <c r="G462" s="3"/>
      <c r="H462" s="3"/>
      <c r="I462" s="135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5.75" customHeight="1" x14ac:dyDescent="0.35">
      <c r="A463" s="3"/>
      <c r="B463" s="3"/>
      <c r="C463" s="3"/>
      <c r="D463" s="3"/>
      <c r="E463" s="3"/>
      <c r="F463" s="3"/>
      <c r="G463" s="3"/>
      <c r="H463" s="3"/>
      <c r="I463" s="135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5.75" customHeight="1" x14ac:dyDescent="0.35">
      <c r="A464" s="3"/>
      <c r="B464" s="3"/>
      <c r="C464" s="3"/>
      <c r="D464" s="3"/>
      <c r="E464" s="3"/>
      <c r="F464" s="3"/>
      <c r="G464" s="3"/>
      <c r="H464" s="3"/>
      <c r="I464" s="135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5.75" customHeight="1" x14ac:dyDescent="0.35">
      <c r="A465" s="3"/>
      <c r="B465" s="3"/>
      <c r="C465" s="3"/>
      <c r="D465" s="3"/>
      <c r="E465" s="3"/>
      <c r="F465" s="3"/>
      <c r="G465" s="3"/>
      <c r="H465" s="3"/>
      <c r="I465" s="135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5.75" customHeight="1" x14ac:dyDescent="0.35">
      <c r="A466" s="3"/>
      <c r="B466" s="3"/>
      <c r="C466" s="3"/>
      <c r="D466" s="3"/>
      <c r="E466" s="3"/>
      <c r="F466" s="3"/>
      <c r="G466" s="3"/>
      <c r="H466" s="3"/>
      <c r="I466" s="135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5.75" customHeight="1" x14ac:dyDescent="0.35">
      <c r="A467" s="3"/>
      <c r="B467" s="3"/>
      <c r="C467" s="3"/>
      <c r="D467" s="3"/>
      <c r="E467" s="3"/>
      <c r="F467" s="3"/>
      <c r="G467" s="3"/>
      <c r="H467" s="3"/>
      <c r="I467" s="135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5.75" customHeight="1" x14ac:dyDescent="0.35">
      <c r="A468" s="3"/>
      <c r="B468" s="3"/>
      <c r="C468" s="3"/>
      <c r="D468" s="3"/>
      <c r="E468" s="3"/>
      <c r="F468" s="3"/>
      <c r="G468" s="3"/>
      <c r="H468" s="3"/>
      <c r="I468" s="135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5.75" customHeight="1" x14ac:dyDescent="0.35">
      <c r="A469" s="3"/>
      <c r="B469" s="3"/>
      <c r="C469" s="3"/>
      <c r="D469" s="3"/>
      <c r="E469" s="3"/>
      <c r="F469" s="3"/>
      <c r="G469" s="3"/>
      <c r="H469" s="3"/>
      <c r="I469" s="135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5.75" customHeight="1" x14ac:dyDescent="0.35">
      <c r="A470" s="3"/>
      <c r="B470" s="3"/>
      <c r="C470" s="3"/>
      <c r="D470" s="3"/>
      <c r="E470" s="3"/>
      <c r="F470" s="3"/>
      <c r="G470" s="3"/>
      <c r="H470" s="3"/>
      <c r="I470" s="135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5.75" customHeight="1" x14ac:dyDescent="0.35">
      <c r="A471" s="3"/>
      <c r="B471" s="3"/>
      <c r="C471" s="3"/>
      <c r="D471" s="3"/>
      <c r="E471" s="3"/>
      <c r="F471" s="3"/>
      <c r="G471" s="3"/>
      <c r="H471" s="3"/>
      <c r="I471" s="135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5.75" customHeight="1" x14ac:dyDescent="0.35">
      <c r="A472" s="3"/>
      <c r="B472" s="3"/>
      <c r="C472" s="3"/>
      <c r="D472" s="3"/>
      <c r="E472" s="3"/>
      <c r="F472" s="3"/>
      <c r="G472" s="3"/>
      <c r="H472" s="3"/>
      <c r="I472" s="135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5.75" customHeight="1" x14ac:dyDescent="0.35">
      <c r="A473" s="3"/>
      <c r="B473" s="3"/>
      <c r="C473" s="3"/>
      <c r="D473" s="3"/>
      <c r="E473" s="3"/>
      <c r="F473" s="3"/>
      <c r="G473" s="3"/>
      <c r="H473" s="3"/>
      <c r="I473" s="135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5.75" customHeight="1" x14ac:dyDescent="0.35">
      <c r="A474" s="3"/>
      <c r="B474" s="3"/>
      <c r="C474" s="3"/>
      <c r="D474" s="3"/>
      <c r="E474" s="3"/>
      <c r="F474" s="3"/>
      <c r="G474" s="3"/>
      <c r="H474" s="3"/>
      <c r="I474" s="135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5.75" customHeight="1" x14ac:dyDescent="0.35">
      <c r="A475" s="3"/>
      <c r="B475" s="3"/>
      <c r="C475" s="3"/>
      <c r="D475" s="3"/>
      <c r="E475" s="3"/>
      <c r="F475" s="3"/>
      <c r="G475" s="3"/>
      <c r="H475" s="3"/>
      <c r="I475" s="135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5.75" customHeight="1" x14ac:dyDescent="0.35">
      <c r="A476" s="3"/>
      <c r="B476" s="3"/>
      <c r="C476" s="3"/>
      <c r="D476" s="3"/>
      <c r="E476" s="3"/>
      <c r="F476" s="3"/>
      <c r="G476" s="3"/>
      <c r="H476" s="3"/>
      <c r="I476" s="135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5.75" customHeight="1" x14ac:dyDescent="0.35">
      <c r="A477" s="3"/>
      <c r="B477" s="3"/>
      <c r="C477" s="3"/>
      <c r="D477" s="3"/>
      <c r="E477" s="3"/>
      <c r="F477" s="3"/>
      <c r="G477" s="3"/>
      <c r="H477" s="3"/>
      <c r="I477" s="135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5.75" customHeight="1" x14ac:dyDescent="0.35">
      <c r="A478" s="3"/>
      <c r="B478" s="3"/>
      <c r="C478" s="3"/>
      <c r="D478" s="3"/>
      <c r="E478" s="3"/>
      <c r="F478" s="3"/>
      <c r="G478" s="3"/>
      <c r="H478" s="3"/>
      <c r="I478" s="135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5.75" customHeight="1" x14ac:dyDescent="0.35">
      <c r="A479" s="3"/>
      <c r="B479" s="3"/>
      <c r="C479" s="3"/>
      <c r="D479" s="3"/>
      <c r="E479" s="3"/>
      <c r="F479" s="3"/>
      <c r="G479" s="3"/>
      <c r="H479" s="3"/>
      <c r="I479" s="135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5.75" customHeight="1" x14ac:dyDescent="0.35">
      <c r="A480" s="3"/>
      <c r="B480" s="3"/>
      <c r="C480" s="3"/>
      <c r="D480" s="3"/>
      <c r="E480" s="3"/>
      <c r="F480" s="3"/>
      <c r="G480" s="3"/>
      <c r="H480" s="3"/>
      <c r="I480" s="135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5.75" customHeight="1" x14ac:dyDescent="0.35">
      <c r="A481" s="3"/>
      <c r="B481" s="3"/>
      <c r="C481" s="3"/>
      <c r="D481" s="3"/>
      <c r="E481" s="3"/>
      <c r="F481" s="3"/>
      <c r="G481" s="3"/>
      <c r="H481" s="3"/>
      <c r="I481" s="135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5.75" customHeight="1" x14ac:dyDescent="0.35">
      <c r="A482" s="3"/>
      <c r="B482" s="3"/>
      <c r="C482" s="3"/>
      <c r="D482" s="3"/>
      <c r="E482" s="3"/>
      <c r="F482" s="3"/>
      <c r="G482" s="3"/>
      <c r="H482" s="3"/>
      <c r="I482" s="135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5.75" customHeight="1" x14ac:dyDescent="0.35">
      <c r="A483" s="3"/>
      <c r="B483" s="3"/>
      <c r="C483" s="3"/>
      <c r="D483" s="3"/>
      <c r="E483" s="3"/>
      <c r="F483" s="3"/>
      <c r="G483" s="3"/>
      <c r="H483" s="3"/>
      <c r="I483" s="135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5.75" customHeight="1" x14ac:dyDescent="0.35">
      <c r="A484" s="3"/>
      <c r="B484" s="3"/>
      <c r="C484" s="3"/>
      <c r="D484" s="3"/>
      <c r="E484" s="3"/>
      <c r="F484" s="3"/>
      <c r="G484" s="3"/>
      <c r="H484" s="3"/>
      <c r="I484" s="135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5.75" customHeight="1" x14ac:dyDescent="0.35">
      <c r="A485" s="3"/>
      <c r="B485" s="3"/>
      <c r="C485" s="3"/>
      <c r="D485" s="3"/>
      <c r="E485" s="3"/>
      <c r="F485" s="3"/>
      <c r="G485" s="3"/>
      <c r="H485" s="3"/>
      <c r="I485" s="135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5.75" customHeight="1" x14ac:dyDescent="0.35">
      <c r="A486" s="3"/>
      <c r="B486" s="3"/>
      <c r="C486" s="3"/>
      <c r="D486" s="3"/>
      <c r="E486" s="3"/>
      <c r="F486" s="3"/>
      <c r="G486" s="3"/>
      <c r="H486" s="3"/>
      <c r="I486" s="135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5.75" customHeight="1" x14ac:dyDescent="0.35">
      <c r="A487" s="3"/>
      <c r="B487" s="3"/>
      <c r="C487" s="3"/>
      <c r="D487" s="3"/>
      <c r="E487" s="3"/>
      <c r="F487" s="3"/>
      <c r="G487" s="3"/>
      <c r="H487" s="3"/>
      <c r="I487" s="135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5.75" customHeight="1" x14ac:dyDescent="0.35">
      <c r="A488" s="3"/>
      <c r="B488" s="3"/>
      <c r="C488" s="3"/>
      <c r="D488" s="3"/>
      <c r="E488" s="3"/>
      <c r="F488" s="3"/>
      <c r="G488" s="3"/>
      <c r="H488" s="3"/>
      <c r="I488" s="135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5.75" customHeight="1" x14ac:dyDescent="0.35">
      <c r="A489" s="3"/>
      <c r="B489" s="3"/>
      <c r="C489" s="3"/>
      <c r="D489" s="3"/>
      <c r="E489" s="3"/>
      <c r="F489" s="3"/>
      <c r="G489" s="3"/>
      <c r="H489" s="3"/>
      <c r="I489" s="135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5.75" customHeight="1" x14ac:dyDescent="0.35">
      <c r="A490" s="3"/>
      <c r="B490" s="3"/>
      <c r="C490" s="3"/>
      <c r="D490" s="3"/>
      <c r="E490" s="3"/>
      <c r="F490" s="3"/>
      <c r="G490" s="3"/>
      <c r="H490" s="3"/>
      <c r="I490" s="135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5.75" customHeight="1" x14ac:dyDescent="0.35">
      <c r="A491" s="3"/>
      <c r="B491" s="3"/>
      <c r="C491" s="3"/>
      <c r="D491" s="3"/>
      <c r="E491" s="3"/>
      <c r="F491" s="3"/>
      <c r="G491" s="3"/>
      <c r="H491" s="3"/>
      <c r="I491" s="135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5.75" customHeight="1" x14ac:dyDescent="0.35">
      <c r="A492" s="3"/>
      <c r="B492" s="3"/>
      <c r="C492" s="3"/>
      <c r="D492" s="3"/>
      <c r="E492" s="3"/>
      <c r="F492" s="3"/>
      <c r="G492" s="3"/>
      <c r="H492" s="3"/>
      <c r="I492" s="135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5.75" customHeight="1" x14ac:dyDescent="0.35">
      <c r="A493" s="3"/>
      <c r="B493" s="3"/>
      <c r="C493" s="3"/>
      <c r="D493" s="3"/>
      <c r="E493" s="3"/>
      <c r="F493" s="3"/>
      <c r="G493" s="3"/>
      <c r="H493" s="3"/>
      <c r="I493" s="135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5.75" customHeight="1" x14ac:dyDescent="0.35">
      <c r="A494" s="3"/>
      <c r="B494" s="3"/>
      <c r="C494" s="3"/>
      <c r="D494" s="3"/>
      <c r="E494" s="3"/>
      <c r="F494" s="3"/>
      <c r="G494" s="3"/>
      <c r="H494" s="3"/>
      <c r="I494" s="135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5.75" customHeight="1" x14ac:dyDescent="0.35">
      <c r="A495" s="3"/>
      <c r="B495" s="3"/>
      <c r="C495" s="3"/>
      <c r="D495" s="3"/>
      <c r="E495" s="3"/>
      <c r="F495" s="3"/>
      <c r="G495" s="3"/>
      <c r="H495" s="3"/>
      <c r="I495" s="135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5.75" customHeight="1" x14ac:dyDescent="0.35">
      <c r="A496" s="3"/>
      <c r="B496" s="3"/>
      <c r="C496" s="3"/>
      <c r="D496" s="3"/>
      <c r="E496" s="3"/>
      <c r="F496" s="3"/>
      <c r="G496" s="3"/>
      <c r="H496" s="3"/>
      <c r="I496" s="135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5.75" customHeight="1" x14ac:dyDescent="0.35">
      <c r="A497" s="3"/>
      <c r="B497" s="3"/>
      <c r="C497" s="3"/>
      <c r="D497" s="3"/>
      <c r="E497" s="3"/>
      <c r="F497" s="3"/>
      <c r="G497" s="3"/>
      <c r="H497" s="3"/>
      <c r="I497" s="135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5.75" customHeight="1" x14ac:dyDescent="0.35">
      <c r="A498" s="3"/>
      <c r="B498" s="3"/>
      <c r="C498" s="3"/>
      <c r="D498" s="3"/>
      <c r="E498" s="3"/>
      <c r="F498" s="3"/>
      <c r="G498" s="3"/>
      <c r="H498" s="3"/>
      <c r="I498" s="135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5.75" customHeight="1" x14ac:dyDescent="0.35">
      <c r="A499" s="3"/>
      <c r="B499" s="3"/>
      <c r="C499" s="3"/>
      <c r="D499" s="3"/>
      <c r="E499" s="3"/>
      <c r="F499" s="3"/>
      <c r="G499" s="3"/>
      <c r="H499" s="3"/>
      <c r="I499" s="135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5.75" customHeight="1" x14ac:dyDescent="0.35">
      <c r="A500" s="3"/>
      <c r="B500" s="3"/>
      <c r="C500" s="3"/>
      <c r="D500" s="3"/>
      <c r="E500" s="3"/>
      <c r="F500" s="3"/>
      <c r="G500" s="3"/>
      <c r="H500" s="3"/>
      <c r="I500" s="135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5.75" customHeight="1" x14ac:dyDescent="0.35">
      <c r="A501" s="3"/>
      <c r="B501" s="3"/>
      <c r="C501" s="3"/>
      <c r="D501" s="3"/>
      <c r="E501" s="3"/>
      <c r="F501" s="3"/>
      <c r="G501" s="3"/>
      <c r="H501" s="3"/>
      <c r="I501" s="135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5.75" customHeight="1" x14ac:dyDescent="0.35">
      <c r="A502" s="3"/>
      <c r="B502" s="3"/>
      <c r="C502" s="3"/>
      <c r="D502" s="3"/>
      <c r="E502" s="3"/>
      <c r="F502" s="3"/>
      <c r="G502" s="3"/>
      <c r="H502" s="3"/>
      <c r="I502" s="135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5.75" customHeight="1" x14ac:dyDescent="0.35">
      <c r="A503" s="3"/>
      <c r="B503" s="3"/>
      <c r="C503" s="3"/>
      <c r="D503" s="3"/>
      <c r="E503" s="3"/>
      <c r="F503" s="3"/>
      <c r="G503" s="3"/>
      <c r="H503" s="3"/>
      <c r="I503" s="135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5.75" customHeight="1" x14ac:dyDescent="0.35">
      <c r="A504" s="3"/>
      <c r="B504" s="3"/>
      <c r="C504" s="3"/>
      <c r="D504" s="3"/>
      <c r="E504" s="3"/>
      <c r="F504" s="3"/>
      <c r="G504" s="3"/>
      <c r="H504" s="3"/>
      <c r="I504" s="135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5.75" customHeight="1" x14ac:dyDescent="0.35">
      <c r="A505" s="3"/>
      <c r="B505" s="3"/>
      <c r="C505" s="3"/>
      <c r="D505" s="3"/>
      <c r="E505" s="3"/>
      <c r="F505" s="3"/>
      <c r="G505" s="3"/>
      <c r="H505" s="3"/>
      <c r="I505" s="135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5.75" customHeight="1" x14ac:dyDescent="0.35">
      <c r="A506" s="3"/>
      <c r="B506" s="3"/>
      <c r="C506" s="3"/>
      <c r="D506" s="3"/>
      <c r="E506" s="3"/>
      <c r="F506" s="3"/>
      <c r="G506" s="3"/>
      <c r="H506" s="3"/>
      <c r="I506" s="135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5.75" customHeight="1" x14ac:dyDescent="0.35">
      <c r="A507" s="3"/>
      <c r="B507" s="3"/>
      <c r="C507" s="3"/>
      <c r="D507" s="3"/>
      <c r="E507" s="3"/>
      <c r="F507" s="3"/>
      <c r="G507" s="3"/>
      <c r="H507" s="3"/>
      <c r="I507" s="135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5.75" customHeight="1" x14ac:dyDescent="0.35">
      <c r="A508" s="3"/>
      <c r="B508" s="3"/>
      <c r="C508" s="3"/>
      <c r="D508" s="3"/>
      <c r="E508" s="3"/>
      <c r="F508" s="3"/>
      <c r="G508" s="3"/>
      <c r="H508" s="3"/>
      <c r="I508" s="135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5.75" customHeight="1" x14ac:dyDescent="0.35">
      <c r="A509" s="3"/>
      <c r="B509" s="3"/>
      <c r="C509" s="3"/>
      <c r="D509" s="3"/>
      <c r="E509" s="3"/>
      <c r="F509" s="3"/>
      <c r="G509" s="3"/>
      <c r="H509" s="3"/>
      <c r="I509" s="135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5.75" customHeight="1" x14ac:dyDescent="0.35">
      <c r="A510" s="3"/>
      <c r="B510" s="3"/>
      <c r="C510" s="3"/>
      <c r="D510" s="3"/>
      <c r="E510" s="3"/>
      <c r="F510" s="3"/>
      <c r="G510" s="3"/>
      <c r="H510" s="3"/>
      <c r="I510" s="135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5.75" customHeight="1" x14ac:dyDescent="0.35">
      <c r="A511" s="3"/>
      <c r="B511" s="3"/>
      <c r="C511" s="3"/>
      <c r="D511" s="3"/>
      <c r="E511" s="3"/>
      <c r="F511" s="3"/>
      <c r="G511" s="3"/>
      <c r="H511" s="3"/>
      <c r="I511" s="135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5.75" customHeight="1" x14ac:dyDescent="0.35">
      <c r="A512" s="3"/>
      <c r="B512" s="3"/>
      <c r="C512" s="3"/>
      <c r="D512" s="3"/>
      <c r="E512" s="3"/>
      <c r="F512" s="3"/>
      <c r="G512" s="3"/>
      <c r="H512" s="3"/>
      <c r="I512" s="135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5.75" customHeight="1" x14ac:dyDescent="0.35">
      <c r="A513" s="3"/>
      <c r="B513" s="3"/>
      <c r="C513" s="3"/>
      <c r="D513" s="3"/>
      <c r="E513" s="3"/>
      <c r="F513" s="3"/>
      <c r="G513" s="3"/>
      <c r="H513" s="3"/>
      <c r="I513" s="135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5.75" customHeight="1" x14ac:dyDescent="0.35">
      <c r="A514" s="3"/>
      <c r="B514" s="3"/>
      <c r="C514" s="3"/>
      <c r="D514" s="3"/>
      <c r="E514" s="3"/>
      <c r="F514" s="3"/>
      <c r="G514" s="3"/>
      <c r="H514" s="3"/>
      <c r="I514" s="135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5.75" customHeight="1" x14ac:dyDescent="0.35">
      <c r="A515" s="3"/>
      <c r="B515" s="3"/>
      <c r="C515" s="3"/>
      <c r="D515" s="3"/>
      <c r="E515" s="3"/>
      <c r="F515" s="3"/>
      <c r="G515" s="3"/>
      <c r="H515" s="3"/>
      <c r="I515" s="135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5.75" customHeight="1" x14ac:dyDescent="0.35">
      <c r="A516" s="3"/>
      <c r="B516" s="3"/>
      <c r="C516" s="3"/>
      <c r="D516" s="3"/>
      <c r="E516" s="3"/>
      <c r="F516" s="3"/>
      <c r="G516" s="3"/>
      <c r="H516" s="3"/>
      <c r="I516" s="135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5.75" customHeight="1" x14ac:dyDescent="0.35">
      <c r="A517" s="3"/>
      <c r="B517" s="3"/>
      <c r="C517" s="3"/>
      <c r="D517" s="3"/>
      <c r="E517" s="3"/>
      <c r="F517" s="3"/>
      <c r="G517" s="3"/>
      <c r="H517" s="3"/>
      <c r="I517" s="135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5.75" customHeight="1" x14ac:dyDescent="0.35">
      <c r="A518" s="3"/>
      <c r="B518" s="3"/>
      <c r="C518" s="3"/>
      <c r="D518" s="3"/>
      <c r="E518" s="3"/>
      <c r="F518" s="3"/>
      <c r="G518" s="3"/>
      <c r="H518" s="3"/>
      <c r="I518" s="135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5.75" customHeight="1" x14ac:dyDescent="0.35">
      <c r="A519" s="3"/>
      <c r="B519" s="3"/>
      <c r="C519" s="3"/>
      <c r="D519" s="3"/>
      <c r="E519" s="3"/>
      <c r="F519" s="3"/>
      <c r="G519" s="3"/>
      <c r="H519" s="3"/>
      <c r="I519" s="135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5.75" customHeight="1" x14ac:dyDescent="0.35">
      <c r="A520" s="3"/>
      <c r="B520" s="3"/>
      <c r="C520" s="3"/>
      <c r="D520" s="3"/>
      <c r="E520" s="3"/>
      <c r="F520" s="3"/>
      <c r="G520" s="3"/>
      <c r="H520" s="3"/>
      <c r="I520" s="135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5.75" customHeight="1" x14ac:dyDescent="0.35">
      <c r="A521" s="3"/>
      <c r="B521" s="3"/>
      <c r="C521" s="3"/>
      <c r="D521" s="3"/>
      <c r="E521" s="3"/>
      <c r="F521" s="3"/>
      <c r="G521" s="3"/>
      <c r="H521" s="3"/>
      <c r="I521" s="135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5.75" customHeight="1" x14ac:dyDescent="0.35">
      <c r="A522" s="3"/>
      <c r="B522" s="3"/>
      <c r="C522" s="3"/>
      <c r="D522" s="3"/>
      <c r="E522" s="3"/>
      <c r="F522" s="3"/>
      <c r="G522" s="3"/>
      <c r="H522" s="3"/>
      <c r="I522" s="135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5.75" customHeight="1" x14ac:dyDescent="0.35">
      <c r="A523" s="3"/>
      <c r="B523" s="3"/>
      <c r="C523" s="3"/>
      <c r="D523" s="3"/>
      <c r="E523" s="3"/>
      <c r="F523" s="3"/>
      <c r="G523" s="3"/>
      <c r="H523" s="3"/>
      <c r="I523" s="135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5.75" customHeight="1" x14ac:dyDescent="0.35">
      <c r="A524" s="3"/>
      <c r="B524" s="3"/>
      <c r="C524" s="3"/>
      <c r="D524" s="3"/>
      <c r="E524" s="3"/>
      <c r="F524" s="3"/>
      <c r="G524" s="3"/>
      <c r="H524" s="3"/>
      <c r="I524" s="135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5.75" customHeight="1" x14ac:dyDescent="0.35">
      <c r="A525" s="3"/>
      <c r="B525" s="3"/>
      <c r="C525" s="3"/>
      <c r="D525" s="3"/>
      <c r="E525" s="3"/>
      <c r="F525" s="3"/>
      <c r="G525" s="3"/>
      <c r="H525" s="3"/>
      <c r="I525" s="135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5.75" customHeight="1" x14ac:dyDescent="0.35">
      <c r="A526" s="3"/>
      <c r="B526" s="3"/>
      <c r="C526" s="3"/>
      <c r="D526" s="3"/>
      <c r="E526" s="3"/>
      <c r="F526" s="3"/>
      <c r="G526" s="3"/>
      <c r="H526" s="3"/>
      <c r="I526" s="135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5.75" customHeight="1" x14ac:dyDescent="0.35">
      <c r="A527" s="3"/>
      <c r="B527" s="3"/>
      <c r="C527" s="3"/>
      <c r="D527" s="3"/>
      <c r="E527" s="3"/>
      <c r="F527" s="3"/>
      <c r="G527" s="3"/>
      <c r="H527" s="3"/>
      <c r="I527" s="135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5.75" customHeight="1" x14ac:dyDescent="0.35">
      <c r="A528" s="3"/>
      <c r="B528" s="3"/>
      <c r="C528" s="3"/>
      <c r="D528" s="3"/>
      <c r="E528" s="3"/>
      <c r="F528" s="3"/>
      <c r="G528" s="3"/>
      <c r="H528" s="3"/>
      <c r="I528" s="135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5.75" customHeight="1" x14ac:dyDescent="0.35">
      <c r="A529" s="3"/>
      <c r="B529" s="3"/>
      <c r="C529" s="3"/>
      <c r="D529" s="3"/>
      <c r="E529" s="3"/>
      <c r="F529" s="3"/>
      <c r="G529" s="3"/>
      <c r="H529" s="3"/>
      <c r="I529" s="135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5.75" customHeight="1" x14ac:dyDescent="0.35">
      <c r="A530" s="3"/>
      <c r="B530" s="3"/>
      <c r="C530" s="3"/>
      <c r="D530" s="3"/>
      <c r="E530" s="3"/>
      <c r="F530" s="3"/>
      <c r="G530" s="3"/>
      <c r="H530" s="3"/>
      <c r="I530" s="135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5.75" customHeight="1" x14ac:dyDescent="0.35">
      <c r="A531" s="3"/>
      <c r="B531" s="3"/>
      <c r="C531" s="3"/>
      <c r="D531" s="3"/>
      <c r="E531" s="3"/>
      <c r="F531" s="3"/>
      <c r="G531" s="3"/>
      <c r="H531" s="3"/>
      <c r="I531" s="135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5.75" customHeight="1" x14ac:dyDescent="0.35">
      <c r="A532" s="3"/>
      <c r="B532" s="3"/>
      <c r="C532" s="3"/>
      <c r="D532" s="3"/>
      <c r="E532" s="3"/>
      <c r="F532" s="3"/>
      <c r="G532" s="3"/>
      <c r="H532" s="3"/>
      <c r="I532" s="135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5.75" customHeight="1" x14ac:dyDescent="0.35">
      <c r="A533" s="3"/>
      <c r="B533" s="3"/>
      <c r="C533" s="3"/>
      <c r="D533" s="3"/>
      <c r="E533" s="3"/>
      <c r="F533" s="3"/>
      <c r="G533" s="3"/>
      <c r="H533" s="3"/>
      <c r="I533" s="135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5.75" customHeight="1" x14ac:dyDescent="0.35">
      <c r="A534" s="3"/>
      <c r="B534" s="3"/>
      <c r="C534" s="3"/>
      <c r="D534" s="3"/>
      <c r="E534" s="3"/>
      <c r="F534" s="3"/>
      <c r="G534" s="3"/>
      <c r="H534" s="3"/>
      <c r="I534" s="135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5.75" customHeight="1" x14ac:dyDescent="0.35">
      <c r="A535" s="3"/>
      <c r="B535" s="3"/>
      <c r="C535" s="3"/>
      <c r="D535" s="3"/>
      <c r="E535" s="3"/>
      <c r="F535" s="3"/>
      <c r="G535" s="3"/>
      <c r="H535" s="3"/>
      <c r="I535" s="135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5.75" customHeight="1" x14ac:dyDescent="0.35">
      <c r="A536" s="3"/>
      <c r="B536" s="3"/>
      <c r="C536" s="3"/>
      <c r="D536" s="3"/>
      <c r="E536" s="3"/>
      <c r="F536" s="3"/>
      <c r="G536" s="3"/>
      <c r="H536" s="3"/>
      <c r="I536" s="135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5.75" customHeight="1" x14ac:dyDescent="0.35">
      <c r="A537" s="3"/>
      <c r="B537" s="3"/>
      <c r="C537" s="3"/>
      <c r="D537" s="3"/>
      <c r="E537" s="3"/>
      <c r="F537" s="3"/>
      <c r="G537" s="3"/>
      <c r="H537" s="3"/>
      <c r="I537" s="135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5.75" customHeight="1" x14ac:dyDescent="0.35">
      <c r="A538" s="3"/>
      <c r="B538" s="3"/>
      <c r="C538" s="3"/>
      <c r="D538" s="3"/>
      <c r="E538" s="3"/>
      <c r="F538" s="3"/>
      <c r="G538" s="3"/>
      <c r="H538" s="3"/>
      <c r="I538" s="135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5.75" customHeight="1" x14ac:dyDescent="0.35">
      <c r="A539" s="3"/>
      <c r="B539" s="3"/>
      <c r="C539" s="3"/>
      <c r="D539" s="3"/>
      <c r="E539" s="3"/>
      <c r="F539" s="3"/>
      <c r="G539" s="3"/>
      <c r="H539" s="3"/>
      <c r="I539" s="135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5.75" customHeight="1" x14ac:dyDescent="0.35">
      <c r="A540" s="3"/>
      <c r="B540" s="3"/>
      <c r="C540" s="3"/>
      <c r="D540" s="3"/>
      <c r="E540" s="3"/>
      <c r="F540" s="3"/>
      <c r="G540" s="3"/>
      <c r="H540" s="3"/>
      <c r="I540" s="135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5.75" customHeight="1" x14ac:dyDescent="0.35">
      <c r="A541" s="3"/>
      <c r="B541" s="3"/>
      <c r="C541" s="3"/>
      <c r="D541" s="3"/>
      <c r="E541" s="3"/>
      <c r="F541" s="3"/>
      <c r="G541" s="3"/>
      <c r="H541" s="3"/>
      <c r="I541" s="135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5.75" customHeight="1" x14ac:dyDescent="0.35">
      <c r="A542" s="3"/>
      <c r="B542" s="3"/>
      <c r="C542" s="3"/>
      <c r="D542" s="3"/>
      <c r="E542" s="3"/>
      <c r="F542" s="3"/>
      <c r="G542" s="3"/>
      <c r="H542" s="3"/>
      <c r="I542" s="135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5.75" customHeight="1" x14ac:dyDescent="0.35">
      <c r="A543" s="3"/>
      <c r="B543" s="3"/>
      <c r="C543" s="3"/>
      <c r="D543" s="3"/>
      <c r="E543" s="3"/>
      <c r="F543" s="3"/>
      <c r="G543" s="3"/>
      <c r="H543" s="3"/>
      <c r="I543" s="135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5.75" customHeight="1" x14ac:dyDescent="0.35">
      <c r="A544" s="3"/>
      <c r="B544" s="3"/>
      <c r="C544" s="3"/>
      <c r="D544" s="3"/>
      <c r="E544" s="3"/>
      <c r="F544" s="3"/>
      <c r="G544" s="3"/>
      <c r="H544" s="3"/>
      <c r="I544" s="135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5.75" customHeight="1" x14ac:dyDescent="0.35">
      <c r="A545" s="3"/>
      <c r="B545" s="3"/>
      <c r="C545" s="3"/>
      <c r="D545" s="3"/>
      <c r="E545" s="3"/>
      <c r="F545" s="3"/>
      <c r="G545" s="3"/>
      <c r="H545" s="3"/>
      <c r="I545" s="135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5.75" customHeight="1" x14ac:dyDescent="0.35">
      <c r="A546" s="3"/>
      <c r="B546" s="3"/>
      <c r="C546" s="3"/>
      <c r="D546" s="3"/>
      <c r="E546" s="3"/>
      <c r="F546" s="3"/>
      <c r="G546" s="3"/>
      <c r="H546" s="3"/>
      <c r="I546" s="135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5.75" customHeight="1" x14ac:dyDescent="0.35">
      <c r="A547" s="3"/>
      <c r="B547" s="3"/>
      <c r="C547" s="3"/>
      <c r="D547" s="3"/>
      <c r="E547" s="3"/>
      <c r="F547" s="3"/>
      <c r="G547" s="3"/>
      <c r="H547" s="3"/>
      <c r="I547" s="135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5.75" customHeight="1" x14ac:dyDescent="0.35">
      <c r="A548" s="3"/>
      <c r="B548" s="3"/>
      <c r="C548" s="3"/>
      <c r="D548" s="3"/>
      <c r="E548" s="3"/>
      <c r="F548" s="3"/>
      <c r="G548" s="3"/>
      <c r="H548" s="3"/>
      <c r="I548" s="135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5.75" customHeight="1" x14ac:dyDescent="0.35">
      <c r="A549" s="3"/>
      <c r="B549" s="3"/>
      <c r="C549" s="3"/>
      <c r="D549" s="3"/>
      <c r="E549" s="3"/>
      <c r="F549" s="3"/>
      <c r="G549" s="3"/>
      <c r="H549" s="3"/>
      <c r="I549" s="135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5.75" customHeight="1" x14ac:dyDescent="0.35">
      <c r="A550" s="3"/>
      <c r="B550" s="3"/>
      <c r="C550" s="3"/>
      <c r="D550" s="3"/>
      <c r="E550" s="3"/>
      <c r="F550" s="3"/>
      <c r="G550" s="3"/>
      <c r="H550" s="3"/>
      <c r="I550" s="135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5.75" customHeight="1" x14ac:dyDescent="0.35">
      <c r="A551" s="3"/>
      <c r="B551" s="3"/>
      <c r="C551" s="3"/>
      <c r="D551" s="3"/>
      <c r="E551" s="3"/>
      <c r="F551" s="3"/>
      <c r="G551" s="3"/>
      <c r="H551" s="3"/>
      <c r="I551" s="135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5.75" customHeight="1" x14ac:dyDescent="0.35">
      <c r="A552" s="3"/>
      <c r="B552" s="3"/>
      <c r="C552" s="3"/>
      <c r="D552" s="3"/>
      <c r="E552" s="3"/>
      <c r="F552" s="3"/>
      <c r="G552" s="3"/>
      <c r="H552" s="3"/>
      <c r="I552" s="135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5.75" customHeight="1" x14ac:dyDescent="0.35">
      <c r="A553" s="3"/>
      <c r="B553" s="3"/>
      <c r="C553" s="3"/>
      <c r="D553" s="3"/>
      <c r="E553" s="3"/>
      <c r="F553" s="3"/>
      <c r="G553" s="3"/>
      <c r="H553" s="3"/>
      <c r="I553" s="135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5.75" customHeight="1" x14ac:dyDescent="0.35">
      <c r="A554" s="3"/>
      <c r="B554" s="3"/>
      <c r="C554" s="3"/>
      <c r="D554" s="3"/>
      <c r="E554" s="3"/>
      <c r="F554" s="3"/>
      <c r="G554" s="3"/>
      <c r="H554" s="3"/>
      <c r="I554" s="135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5.75" customHeight="1" x14ac:dyDescent="0.35">
      <c r="A555" s="3"/>
      <c r="B555" s="3"/>
      <c r="C555" s="3"/>
      <c r="D555" s="3"/>
      <c r="E555" s="3"/>
      <c r="F555" s="3"/>
      <c r="G555" s="3"/>
      <c r="H555" s="3"/>
      <c r="I555" s="135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5.75" customHeight="1" x14ac:dyDescent="0.35">
      <c r="A556" s="3"/>
      <c r="B556" s="3"/>
      <c r="C556" s="3"/>
      <c r="D556" s="3"/>
      <c r="E556" s="3"/>
      <c r="F556" s="3"/>
      <c r="G556" s="3"/>
      <c r="H556" s="3"/>
      <c r="I556" s="135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5.75" customHeight="1" x14ac:dyDescent="0.35">
      <c r="A557" s="3"/>
      <c r="B557" s="3"/>
      <c r="C557" s="3"/>
      <c r="D557" s="3"/>
      <c r="E557" s="3"/>
      <c r="F557" s="3"/>
      <c r="G557" s="3"/>
      <c r="H557" s="3"/>
      <c r="I557" s="135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5.75" customHeight="1" x14ac:dyDescent="0.35">
      <c r="A558" s="3"/>
      <c r="B558" s="3"/>
      <c r="C558" s="3"/>
      <c r="D558" s="3"/>
      <c r="E558" s="3"/>
      <c r="F558" s="3"/>
      <c r="G558" s="3"/>
      <c r="H558" s="3"/>
      <c r="I558" s="135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5.75" customHeight="1" x14ac:dyDescent="0.35">
      <c r="A559" s="3"/>
      <c r="B559" s="3"/>
      <c r="C559" s="3"/>
      <c r="D559" s="3"/>
      <c r="E559" s="3"/>
      <c r="F559" s="3"/>
      <c r="G559" s="3"/>
      <c r="H559" s="3"/>
      <c r="I559" s="135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5.75" customHeight="1" x14ac:dyDescent="0.35">
      <c r="A560" s="3"/>
      <c r="B560" s="3"/>
      <c r="C560" s="3"/>
      <c r="D560" s="3"/>
      <c r="E560" s="3"/>
      <c r="F560" s="3"/>
      <c r="G560" s="3"/>
      <c r="H560" s="3"/>
      <c r="I560" s="135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5.75" customHeight="1" x14ac:dyDescent="0.35">
      <c r="A561" s="3"/>
      <c r="B561" s="3"/>
      <c r="C561" s="3"/>
      <c r="D561" s="3"/>
      <c r="E561" s="3"/>
      <c r="F561" s="3"/>
      <c r="G561" s="3"/>
      <c r="H561" s="3"/>
      <c r="I561" s="135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5.75" customHeight="1" x14ac:dyDescent="0.35">
      <c r="A562" s="3"/>
      <c r="B562" s="3"/>
      <c r="C562" s="3"/>
      <c r="D562" s="3"/>
      <c r="E562" s="3"/>
      <c r="F562" s="3"/>
      <c r="G562" s="3"/>
      <c r="H562" s="3"/>
      <c r="I562" s="135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5.75" customHeight="1" x14ac:dyDescent="0.35">
      <c r="A563" s="3"/>
      <c r="B563" s="3"/>
      <c r="C563" s="3"/>
      <c r="D563" s="3"/>
      <c r="E563" s="3"/>
      <c r="F563" s="3"/>
      <c r="G563" s="3"/>
      <c r="H563" s="3"/>
      <c r="I563" s="135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5.75" customHeight="1" x14ac:dyDescent="0.35">
      <c r="A564" s="3"/>
      <c r="B564" s="3"/>
      <c r="C564" s="3"/>
      <c r="D564" s="3"/>
      <c r="E564" s="3"/>
      <c r="F564" s="3"/>
      <c r="G564" s="3"/>
      <c r="H564" s="3"/>
      <c r="I564" s="135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5.75" customHeight="1" x14ac:dyDescent="0.35">
      <c r="A565" s="3"/>
      <c r="B565" s="3"/>
      <c r="C565" s="3"/>
      <c r="D565" s="3"/>
      <c r="E565" s="3"/>
      <c r="F565" s="3"/>
      <c r="G565" s="3"/>
      <c r="H565" s="3"/>
      <c r="I565" s="135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5.75" customHeight="1" x14ac:dyDescent="0.35">
      <c r="A566" s="3"/>
      <c r="B566" s="3"/>
      <c r="C566" s="3"/>
      <c r="D566" s="3"/>
      <c r="E566" s="3"/>
      <c r="F566" s="3"/>
      <c r="G566" s="3"/>
      <c r="H566" s="3"/>
      <c r="I566" s="135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5.75" customHeight="1" x14ac:dyDescent="0.35">
      <c r="A567" s="3"/>
      <c r="B567" s="3"/>
      <c r="C567" s="3"/>
      <c r="D567" s="3"/>
      <c r="E567" s="3"/>
      <c r="F567" s="3"/>
      <c r="G567" s="3"/>
      <c r="H567" s="3"/>
      <c r="I567" s="135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5.75" customHeight="1" x14ac:dyDescent="0.35">
      <c r="A568" s="3"/>
      <c r="B568" s="3"/>
      <c r="C568" s="3"/>
      <c r="D568" s="3"/>
      <c r="E568" s="3"/>
      <c r="F568" s="3"/>
      <c r="G568" s="3"/>
      <c r="H568" s="3"/>
      <c r="I568" s="135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5.75" customHeight="1" x14ac:dyDescent="0.35">
      <c r="A569" s="3"/>
      <c r="B569" s="3"/>
      <c r="C569" s="3"/>
      <c r="D569" s="3"/>
      <c r="E569" s="3"/>
      <c r="F569" s="3"/>
      <c r="G569" s="3"/>
      <c r="H569" s="3"/>
      <c r="I569" s="135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5.75" customHeight="1" x14ac:dyDescent="0.35">
      <c r="A570" s="3"/>
      <c r="B570" s="3"/>
      <c r="C570" s="3"/>
      <c r="D570" s="3"/>
      <c r="E570" s="3"/>
      <c r="F570" s="3"/>
      <c r="G570" s="3"/>
      <c r="H570" s="3"/>
      <c r="I570" s="135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5.75" customHeight="1" x14ac:dyDescent="0.35">
      <c r="A571" s="3"/>
      <c r="B571" s="3"/>
      <c r="C571" s="3"/>
      <c r="D571" s="3"/>
      <c r="E571" s="3"/>
      <c r="F571" s="3"/>
      <c r="G571" s="3"/>
      <c r="H571" s="3"/>
      <c r="I571" s="135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5.75" customHeight="1" x14ac:dyDescent="0.35">
      <c r="A572" s="3"/>
      <c r="B572" s="3"/>
      <c r="C572" s="3"/>
      <c r="D572" s="3"/>
      <c r="E572" s="3"/>
      <c r="F572" s="3"/>
      <c r="G572" s="3"/>
      <c r="H572" s="3"/>
      <c r="I572" s="135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5.75" customHeight="1" x14ac:dyDescent="0.35">
      <c r="A573" s="3"/>
      <c r="B573" s="3"/>
      <c r="C573" s="3"/>
      <c r="D573" s="3"/>
      <c r="E573" s="3"/>
      <c r="F573" s="3"/>
      <c r="G573" s="3"/>
      <c r="H573" s="3"/>
      <c r="I573" s="135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5.75" customHeight="1" x14ac:dyDescent="0.35">
      <c r="A574" s="3"/>
      <c r="B574" s="3"/>
      <c r="C574" s="3"/>
      <c r="D574" s="3"/>
      <c r="E574" s="3"/>
      <c r="F574" s="3"/>
      <c r="G574" s="3"/>
      <c r="H574" s="3"/>
      <c r="I574" s="135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5.75" customHeight="1" x14ac:dyDescent="0.35">
      <c r="A575" s="3"/>
      <c r="B575" s="3"/>
      <c r="C575" s="3"/>
      <c r="D575" s="3"/>
      <c r="E575" s="3"/>
      <c r="F575" s="3"/>
      <c r="G575" s="3"/>
      <c r="H575" s="3"/>
      <c r="I575" s="135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5.75" customHeight="1" x14ac:dyDescent="0.35">
      <c r="A576" s="3"/>
      <c r="B576" s="3"/>
      <c r="C576" s="3"/>
      <c r="D576" s="3"/>
      <c r="E576" s="3"/>
      <c r="F576" s="3"/>
      <c r="G576" s="3"/>
      <c r="H576" s="3"/>
      <c r="I576" s="135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5.75" customHeight="1" x14ac:dyDescent="0.35">
      <c r="A577" s="3"/>
      <c r="B577" s="3"/>
      <c r="C577" s="3"/>
      <c r="D577" s="3"/>
      <c r="E577" s="3"/>
      <c r="F577" s="3"/>
      <c r="G577" s="3"/>
      <c r="H577" s="3"/>
      <c r="I577" s="135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5.75" customHeight="1" x14ac:dyDescent="0.35">
      <c r="A578" s="3"/>
      <c r="B578" s="3"/>
      <c r="C578" s="3"/>
      <c r="D578" s="3"/>
      <c r="E578" s="3"/>
      <c r="F578" s="3"/>
      <c r="G578" s="3"/>
      <c r="H578" s="3"/>
      <c r="I578" s="135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5.75" customHeight="1" x14ac:dyDescent="0.35">
      <c r="A579" s="3"/>
      <c r="B579" s="3"/>
      <c r="C579" s="3"/>
      <c r="D579" s="3"/>
      <c r="E579" s="3"/>
      <c r="F579" s="3"/>
      <c r="G579" s="3"/>
      <c r="H579" s="3"/>
      <c r="I579" s="135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5.75" customHeight="1" x14ac:dyDescent="0.35">
      <c r="A580" s="3"/>
      <c r="B580" s="3"/>
      <c r="C580" s="3"/>
      <c r="D580" s="3"/>
      <c r="E580" s="3"/>
      <c r="F580" s="3"/>
      <c r="G580" s="3"/>
      <c r="H580" s="3"/>
      <c r="I580" s="135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5.75" customHeight="1" x14ac:dyDescent="0.35">
      <c r="A581" s="3"/>
      <c r="B581" s="3"/>
      <c r="C581" s="3"/>
      <c r="D581" s="3"/>
      <c r="E581" s="3"/>
      <c r="F581" s="3"/>
      <c r="G581" s="3"/>
      <c r="H581" s="3"/>
      <c r="I581" s="135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5.75" customHeight="1" x14ac:dyDescent="0.35">
      <c r="A582" s="3"/>
      <c r="B582" s="3"/>
      <c r="C582" s="3"/>
      <c r="D582" s="3"/>
      <c r="E582" s="3"/>
      <c r="F582" s="3"/>
      <c r="G582" s="3"/>
      <c r="H582" s="3"/>
      <c r="I582" s="135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5.75" customHeight="1" x14ac:dyDescent="0.35">
      <c r="A583" s="3"/>
      <c r="B583" s="3"/>
      <c r="C583" s="3"/>
      <c r="D583" s="3"/>
      <c r="E583" s="3"/>
      <c r="F583" s="3"/>
      <c r="G583" s="3"/>
      <c r="H583" s="3"/>
      <c r="I583" s="135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5.75" customHeight="1" x14ac:dyDescent="0.35">
      <c r="A584" s="3"/>
      <c r="B584" s="3"/>
      <c r="C584" s="3"/>
      <c r="D584" s="3"/>
      <c r="E584" s="3"/>
      <c r="F584" s="3"/>
      <c r="G584" s="3"/>
      <c r="H584" s="3"/>
      <c r="I584" s="135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5.75" customHeight="1" x14ac:dyDescent="0.35">
      <c r="A585" s="3"/>
      <c r="B585" s="3"/>
      <c r="C585" s="3"/>
      <c r="D585" s="3"/>
      <c r="E585" s="3"/>
      <c r="F585" s="3"/>
      <c r="G585" s="3"/>
      <c r="H585" s="3"/>
      <c r="I585" s="135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5.75" customHeight="1" x14ac:dyDescent="0.35">
      <c r="A586" s="3"/>
      <c r="B586" s="3"/>
      <c r="C586" s="3"/>
      <c r="D586" s="3"/>
      <c r="E586" s="3"/>
      <c r="F586" s="3"/>
      <c r="G586" s="3"/>
      <c r="H586" s="3"/>
      <c r="I586" s="135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5.75" customHeight="1" x14ac:dyDescent="0.35">
      <c r="A587" s="3"/>
      <c r="B587" s="3"/>
      <c r="C587" s="3"/>
      <c r="D587" s="3"/>
      <c r="E587" s="3"/>
      <c r="F587" s="3"/>
      <c r="G587" s="3"/>
      <c r="H587" s="3"/>
      <c r="I587" s="135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5.75" customHeight="1" x14ac:dyDescent="0.35">
      <c r="A588" s="3"/>
      <c r="B588" s="3"/>
      <c r="C588" s="3"/>
      <c r="D588" s="3"/>
      <c r="E588" s="3"/>
      <c r="F588" s="3"/>
      <c r="G588" s="3"/>
      <c r="H588" s="3"/>
      <c r="I588" s="135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5.75" customHeight="1" x14ac:dyDescent="0.35">
      <c r="A589" s="3"/>
      <c r="B589" s="3"/>
      <c r="C589" s="3"/>
      <c r="D589" s="3"/>
      <c r="E589" s="3"/>
      <c r="F589" s="3"/>
      <c r="G589" s="3"/>
      <c r="H589" s="3"/>
      <c r="I589" s="135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5.75" customHeight="1" x14ac:dyDescent="0.35">
      <c r="A590" s="3"/>
      <c r="B590" s="3"/>
      <c r="C590" s="3"/>
      <c r="D590" s="3"/>
      <c r="E590" s="3"/>
      <c r="F590" s="3"/>
      <c r="G590" s="3"/>
      <c r="H590" s="3"/>
      <c r="I590" s="135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5.75" customHeight="1" x14ac:dyDescent="0.35">
      <c r="A591" s="3"/>
      <c r="B591" s="3"/>
      <c r="C591" s="3"/>
      <c r="D591" s="3"/>
      <c r="E591" s="3"/>
      <c r="F591" s="3"/>
      <c r="G591" s="3"/>
      <c r="H591" s="3"/>
      <c r="I591" s="135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5.75" customHeight="1" x14ac:dyDescent="0.35">
      <c r="A592" s="3"/>
      <c r="B592" s="3"/>
      <c r="C592" s="3"/>
      <c r="D592" s="3"/>
      <c r="E592" s="3"/>
      <c r="F592" s="3"/>
      <c r="G592" s="3"/>
      <c r="H592" s="3"/>
      <c r="I592" s="135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5.75" customHeight="1" x14ac:dyDescent="0.35">
      <c r="A593" s="3"/>
      <c r="B593" s="3"/>
      <c r="C593" s="3"/>
      <c r="D593" s="3"/>
      <c r="E593" s="3"/>
      <c r="F593" s="3"/>
      <c r="G593" s="3"/>
      <c r="H593" s="3"/>
      <c r="I593" s="135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5.75" customHeight="1" x14ac:dyDescent="0.35">
      <c r="A594" s="3"/>
      <c r="B594" s="3"/>
      <c r="C594" s="3"/>
      <c r="D594" s="3"/>
      <c r="E594" s="3"/>
      <c r="F594" s="3"/>
      <c r="G594" s="3"/>
      <c r="H594" s="3"/>
      <c r="I594" s="135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5.75" customHeight="1" x14ac:dyDescent="0.35">
      <c r="A595" s="3"/>
      <c r="B595" s="3"/>
      <c r="C595" s="3"/>
      <c r="D595" s="3"/>
      <c r="E595" s="3"/>
      <c r="F595" s="3"/>
      <c r="G595" s="3"/>
      <c r="H595" s="3"/>
      <c r="I595" s="135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5.75" customHeight="1" x14ac:dyDescent="0.35">
      <c r="A596" s="3"/>
      <c r="B596" s="3"/>
      <c r="C596" s="3"/>
      <c r="D596" s="3"/>
      <c r="E596" s="3"/>
      <c r="F596" s="3"/>
      <c r="G596" s="3"/>
      <c r="H596" s="3"/>
      <c r="I596" s="135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5.75" customHeight="1" x14ac:dyDescent="0.35">
      <c r="A597" s="3"/>
      <c r="B597" s="3"/>
      <c r="C597" s="3"/>
      <c r="D597" s="3"/>
      <c r="E597" s="3"/>
      <c r="F597" s="3"/>
      <c r="G597" s="3"/>
      <c r="H597" s="3"/>
      <c r="I597" s="135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5.75" customHeight="1" x14ac:dyDescent="0.35">
      <c r="A598" s="3"/>
      <c r="B598" s="3"/>
      <c r="C598" s="3"/>
      <c r="D598" s="3"/>
      <c r="E598" s="3"/>
      <c r="F598" s="3"/>
      <c r="G598" s="3"/>
      <c r="H598" s="3"/>
      <c r="I598" s="135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5.75" customHeight="1" x14ac:dyDescent="0.35">
      <c r="A599" s="3"/>
      <c r="B599" s="3"/>
      <c r="C599" s="3"/>
      <c r="D599" s="3"/>
      <c r="E599" s="3"/>
      <c r="F599" s="3"/>
      <c r="G599" s="3"/>
      <c r="H599" s="3"/>
      <c r="I599" s="135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5.75" customHeight="1" x14ac:dyDescent="0.35">
      <c r="A600" s="3"/>
      <c r="B600" s="3"/>
      <c r="C600" s="3"/>
      <c r="D600" s="3"/>
      <c r="E600" s="3"/>
      <c r="F600" s="3"/>
      <c r="G600" s="3"/>
      <c r="H600" s="3"/>
      <c r="I600" s="135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5.75" customHeight="1" x14ac:dyDescent="0.35">
      <c r="A601" s="3"/>
      <c r="B601" s="3"/>
      <c r="C601" s="3"/>
      <c r="D601" s="3"/>
      <c r="E601" s="3"/>
      <c r="F601" s="3"/>
      <c r="G601" s="3"/>
      <c r="H601" s="3"/>
      <c r="I601" s="135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5.75" customHeight="1" x14ac:dyDescent="0.35">
      <c r="A602" s="3"/>
      <c r="B602" s="3"/>
      <c r="C602" s="3"/>
      <c r="D602" s="3"/>
      <c r="E602" s="3"/>
      <c r="F602" s="3"/>
      <c r="G602" s="3"/>
      <c r="H602" s="3"/>
      <c r="I602" s="135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5.75" customHeight="1" x14ac:dyDescent="0.35">
      <c r="A603" s="3"/>
      <c r="B603" s="3"/>
      <c r="C603" s="3"/>
      <c r="D603" s="3"/>
      <c r="E603" s="3"/>
      <c r="F603" s="3"/>
      <c r="G603" s="3"/>
      <c r="H603" s="3"/>
      <c r="I603" s="135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5.75" customHeight="1" x14ac:dyDescent="0.35">
      <c r="A604" s="3"/>
      <c r="B604" s="3"/>
      <c r="C604" s="3"/>
      <c r="D604" s="3"/>
      <c r="E604" s="3"/>
      <c r="F604" s="3"/>
      <c r="G604" s="3"/>
      <c r="H604" s="3"/>
      <c r="I604" s="135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5.75" customHeight="1" x14ac:dyDescent="0.35">
      <c r="A605" s="3"/>
      <c r="B605" s="3"/>
      <c r="C605" s="3"/>
      <c r="D605" s="3"/>
      <c r="E605" s="3"/>
      <c r="F605" s="3"/>
      <c r="G605" s="3"/>
      <c r="H605" s="3"/>
      <c r="I605" s="135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5.75" customHeight="1" x14ac:dyDescent="0.35">
      <c r="A606" s="3"/>
      <c r="B606" s="3"/>
      <c r="C606" s="3"/>
      <c r="D606" s="3"/>
      <c r="E606" s="3"/>
      <c r="F606" s="3"/>
      <c r="G606" s="3"/>
      <c r="H606" s="3"/>
      <c r="I606" s="135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5.75" customHeight="1" x14ac:dyDescent="0.35">
      <c r="A607" s="3"/>
      <c r="B607" s="3"/>
      <c r="C607" s="3"/>
      <c r="D607" s="3"/>
      <c r="E607" s="3"/>
      <c r="F607" s="3"/>
      <c r="G607" s="3"/>
      <c r="H607" s="3"/>
      <c r="I607" s="135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5.75" customHeight="1" x14ac:dyDescent="0.35">
      <c r="A608" s="3"/>
      <c r="B608" s="3"/>
      <c r="C608" s="3"/>
      <c r="D608" s="3"/>
      <c r="E608" s="3"/>
      <c r="F608" s="3"/>
      <c r="G608" s="3"/>
      <c r="H608" s="3"/>
      <c r="I608" s="135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5.75" customHeight="1" x14ac:dyDescent="0.35">
      <c r="A609" s="3"/>
      <c r="B609" s="3"/>
      <c r="C609" s="3"/>
      <c r="D609" s="3"/>
      <c r="E609" s="3"/>
      <c r="F609" s="3"/>
      <c r="G609" s="3"/>
      <c r="H609" s="3"/>
      <c r="I609" s="135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5.75" customHeight="1" x14ac:dyDescent="0.35">
      <c r="A610" s="3"/>
      <c r="B610" s="3"/>
      <c r="C610" s="3"/>
      <c r="D610" s="3"/>
      <c r="E610" s="3"/>
      <c r="F610" s="3"/>
      <c r="G610" s="3"/>
      <c r="H610" s="3"/>
      <c r="I610" s="135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5.75" customHeight="1" x14ac:dyDescent="0.35">
      <c r="A611" s="3"/>
      <c r="B611" s="3"/>
      <c r="C611" s="3"/>
      <c r="D611" s="3"/>
      <c r="E611" s="3"/>
      <c r="F611" s="3"/>
      <c r="G611" s="3"/>
      <c r="H611" s="3"/>
      <c r="I611" s="135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5.75" customHeight="1" x14ac:dyDescent="0.35">
      <c r="A612" s="3"/>
      <c r="B612" s="3"/>
      <c r="C612" s="3"/>
      <c r="D612" s="3"/>
      <c r="E612" s="3"/>
      <c r="F612" s="3"/>
      <c r="G612" s="3"/>
      <c r="H612" s="3"/>
      <c r="I612" s="135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5.75" customHeight="1" x14ac:dyDescent="0.35">
      <c r="A613" s="3"/>
      <c r="B613" s="3"/>
      <c r="C613" s="3"/>
      <c r="D613" s="3"/>
      <c r="E613" s="3"/>
      <c r="F613" s="3"/>
      <c r="G613" s="3"/>
      <c r="H613" s="3"/>
      <c r="I613" s="135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5.75" customHeight="1" x14ac:dyDescent="0.35">
      <c r="A614" s="3"/>
      <c r="B614" s="3"/>
      <c r="C614" s="3"/>
      <c r="D614" s="3"/>
      <c r="E614" s="3"/>
      <c r="F614" s="3"/>
      <c r="G614" s="3"/>
      <c r="H614" s="3"/>
      <c r="I614" s="135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5.75" customHeight="1" x14ac:dyDescent="0.35">
      <c r="A615" s="3"/>
      <c r="B615" s="3"/>
      <c r="C615" s="3"/>
      <c r="D615" s="3"/>
      <c r="E615" s="3"/>
      <c r="F615" s="3"/>
      <c r="G615" s="3"/>
      <c r="H615" s="3"/>
      <c r="I615" s="135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5.75" customHeight="1" x14ac:dyDescent="0.35">
      <c r="A616" s="3"/>
      <c r="B616" s="3"/>
      <c r="C616" s="3"/>
      <c r="D616" s="3"/>
      <c r="E616" s="3"/>
      <c r="F616" s="3"/>
      <c r="G616" s="3"/>
      <c r="H616" s="3"/>
      <c r="I616" s="135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5.75" customHeight="1" x14ac:dyDescent="0.35">
      <c r="A617" s="3"/>
      <c r="B617" s="3"/>
      <c r="C617" s="3"/>
      <c r="D617" s="3"/>
      <c r="E617" s="3"/>
      <c r="F617" s="3"/>
      <c r="G617" s="3"/>
      <c r="H617" s="3"/>
      <c r="I617" s="135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5.75" customHeight="1" x14ac:dyDescent="0.35">
      <c r="A618" s="3"/>
      <c r="B618" s="3"/>
      <c r="C618" s="3"/>
      <c r="D618" s="3"/>
      <c r="E618" s="3"/>
      <c r="F618" s="3"/>
      <c r="G618" s="3"/>
      <c r="H618" s="3"/>
      <c r="I618" s="135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5.75" customHeight="1" x14ac:dyDescent="0.35">
      <c r="A619" s="3"/>
      <c r="B619" s="3"/>
      <c r="C619" s="3"/>
      <c r="D619" s="3"/>
      <c r="E619" s="3"/>
      <c r="F619" s="3"/>
      <c r="G619" s="3"/>
      <c r="H619" s="3"/>
      <c r="I619" s="135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5.75" customHeight="1" x14ac:dyDescent="0.35">
      <c r="A620" s="3"/>
      <c r="B620" s="3"/>
      <c r="C620" s="3"/>
      <c r="D620" s="3"/>
      <c r="E620" s="3"/>
      <c r="F620" s="3"/>
      <c r="G620" s="3"/>
      <c r="H620" s="3"/>
      <c r="I620" s="135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5.75" customHeight="1" x14ac:dyDescent="0.35">
      <c r="A621" s="3"/>
      <c r="B621" s="3"/>
      <c r="C621" s="3"/>
      <c r="D621" s="3"/>
      <c r="E621" s="3"/>
      <c r="F621" s="3"/>
      <c r="G621" s="3"/>
      <c r="H621" s="3"/>
      <c r="I621" s="135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5.75" customHeight="1" x14ac:dyDescent="0.35">
      <c r="A622" s="3"/>
      <c r="B622" s="3"/>
      <c r="C622" s="3"/>
      <c r="D622" s="3"/>
      <c r="E622" s="3"/>
      <c r="F622" s="3"/>
      <c r="G622" s="3"/>
      <c r="H622" s="3"/>
      <c r="I622" s="135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5.75" customHeight="1" x14ac:dyDescent="0.35">
      <c r="A623" s="3"/>
      <c r="B623" s="3"/>
      <c r="C623" s="3"/>
      <c r="D623" s="3"/>
      <c r="E623" s="3"/>
      <c r="F623" s="3"/>
      <c r="G623" s="3"/>
      <c r="H623" s="3"/>
      <c r="I623" s="135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5.75" customHeight="1" x14ac:dyDescent="0.35">
      <c r="A624" s="3"/>
      <c r="B624" s="3"/>
      <c r="C624" s="3"/>
      <c r="D624" s="3"/>
      <c r="E624" s="3"/>
      <c r="F624" s="3"/>
      <c r="G624" s="3"/>
      <c r="H624" s="3"/>
      <c r="I624" s="135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5.75" customHeight="1" x14ac:dyDescent="0.35">
      <c r="A625" s="3"/>
      <c r="B625" s="3"/>
      <c r="C625" s="3"/>
      <c r="D625" s="3"/>
      <c r="E625" s="3"/>
      <c r="F625" s="3"/>
      <c r="G625" s="3"/>
      <c r="H625" s="3"/>
      <c r="I625" s="135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5.75" customHeight="1" x14ac:dyDescent="0.35">
      <c r="A626" s="3"/>
      <c r="B626" s="3"/>
      <c r="C626" s="3"/>
      <c r="D626" s="3"/>
      <c r="E626" s="3"/>
      <c r="F626" s="3"/>
      <c r="G626" s="3"/>
      <c r="H626" s="3"/>
      <c r="I626" s="135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5.75" customHeight="1" x14ac:dyDescent="0.35">
      <c r="A627" s="3"/>
      <c r="B627" s="3"/>
      <c r="C627" s="3"/>
      <c r="D627" s="3"/>
      <c r="E627" s="3"/>
      <c r="F627" s="3"/>
      <c r="G627" s="3"/>
      <c r="H627" s="3"/>
      <c r="I627" s="135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5.75" customHeight="1" x14ac:dyDescent="0.35">
      <c r="A628" s="3"/>
      <c r="B628" s="3"/>
      <c r="C628" s="3"/>
      <c r="D628" s="3"/>
      <c r="E628" s="3"/>
      <c r="F628" s="3"/>
      <c r="G628" s="3"/>
      <c r="H628" s="3"/>
      <c r="I628" s="135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5.75" customHeight="1" x14ac:dyDescent="0.35">
      <c r="A629" s="3"/>
      <c r="B629" s="3"/>
      <c r="C629" s="3"/>
      <c r="D629" s="3"/>
      <c r="E629" s="3"/>
      <c r="F629" s="3"/>
      <c r="G629" s="3"/>
      <c r="H629" s="3"/>
      <c r="I629" s="135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5.75" customHeight="1" x14ac:dyDescent="0.35">
      <c r="A630" s="3"/>
      <c r="B630" s="3"/>
      <c r="C630" s="3"/>
      <c r="D630" s="3"/>
      <c r="E630" s="3"/>
      <c r="F630" s="3"/>
      <c r="G630" s="3"/>
      <c r="H630" s="3"/>
      <c r="I630" s="135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5.75" customHeight="1" x14ac:dyDescent="0.35">
      <c r="A631" s="3"/>
      <c r="B631" s="3"/>
      <c r="C631" s="3"/>
      <c r="D631" s="3"/>
      <c r="E631" s="3"/>
      <c r="F631" s="3"/>
      <c r="G631" s="3"/>
      <c r="H631" s="3"/>
      <c r="I631" s="135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5.75" customHeight="1" x14ac:dyDescent="0.35">
      <c r="A632" s="3"/>
      <c r="B632" s="3"/>
      <c r="C632" s="3"/>
      <c r="D632" s="3"/>
      <c r="E632" s="3"/>
      <c r="F632" s="3"/>
      <c r="G632" s="3"/>
      <c r="H632" s="3"/>
      <c r="I632" s="135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5.75" customHeight="1" x14ac:dyDescent="0.35">
      <c r="A633" s="3"/>
      <c r="B633" s="3"/>
      <c r="C633" s="3"/>
      <c r="D633" s="3"/>
      <c r="E633" s="3"/>
      <c r="F633" s="3"/>
      <c r="G633" s="3"/>
      <c r="H633" s="3"/>
      <c r="I633" s="135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5.75" customHeight="1" x14ac:dyDescent="0.35">
      <c r="A634" s="3"/>
      <c r="B634" s="3"/>
      <c r="C634" s="3"/>
      <c r="D634" s="3"/>
      <c r="E634" s="3"/>
      <c r="F634" s="3"/>
      <c r="G634" s="3"/>
      <c r="H634" s="3"/>
      <c r="I634" s="135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5.75" customHeight="1" x14ac:dyDescent="0.35">
      <c r="A635" s="3"/>
      <c r="B635" s="3"/>
      <c r="C635" s="3"/>
      <c r="D635" s="3"/>
      <c r="E635" s="3"/>
      <c r="F635" s="3"/>
      <c r="G635" s="3"/>
      <c r="H635" s="3"/>
      <c r="I635" s="135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5.75" customHeight="1" x14ac:dyDescent="0.35">
      <c r="A636" s="3"/>
      <c r="B636" s="3"/>
      <c r="C636" s="3"/>
      <c r="D636" s="3"/>
      <c r="E636" s="3"/>
      <c r="F636" s="3"/>
      <c r="G636" s="3"/>
      <c r="H636" s="3"/>
      <c r="I636" s="135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5.75" customHeight="1" x14ac:dyDescent="0.35">
      <c r="A637" s="3"/>
      <c r="B637" s="3"/>
      <c r="C637" s="3"/>
      <c r="D637" s="3"/>
      <c r="E637" s="3"/>
      <c r="F637" s="3"/>
      <c r="G637" s="3"/>
      <c r="H637" s="3"/>
      <c r="I637" s="135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5.75" customHeight="1" x14ac:dyDescent="0.35">
      <c r="A638" s="3"/>
      <c r="B638" s="3"/>
      <c r="C638" s="3"/>
      <c r="D638" s="3"/>
      <c r="E638" s="3"/>
      <c r="F638" s="3"/>
      <c r="G638" s="3"/>
      <c r="H638" s="3"/>
      <c r="I638" s="135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5.75" customHeight="1" x14ac:dyDescent="0.35">
      <c r="A639" s="3"/>
      <c r="B639" s="3"/>
      <c r="C639" s="3"/>
      <c r="D639" s="3"/>
      <c r="E639" s="3"/>
      <c r="F639" s="3"/>
      <c r="G639" s="3"/>
      <c r="H639" s="3"/>
      <c r="I639" s="135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5.75" customHeight="1" x14ac:dyDescent="0.35">
      <c r="A640" s="3"/>
      <c r="B640" s="3"/>
      <c r="C640" s="3"/>
      <c r="D640" s="3"/>
      <c r="E640" s="3"/>
      <c r="F640" s="3"/>
      <c r="G640" s="3"/>
      <c r="H640" s="3"/>
      <c r="I640" s="135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5.75" customHeight="1" x14ac:dyDescent="0.35">
      <c r="A641" s="3"/>
      <c r="B641" s="3"/>
      <c r="C641" s="3"/>
      <c r="D641" s="3"/>
      <c r="E641" s="3"/>
      <c r="F641" s="3"/>
      <c r="G641" s="3"/>
      <c r="H641" s="3"/>
      <c r="I641" s="135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5.75" customHeight="1" x14ac:dyDescent="0.35">
      <c r="A642" s="3"/>
      <c r="B642" s="3"/>
      <c r="C642" s="3"/>
      <c r="D642" s="3"/>
      <c r="E642" s="3"/>
      <c r="F642" s="3"/>
      <c r="G642" s="3"/>
      <c r="H642" s="3"/>
      <c r="I642" s="135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5.75" customHeight="1" x14ac:dyDescent="0.35">
      <c r="A643" s="3"/>
      <c r="B643" s="3"/>
      <c r="C643" s="3"/>
      <c r="D643" s="3"/>
      <c r="E643" s="3"/>
      <c r="F643" s="3"/>
      <c r="G643" s="3"/>
      <c r="H643" s="3"/>
      <c r="I643" s="135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5.75" customHeight="1" x14ac:dyDescent="0.35">
      <c r="A644" s="3"/>
      <c r="B644" s="3"/>
      <c r="C644" s="3"/>
      <c r="D644" s="3"/>
      <c r="E644" s="3"/>
      <c r="F644" s="3"/>
      <c r="G644" s="3"/>
      <c r="H644" s="3"/>
      <c r="I644" s="135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5.75" customHeight="1" x14ac:dyDescent="0.35">
      <c r="A645" s="3"/>
      <c r="B645" s="3"/>
      <c r="C645" s="3"/>
      <c r="D645" s="3"/>
      <c r="E645" s="3"/>
      <c r="F645" s="3"/>
      <c r="G645" s="3"/>
      <c r="H645" s="3"/>
      <c r="I645" s="135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5.75" customHeight="1" x14ac:dyDescent="0.35">
      <c r="A646" s="3"/>
      <c r="B646" s="3"/>
      <c r="C646" s="3"/>
      <c r="D646" s="3"/>
      <c r="E646" s="3"/>
      <c r="F646" s="3"/>
      <c r="G646" s="3"/>
      <c r="H646" s="3"/>
      <c r="I646" s="135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5.75" customHeight="1" x14ac:dyDescent="0.35">
      <c r="A647" s="3"/>
      <c r="B647" s="3"/>
      <c r="C647" s="3"/>
      <c r="D647" s="3"/>
      <c r="E647" s="3"/>
      <c r="F647" s="3"/>
      <c r="G647" s="3"/>
      <c r="H647" s="3"/>
      <c r="I647" s="135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5.75" customHeight="1" x14ac:dyDescent="0.35">
      <c r="A648" s="3"/>
      <c r="B648" s="3"/>
      <c r="C648" s="3"/>
      <c r="D648" s="3"/>
      <c r="E648" s="3"/>
      <c r="F648" s="3"/>
      <c r="G648" s="3"/>
      <c r="H648" s="3"/>
      <c r="I648" s="135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5.75" customHeight="1" x14ac:dyDescent="0.35">
      <c r="A649" s="3"/>
      <c r="B649" s="3"/>
      <c r="C649" s="3"/>
      <c r="D649" s="3"/>
      <c r="E649" s="3"/>
      <c r="F649" s="3"/>
      <c r="G649" s="3"/>
      <c r="H649" s="3"/>
      <c r="I649" s="135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5.75" customHeight="1" x14ac:dyDescent="0.35">
      <c r="A650" s="3"/>
      <c r="B650" s="3"/>
      <c r="C650" s="3"/>
      <c r="D650" s="3"/>
      <c r="E650" s="3"/>
      <c r="F650" s="3"/>
      <c r="G650" s="3"/>
      <c r="H650" s="3"/>
      <c r="I650" s="135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5.75" customHeight="1" x14ac:dyDescent="0.35">
      <c r="A651" s="3"/>
      <c r="B651" s="3"/>
      <c r="C651" s="3"/>
      <c r="D651" s="3"/>
      <c r="E651" s="3"/>
      <c r="F651" s="3"/>
      <c r="G651" s="3"/>
      <c r="H651" s="3"/>
      <c r="I651" s="135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5.75" customHeight="1" x14ac:dyDescent="0.35">
      <c r="A652" s="3"/>
      <c r="B652" s="3"/>
      <c r="C652" s="3"/>
      <c r="D652" s="3"/>
      <c r="E652" s="3"/>
      <c r="F652" s="3"/>
      <c r="G652" s="3"/>
      <c r="H652" s="3"/>
      <c r="I652" s="135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5.75" customHeight="1" x14ac:dyDescent="0.35">
      <c r="A653" s="3"/>
      <c r="B653" s="3"/>
      <c r="C653" s="3"/>
      <c r="D653" s="3"/>
      <c r="E653" s="3"/>
      <c r="F653" s="3"/>
      <c r="G653" s="3"/>
      <c r="H653" s="3"/>
      <c r="I653" s="135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5.75" customHeight="1" x14ac:dyDescent="0.35">
      <c r="A654" s="3"/>
      <c r="B654" s="3"/>
      <c r="C654" s="3"/>
      <c r="D654" s="3"/>
      <c r="E654" s="3"/>
      <c r="F654" s="3"/>
      <c r="G654" s="3"/>
      <c r="H654" s="3"/>
      <c r="I654" s="135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5.75" customHeight="1" x14ac:dyDescent="0.35">
      <c r="A655" s="3"/>
      <c r="B655" s="3"/>
      <c r="C655" s="3"/>
      <c r="D655" s="3"/>
      <c r="E655" s="3"/>
      <c r="F655" s="3"/>
      <c r="G655" s="3"/>
      <c r="H655" s="3"/>
      <c r="I655" s="135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5.75" customHeight="1" x14ac:dyDescent="0.35">
      <c r="A656" s="3"/>
      <c r="B656" s="3"/>
      <c r="C656" s="3"/>
      <c r="D656" s="3"/>
      <c r="E656" s="3"/>
      <c r="F656" s="3"/>
      <c r="G656" s="3"/>
      <c r="H656" s="3"/>
      <c r="I656" s="135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5.75" customHeight="1" x14ac:dyDescent="0.35">
      <c r="A657" s="3"/>
      <c r="B657" s="3"/>
      <c r="C657" s="3"/>
      <c r="D657" s="3"/>
      <c r="E657" s="3"/>
      <c r="F657" s="3"/>
      <c r="G657" s="3"/>
      <c r="H657" s="3"/>
      <c r="I657" s="135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5.75" customHeight="1" x14ac:dyDescent="0.35">
      <c r="A658" s="3"/>
      <c r="B658" s="3"/>
      <c r="C658" s="3"/>
      <c r="D658" s="3"/>
      <c r="E658" s="3"/>
      <c r="F658" s="3"/>
      <c r="G658" s="3"/>
      <c r="H658" s="3"/>
      <c r="I658" s="135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5.75" customHeight="1" x14ac:dyDescent="0.35">
      <c r="A659" s="3"/>
      <c r="B659" s="3"/>
      <c r="C659" s="3"/>
      <c r="D659" s="3"/>
      <c r="E659" s="3"/>
      <c r="F659" s="3"/>
      <c r="G659" s="3"/>
      <c r="H659" s="3"/>
      <c r="I659" s="135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5.75" customHeight="1" x14ac:dyDescent="0.35">
      <c r="A660" s="3"/>
      <c r="B660" s="3"/>
      <c r="C660" s="3"/>
      <c r="D660" s="3"/>
      <c r="E660" s="3"/>
      <c r="F660" s="3"/>
      <c r="G660" s="3"/>
      <c r="H660" s="3"/>
      <c r="I660" s="135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5.75" customHeight="1" x14ac:dyDescent="0.35">
      <c r="A661" s="3"/>
      <c r="B661" s="3"/>
      <c r="C661" s="3"/>
      <c r="D661" s="3"/>
      <c r="E661" s="3"/>
      <c r="F661" s="3"/>
      <c r="G661" s="3"/>
      <c r="H661" s="3"/>
      <c r="I661" s="135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5.75" customHeight="1" x14ac:dyDescent="0.35">
      <c r="A662" s="3"/>
      <c r="B662" s="3"/>
      <c r="C662" s="3"/>
      <c r="D662" s="3"/>
      <c r="E662" s="3"/>
      <c r="F662" s="3"/>
      <c r="G662" s="3"/>
      <c r="H662" s="3"/>
      <c r="I662" s="135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5.75" customHeight="1" x14ac:dyDescent="0.35">
      <c r="A663" s="3"/>
      <c r="B663" s="3"/>
      <c r="C663" s="3"/>
      <c r="D663" s="3"/>
      <c r="E663" s="3"/>
      <c r="F663" s="3"/>
      <c r="G663" s="3"/>
      <c r="H663" s="3"/>
      <c r="I663" s="135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5.75" customHeight="1" x14ac:dyDescent="0.35">
      <c r="A664" s="3"/>
      <c r="B664" s="3"/>
      <c r="C664" s="3"/>
      <c r="D664" s="3"/>
      <c r="E664" s="3"/>
      <c r="F664" s="3"/>
      <c r="G664" s="3"/>
      <c r="H664" s="3"/>
      <c r="I664" s="135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5.75" customHeight="1" x14ac:dyDescent="0.35">
      <c r="A665" s="3"/>
      <c r="B665" s="3"/>
      <c r="C665" s="3"/>
      <c r="D665" s="3"/>
      <c r="E665" s="3"/>
      <c r="F665" s="3"/>
      <c r="G665" s="3"/>
      <c r="H665" s="3"/>
      <c r="I665" s="135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5.75" customHeight="1" x14ac:dyDescent="0.35">
      <c r="A666" s="3"/>
      <c r="B666" s="3"/>
      <c r="C666" s="3"/>
      <c r="D666" s="3"/>
      <c r="E666" s="3"/>
      <c r="F666" s="3"/>
      <c r="G666" s="3"/>
      <c r="H666" s="3"/>
      <c r="I666" s="135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5.75" customHeight="1" x14ac:dyDescent="0.35">
      <c r="A667" s="3"/>
      <c r="B667" s="3"/>
      <c r="C667" s="3"/>
      <c r="D667" s="3"/>
      <c r="E667" s="3"/>
      <c r="F667" s="3"/>
      <c r="G667" s="3"/>
      <c r="H667" s="3"/>
      <c r="I667" s="135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5.75" customHeight="1" x14ac:dyDescent="0.35">
      <c r="A668" s="3"/>
      <c r="B668" s="3"/>
      <c r="C668" s="3"/>
      <c r="D668" s="3"/>
      <c r="E668" s="3"/>
      <c r="F668" s="3"/>
      <c r="G668" s="3"/>
      <c r="H668" s="3"/>
      <c r="I668" s="135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5.75" customHeight="1" x14ac:dyDescent="0.35">
      <c r="A669" s="3"/>
      <c r="B669" s="3"/>
      <c r="C669" s="3"/>
      <c r="D669" s="3"/>
      <c r="E669" s="3"/>
      <c r="F669" s="3"/>
      <c r="G669" s="3"/>
      <c r="H669" s="3"/>
      <c r="I669" s="135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5.75" customHeight="1" x14ac:dyDescent="0.35">
      <c r="A670" s="3"/>
      <c r="B670" s="3"/>
      <c r="C670" s="3"/>
      <c r="D670" s="3"/>
      <c r="E670" s="3"/>
      <c r="F670" s="3"/>
      <c r="G670" s="3"/>
      <c r="H670" s="3"/>
      <c r="I670" s="135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5.75" customHeight="1" x14ac:dyDescent="0.35">
      <c r="A671" s="3"/>
      <c r="B671" s="3"/>
      <c r="C671" s="3"/>
      <c r="D671" s="3"/>
      <c r="E671" s="3"/>
      <c r="F671" s="3"/>
      <c r="G671" s="3"/>
      <c r="H671" s="3"/>
      <c r="I671" s="135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5.75" customHeight="1" x14ac:dyDescent="0.35">
      <c r="A672" s="3"/>
      <c r="B672" s="3"/>
      <c r="C672" s="3"/>
      <c r="D672" s="3"/>
      <c r="E672" s="3"/>
      <c r="F672" s="3"/>
      <c r="G672" s="3"/>
      <c r="H672" s="3"/>
      <c r="I672" s="135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5.75" customHeight="1" x14ac:dyDescent="0.35">
      <c r="A673" s="3"/>
      <c r="B673" s="3"/>
      <c r="C673" s="3"/>
      <c r="D673" s="3"/>
      <c r="E673" s="3"/>
      <c r="F673" s="3"/>
      <c r="G673" s="3"/>
      <c r="H673" s="3"/>
      <c r="I673" s="135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5.75" customHeight="1" x14ac:dyDescent="0.35">
      <c r="A674" s="3"/>
      <c r="B674" s="3"/>
      <c r="C674" s="3"/>
      <c r="D674" s="3"/>
      <c r="E674" s="3"/>
      <c r="F674" s="3"/>
      <c r="G674" s="3"/>
      <c r="H674" s="3"/>
      <c r="I674" s="135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5.75" customHeight="1" x14ac:dyDescent="0.35">
      <c r="A675" s="3"/>
      <c r="B675" s="3"/>
      <c r="C675" s="3"/>
      <c r="D675" s="3"/>
      <c r="E675" s="3"/>
      <c r="F675" s="3"/>
      <c r="G675" s="3"/>
      <c r="H675" s="3"/>
      <c r="I675" s="135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5.75" customHeight="1" x14ac:dyDescent="0.35">
      <c r="A676" s="3"/>
      <c r="B676" s="3"/>
      <c r="C676" s="3"/>
      <c r="D676" s="3"/>
      <c r="E676" s="3"/>
      <c r="F676" s="3"/>
      <c r="G676" s="3"/>
      <c r="H676" s="3"/>
      <c r="I676" s="135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5.75" customHeight="1" x14ac:dyDescent="0.35">
      <c r="A677" s="3"/>
      <c r="B677" s="3"/>
      <c r="C677" s="3"/>
      <c r="D677" s="3"/>
      <c r="E677" s="3"/>
      <c r="F677" s="3"/>
      <c r="G677" s="3"/>
      <c r="H677" s="3"/>
      <c r="I677" s="135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5.75" customHeight="1" x14ac:dyDescent="0.35">
      <c r="A678" s="3"/>
      <c r="B678" s="3"/>
      <c r="C678" s="3"/>
      <c r="D678" s="3"/>
      <c r="E678" s="3"/>
      <c r="F678" s="3"/>
      <c r="G678" s="3"/>
      <c r="H678" s="3"/>
      <c r="I678" s="135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5.75" customHeight="1" x14ac:dyDescent="0.35">
      <c r="A679" s="3"/>
      <c r="B679" s="3"/>
      <c r="C679" s="3"/>
      <c r="D679" s="3"/>
      <c r="E679" s="3"/>
      <c r="F679" s="3"/>
      <c r="G679" s="3"/>
      <c r="H679" s="3"/>
      <c r="I679" s="135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5.75" customHeight="1" x14ac:dyDescent="0.35">
      <c r="A680" s="3"/>
      <c r="B680" s="3"/>
      <c r="C680" s="3"/>
      <c r="D680" s="3"/>
      <c r="E680" s="3"/>
      <c r="F680" s="3"/>
      <c r="G680" s="3"/>
      <c r="H680" s="3"/>
      <c r="I680" s="135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5.75" customHeight="1" x14ac:dyDescent="0.35">
      <c r="A681" s="3"/>
      <c r="B681" s="3"/>
      <c r="C681" s="3"/>
      <c r="D681" s="3"/>
      <c r="E681" s="3"/>
      <c r="F681" s="3"/>
      <c r="G681" s="3"/>
      <c r="H681" s="3"/>
      <c r="I681" s="135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5.75" customHeight="1" x14ac:dyDescent="0.35">
      <c r="A682" s="3"/>
      <c r="B682" s="3"/>
      <c r="C682" s="3"/>
      <c r="D682" s="3"/>
      <c r="E682" s="3"/>
      <c r="F682" s="3"/>
      <c r="G682" s="3"/>
      <c r="H682" s="3"/>
      <c r="I682" s="135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5.75" customHeight="1" x14ac:dyDescent="0.35">
      <c r="A683" s="3"/>
      <c r="B683" s="3"/>
      <c r="C683" s="3"/>
      <c r="D683" s="3"/>
      <c r="E683" s="3"/>
      <c r="F683" s="3"/>
      <c r="G683" s="3"/>
      <c r="H683" s="3"/>
      <c r="I683" s="135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5.75" customHeight="1" x14ac:dyDescent="0.35">
      <c r="A684" s="3"/>
      <c r="B684" s="3"/>
      <c r="C684" s="3"/>
      <c r="D684" s="3"/>
      <c r="E684" s="3"/>
      <c r="F684" s="3"/>
      <c r="G684" s="3"/>
      <c r="H684" s="3"/>
      <c r="I684" s="135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5.75" customHeight="1" x14ac:dyDescent="0.35">
      <c r="A685" s="3"/>
      <c r="B685" s="3"/>
      <c r="C685" s="3"/>
      <c r="D685" s="3"/>
      <c r="E685" s="3"/>
      <c r="F685" s="3"/>
      <c r="G685" s="3"/>
      <c r="H685" s="3"/>
      <c r="I685" s="135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5.75" customHeight="1" x14ac:dyDescent="0.35">
      <c r="A686" s="3"/>
      <c r="B686" s="3"/>
      <c r="C686" s="3"/>
      <c r="D686" s="3"/>
      <c r="E686" s="3"/>
      <c r="F686" s="3"/>
      <c r="G686" s="3"/>
      <c r="H686" s="3"/>
      <c r="I686" s="135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5.75" customHeight="1" x14ac:dyDescent="0.35">
      <c r="A687" s="3"/>
      <c r="B687" s="3"/>
      <c r="C687" s="3"/>
      <c r="D687" s="3"/>
      <c r="E687" s="3"/>
      <c r="F687" s="3"/>
      <c r="G687" s="3"/>
      <c r="H687" s="3"/>
      <c r="I687" s="135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5.75" customHeight="1" x14ac:dyDescent="0.35">
      <c r="A688" s="3"/>
      <c r="B688" s="3"/>
      <c r="C688" s="3"/>
      <c r="D688" s="3"/>
      <c r="E688" s="3"/>
      <c r="F688" s="3"/>
      <c r="G688" s="3"/>
      <c r="H688" s="3"/>
      <c r="I688" s="135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5.75" customHeight="1" x14ac:dyDescent="0.35">
      <c r="A689" s="3"/>
      <c r="B689" s="3"/>
      <c r="C689" s="3"/>
      <c r="D689" s="3"/>
      <c r="E689" s="3"/>
      <c r="F689" s="3"/>
      <c r="G689" s="3"/>
      <c r="H689" s="3"/>
      <c r="I689" s="135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5.75" customHeight="1" x14ac:dyDescent="0.35">
      <c r="A690" s="3"/>
      <c r="B690" s="3"/>
      <c r="C690" s="3"/>
      <c r="D690" s="3"/>
      <c r="E690" s="3"/>
      <c r="F690" s="3"/>
      <c r="G690" s="3"/>
      <c r="H690" s="3"/>
      <c r="I690" s="135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5.75" customHeight="1" x14ac:dyDescent="0.35">
      <c r="A691" s="3"/>
      <c r="B691" s="3"/>
      <c r="C691" s="3"/>
      <c r="D691" s="3"/>
      <c r="E691" s="3"/>
      <c r="F691" s="3"/>
      <c r="G691" s="3"/>
      <c r="H691" s="3"/>
      <c r="I691" s="135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5.75" customHeight="1" x14ac:dyDescent="0.35">
      <c r="A692" s="3"/>
      <c r="B692" s="3"/>
      <c r="C692" s="3"/>
      <c r="D692" s="3"/>
      <c r="E692" s="3"/>
      <c r="F692" s="3"/>
      <c r="G692" s="3"/>
      <c r="H692" s="3"/>
      <c r="I692" s="135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5.75" customHeight="1" x14ac:dyDescent="0.35">
      <c r="A693" s="3"/>
      <c r="B693" s="3"/>
      <c r="C693" s="3"/>
      <c r="D693" s="3"/>
      <c r="E693" s="3"/>
      <c r="F693" s="3"/>
      <c r="G693" s="3"/>
      <c r="H693" s="3"/>
      <c r="I693" s="135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5.75" customHeight="1" x14ac:dyDescent="0.35">
      <c r="A694" s="3"/>
      <c r="B694" s="3"/>
      <c r="C694" s="3"/>
      <c r="D694" s="3"/>
      <c r="E694" s="3"/>
      <c r="F694" s="3"/>
      <c r="G694" s="3"/>
      <c r="H694" s="3"/>
      <c r="I694" s="135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5.75" customHeight="1" x14ac:dyDescent="0.35">
      <c r="A695" s="3"/>
      <c r="B695" s="3"/>
      <c r="C695" s="3"/>
      <c r="D695" s="3"/>
      <c r="E695" s="3"/>
      <c r="F695" s="3"/>
      <c r="G695" s="3"/>
      <c r="H695" s="3"/>
      <c r="I695" s="135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5.75" customHeight="1" x14ac:dyDescent="0.35">
      <c r="A696" s="3"/>
      <c r="B696" s="3"/>
      <c r="C696" s="3"/>
      <c r="D696" s="3"/>
      <c r="E696" s="3"/>
      <c r="F696" s="3"/>
      <c r="G696" s="3"/>
      <c r="H696" s="3"/>
      <c r="I696" s="135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5.75" customHeight="1" x14ac:dyDescent="0.35">
      <c r="A697" s="3"/>
      <c r="B697" s="3"/>
      <c r="C697" s="3"/>
      <c r="D697" s="3"/>
      <c r="E697" s="3"/>
      <c r="F697" s="3"/>
      <c r="G697" s="3"/>
      <c r="H697" s="3"/>
      <c r="I697" s="135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5.75" customHeight="1" x14ac:dyDescent="0.35">
      <c r="A698" s="3"/>
      <c r="B698" s="3"/>
      <c r="C698" s="3"/>
      <c r="D698" s="3"/>
      <c r="E698" s="3"/>
      <c r="F698" s="3"/>
      <c r="G698" s="3"/>
      <c r="H698" s="3"/>
      <c r="I698" s="135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5.75" customHeight="1" x14ac:dyDescent="0.35">
      <c r="A699" s="3"/>
      <c r="B699" s="3"/>
      <c r="C699" s="3"/>
      <c r="D699" s="3"/>
      <c r="E699" s="3"/>
      <c r="F699" s="3"/>
      <c r="G699" s="3"/>
      <c r="H699" s="3"/>
      <c r="I699" s="135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5.75" customHeight="1" x14ac:dyDescent="0.35">
      <c r="A700" s="3"/>
      <c r="B700" s="3"/>
      <c r="C700" s="3"/>
      <c r="D700" s="3"/>
      <c r="E700" s="3"/>
      <c r="F700" s="3"/>
      <c r="G700" s="3"/>
      <c r="H700" s="3"/>
      <c r="I700" s="135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5.75" customHeight="1" x14ac:dyDescent="0.35">
      <c r="A701" s="3"/>
      <c r="B701" s="3"/>
      <c r="C701" s="3"/>
      <c r="D701" s="3"/>
      <c r="E701" s="3"/>
      <c r="F701" s="3"/>
      <c r="G701" s="3"/>
      <c r="H701" s="3"/>
      <c r="I701" s="135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5.75" customHeight="1" x14ac:dyDescent="0.35">
      <c r="A702" s="3"/>
      <c r="B702" s="3"/>
      <c r="C702" s="3"/>
      <c r="D702" s="3"/>
      <c r="E702" s="3"/>
      <c r="F702" s="3"/>
      <c r="G702" s="3"/>
      <c r="H702" s="3"/>
      <c r="I702" s="135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5.75" customHeight="1" x14ac:dyDescent="0.35">
      <c r="A703" s="3"/>
      <c r="B703" s="3"/>
      <c r="C703" s="3"/>
      <c r="D703" s="3"/>
      <c r="E703" s="3"/>
      <c r="F703" s="3"/>
      <c r="G703" s="3"/>
      <c r="H703" s="3"/>
      <c r="I703" s="135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5.75" customHeight="1" x14ac:dyDescent="0.35">
      <c r="A704" s="3"/>
      <c r="B704" s="3"/>
      <c r="C704" s="3"/>
      <c r="D704" s="3"/>
      <c r="E704" s="3"/>
      <c r="F704" s="3"/>
      <c r="G704" s="3"/>
      <c r="H704" s="3"/>
      <c r="I704" s="135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5.75" customHeight="1" x14ac:dyDescent="0.35">
      <c r="A705" s="3"/>
      <c r="B705" s="3"/>
      <c r="C705" s="3"/>
      <c r="D705" s="3"/>
      <c r="E705" s="3"/>
      <c r="F705" s="3"/>
      <c r="G705" s="3"/>
      <c r="H705" s="3"/>
      <c r="I705" s="135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5.75" customHeight="1" x14ac:dyDescent="0.35">
      <c r="A706" s="3"/>
      <c r="B706" s="3"/>
      <c r="C706" s="3"/>
      <c r="D706" s="3"/>
      <c r="E706" s="3"/>
      <c r="F706" s="3"/>
      <c r="G706" s="3"/>
      <c r="H706" s="3"/>
      <c r="I706" s="135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5.75" customHeight="1" x14ac:dyDescent="0.35">
      <c r="A707" s="3"/>
      <c r="B707" s="3"/>
      <c r="C707" s="3"/>
      <c r="D707" s="3"/>
      <c r="E707" s="3"/>
      <c r="F707" s="3"/>
      <c r="G707" s="3"/>
      <c r="H707" s="3"/>
      <c r="I707" s="135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5.75" customHeight="1" x14ac:dyDescent="0.35">
      <c r="A708" s="3"/>
      <c r="B708" s="3"/>
      <c r="C708" s="3"/>
      <c r="D708" s="3"/>
      <c r="E708" s="3"/>
      <c r="F708" s="3"/>
      <c r="G708" s="3"/>
      <c r="H708" s="3"/>
      <c r="I708" s="135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5.75" customHeight="1" x14ac:dyDescent="0.35">
      <c r="A709" s="3"/>
      <c r="B709" s="3"/>
      <c r="C709" s="3"/>
      <c r="D709" s="3"/>
      <c r="E709" s="3"/>
      <c r="F709" s="3"/>
      <c r="G709" s="3"/>
      <c r="H709" s="3"/>
      <c r="I709" s="135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5.75" customHeight="1" x14ac:dyDescent="0.35">
      <c r="A710" s="3"/>
      <c r="B710" s="3"/>
      <c r="C710" s="3"/>
      <c r="D710" s="3"/>
      <c r="E710" s="3"/>
      <c r="F710" s="3"/>
      <c r="G710" s="3"/>
      <c r="H710" s="3"/>
      <c r="I710" s="135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5.75" customHeight="1" x14ac:dyDescent="0.35">
      <c r="A711" s="3"/>
      <c r="B711" s="3"/>
      <c r="C711" s="3"/>
      <c r="D711" s="3"/>
      <c r="E711" s="3"/>
      <c r="F711" s="3"/>
      <c r="G711" s="3"/>
      <c r="H711" s="3"/>
      <c r="I711" s="135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5.75" customHeight="1" x14ac:dyDescent="0.35">
      <c r="A712" s="3"/>
      <c r="B712" s="3"/>
      <c r="C712" s="3"/>
      <c r="D712" s="3"/>
      <c r="E712" s="3"/>
      <c r="F712" s="3"/>
      <c r="G712" s="3"/>
      <c r="H712" s="3"/>
      <c r="I712" s="135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5.75" customHeight="1" x14ac:dyDescent="0.35">
      <c r="A713" s="3"/>
      <c r="B713" s="3"/>
      <c r="C713" s="3"/>
      <c r="D713" s="3"/>
      <c r="E713" s="3"/>
      <c r="F713" s="3"/>
      <c r="G713" s="3"/>
      <c r="H713" s="3"/>
      <c r="I713" s="135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5.75" customHeight="1" x14ac:dyDescent="0.35">
      <c r="A714" s="3"/>
      <c r="B714" s="3"/>
      <c r="C714" s="3"/>
      <c r="D714" s="3"/>
      <c r="E714" s="3"/>
      <c r="F714" s="3"/>
      <c r="G714" s="3"/>
      <c r="H714" s="3"/>
      <c r="I714" s="135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5.75" customHeight="1" x14ac:dyDescent="0.35">
      <c r="A715" s="3"/>
      <c r="B715" s="3"/>
      <c r="C715" s="3"/>
      <c r="D715" s="3"/>
      <c r="E715" s="3"/>
      <c r="F715" s="3"/>
      <c r="G715" s="3"/>
      <c r="H715" s="3"/>
      <c r="I715" s="135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5.75" customHeight="1" x14ac:dyDescent="0.35">
      <c r="A716" s="3"/>
      <c r="B716" s="3"/>
      <c r="C716" s="3"/>
      <c r="D716" s="3"/>
      <c r="E716" s="3"/>
      <c r="F716" s="3"/>
      <c r="G716" s="3"/>
      <c r="H716" s="3"/>
      <c r="I716" s="135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5.75" customHeight="1" x14ac:dyDescent="0.35">
      <c r="A717" s="3"/>
      <c r="B717" s="3"/>
      <c r="C717" s="3"/>
      <c r="D717" s="3"/>
      <c r="E717" s="3"/>
      <c r="F717" s="3"/>
      <c r="G717" s="3"/>
      <c r="H717" s="3"/>
      <c r="I717" s="135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5.75" customHeight="1" x14ac:dyDescent="0.35">
      <c r="A718" s="3"/>
      <c r="B718" s="3"/>
      <c r="C718" s="3"/>
      <c r="D718" s="3"/>
      <c r="E718" s="3"/>
      <c r="F718" s="3"/>
      <c r="G718" s="3"/>
      <c r="H718" s="3"/>
      <c r="I718" s="135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5.75" customHeight="1" x14ac:dyDescent="0.35">
      <c r="A719" s="3"/>
      <c r="B719" s="3"/>
      <c r="C719" s="3"/>
      <c r="D719" s="3"/>
      <c r="E719" s="3"/>
      <c r="F719" s="3"/>
      <c r="G719" s="3"/>
      <c r="H719" s="3"/>
      <c r="I719" s="135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5.75" customHeight="1" x14ac:dyDescent="0.35">
      <c r="A720" s="3"/>
      <c r="B720" s="3"/>
      <c r="C720" s="3"/>
      <c r="D720" s="3"/>
      <c r="E720" s="3"/>
      <c r="F720" s="3"/>
      <c r="G720" s="3"/>
      <c r="H720" s="3"/>
      <c r="I720" s="135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5.75" customHeight="1" x14ac:dyDescent="0.35">
      <c r="A721" s="3"/>
      <c r="B721" s="3"/>
      <c r="C721" s="3"/>
      <c r="D721" s="3"/>
      <c r="E721" s="3"/>
      <c r="F721" s="3"/>
      <c r="G721" s="3"/>
      <c r="H721" s="3"/>
      <c r="I721" s="135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5.75" customHeight="1" x14ac:dyDescent="0.35">
      <c r="A722" s="3"/>
      <c r="B722" s="3"/>
      <c r="C722" s="3"/>
      <c r="D722" s="3"/>
      <c r="E722" s="3"/>
      <c r="F722" s="3"/>
      <c r="G722" s="3"/>
      <c r="H722" s="3"/>
      <c r="I722" s="135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5.75" customHeight="1" x14ac:dyDescent="0.35">
      <c r="A723" s="3"/>
      <c r="B723" s="3"/>
      <c r="C723" s="3"/>
      <c r="D723" s="3"/>
      <c r="E723" s="3"/>
      <c r="F723" s="3"/>
      <c r="G723" s="3"/>
      <c r="H723" s="3"/>
      <c r="I723" s="135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5.75" customHeight="1" x14ac:dyDescent="0.35">
      <c r="A724" s="3"/>
      <c r="B724" s="3"/>
      <c r="C724" s="3"/>
      <c r="D724" s="3"/>
      <c r="E724" s="3"/>
      <c r="F724" s="3"/>
      <c r="G724" s="3"/>
      <c r="H724" s="3"/>
      <c r="I724" s="135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5.75" customHeight="1" x14ac:dyDescent="0.35">
      <c r="A725" s="3"/>
      <c r="B725" s="3"/>
      <c r="C725" s="3"/>
      <c r="D725" s="3"/>
      <c r="E725" s="3"/>
      <c r="F725" s="3"/>
      <c r="G725" s="3"/>
      <c r="H725" s="3"/>
      <c r="I725" s="135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5.75" customHeight="1" x14ac:dyDescent="0.35">
      <c r="A726" s="3"/>
      <c r="B726" s="3"/>
      <c r="C726" s="3"/>
      <c r="D726" s="3"/>
      <c r="E726" s="3"/>
      <c r="F726" s="3"/>
      <c r="G726" s="3"/>
      <c r="H726" s="3"/>
      <c r="I726" s="135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5.75" customHeight="1" x14ac:dyDescent="0.35">
      <c r="A727" s="3"/>
      <c r="B727" s="3"/>
      <c r="C727" s="3"/>
      <c r="D727" s="3"/>
      <c r="E727" s="3"/>
      <c r="F727" s="3"/>
      <c r="G727" s="3"/>
      <c r="H727" s="3"/>
      <c r="I727" s="135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5.75" customHeight="1" x14ac:dyDescent="0.35">
      <c r="A728" s="3"/>
      <c r="B728" s="3"/>
      <c r="C728" s="3"/>
      <c r="D728" s="3"/>
      <c r="E728" s="3"/>
      <c r="F728" s="3"/>
      <c r="G728" s="3"/>
      <c r="H728" s="3"/>
      <c r="I728" s="135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5.75" customHeight="1" x14ac:dyDescent="0.35">
      <c r="A729" s="3"/>
      <c r="B729" s="3"/>
      <c r="C729" s="3"/>
      <c r="D729" s="3"/>
      <c r="E729" s="3"/>
      <c r="F729" s="3"/>
      <c r="G729" s="3"/>
      <c r="H729" s="3"/>
      <c r="I729" s="135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5.75" customHeight="1" x14ac:dyDescent="0.35">
      <c r="A730" s="3"/>
      <c r="B730" s="3"/>
      <c r="C730" s="3"/>
      <c r="D730" s="3"/>
      <c r="E730" s="3"/>
      <c r="F730" s="3"/>
      <c r="G730" s="3"/>
      <c r="H730" s="3"/>
      <c r="I730" s="135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5.75" customHeight="1" x14ac:dyDescent="0.35">
      <c r="A731" s="3"/>
      <c r="B731" s="3"/>
      <c r="C731" s="3"/>
      <c r="D731" s="3"/>
      <c r="E731" s="3"/>
      <c r="F731" s="3"/>
      <c r="G731" s="3"/>
      <c r="H731" s="3"/>
      <c r="I731" s="135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5.75" customHeight="1" x14ac:dyDescent="0.35">
      <c r="A732" s="3"/>
      <c r="B732" s="3"/>
      <c r="C732" s="3"/>
      <c r="D732" s="3"/>
      <c r="E732" s="3"/>
      <c r="F732" s="3"/>
      <c r="G732" s="3"/>
      <c r="H732" s="3"/>
      <c r="I732" s="135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5.75" customHeight="1" x14ac:dyDescent="0.35">
      <c r="A733" s="3"/>
      <c r="B733" s="3"/>
      <c r="C733" s="3"/>
      <c r="D733" s="3"/>
      <c r="E733" s="3"/>
      <c r="F733" s="3"/>
      <c r="G733" s="3"/>
      <c r="H733" s="3"/>
      <c r="I733" s="135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5.75" customHeight="1" x14ac:dyDescent="0.35">
      <c r="A734" s="3"/>
      <c r="B734" s="3"/>
      <c r="C734" s="3"/>
      <c r="D734" s="3"/>
      <c r="E734" s="3"/>
      <c r="F734" s="3"/>
      <c r="G734" s="3"/>
      <c r="H734" s="3"/>
      <c r="I734" s="135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5.75" customHeight="1" x14ac:dyDescent="0.35">
      <c r="A735" s="3"/>
      <c r="B735" s="3"/>
      <c r="C735" s="3"/>
      <c r="D735" s="3"/>
      <c r="E735" s="3"/>
      <c r="F735" s="3"/>
      <c r="G735" s="3"/>
      <c r="H735" s="3"/>
      <c r="I735" s="135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5.75" customHeight="1" x14ac:dyDescent="0.35">
      <c r="A736" s="3"/>
      <c r="B736" s="3"/>
      <c r="C736" s="3"/>
      <c r="D736" s="3"/>
      <c r="E736" s="3"/>
      <c r="F736" s="3"/>
      <c r="G736" s="3"/>
      <c r="H736" s="3"/>
      <c r="I736" s="135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5.75" customHeight="1" x14ac:dyDescent="0.35">
      <c r="A737" s="3"/>
      <c r="B737" s="3"/>
      <c r="C737" s="3"/>
      <c r="D737" s="3"/>
      <c r="E737" s="3"/>
      <c r="F737" s="3"/>
      <c r="G737" s="3"/>
      <c r="H737" s="3"/>
      <c r="I737" s="135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5.75" customHeight="1" x14ac:dyDescent="0.35">
      <c r="A738" s="3"/>
      <c r="B738" s="3"/>
      <c r="C738" s="3"/>
      <c r="D738" s="3"/>
      <c r="E738" s="3"/>
      <c r="F738" s="3"/>
      <c r="G738" s="3"/>
      <c r="H738" s="3"/>
      <c r="I738" s="135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5.75" customHeight="1" x14ac:dyDescent="0.35">
      <c r="A739" s="3"/>
      <c r="B739" s="3"/>
      <c r="C739" s="3"/>
      <c r="D739" s="3"/>
      <c r="E739" s="3"/>
      <c r="F739" s="3"/>
      <c r="G739" s="3"/>
      <c r="H739" s="3"/>
      <c r="I739" s="135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5.75" customHeight="1" x14ac:dyDescent="0.35">
      <c r="A740" s="3"/>
      <c r="B740" s="3"/>
      <c r="C740" s="3"/>
      <c r="D740" s="3"/>
      <c r="E740" s="3"/>
      <c r="F740" s="3"/>
      <c r="G740" s="3"/>
      <c r="H740" s="3"/>
      <c r="I740" s="135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5.75" customHeight="1" x14ac:dyDescent="0.35">
      <c r="A741" s="3"/>
      <c r="B741" s="3"/>
      <c r="C741" s="3"/>
      <c r="D741" s="3"/>
      <c r="E741" s="3"/>
      <c r="F741" s="3"/>
      <c r="G741" s="3"/>
      <c r="H741" s="3"/>
      <c r="I741" s="135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5.75" customHeight="1" x14ac:dyDescent="0.35">
      <c r="A742" s="3"/>
      <c r="B742" s="3"/>
      <c r="C742" s="3"/>
      <c r="D742" s="3"/>
      <c r="E742" s="3"/>
      <c r="F742" s="3"/>
      <c r="G742" s="3"/>
      <c r="H742" s="3"/>
      <c r="I742" s="135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5.75" customHeight="1" x14ac:dyDescent="0.35">
      <c r="A743" s="3"/>
      <c r="B743" s="3"/>
      <c r="C743" s="3"/>
      <c r="D743" s="3"/>
      <c r="E743" s="3"/>
      <c r="F743" s="3"/>
      <c r="G743" s="3"/>
      <c r="H743" s="3"/>
      <c r="I743" s="135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5.75" customHeight="1" x14ac:dyDescent="0.35">
      <c r="A744" s="3"/>
      <c r="B744" s="3"/>
      <c r="C744" s="3"/>
      <c r="D744" s="3"/>
      <c r="E744" s="3"/>
      <c r="F744" s="3"/>
      <c r="G744" s="3"/>
      <c r="H744" s="3"/>
      <c r="I744" s="135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5.75" customHeight="1" x14ac:dyDescent="0.35">
      <c r="A745" s="3"/>
      <c r="B745" s="3"/>
      <c r="C745" s="3"/>
      <c r="D745" s="3"/>
      <c r="E745" s="3"/>
      <c r="F745" s="3"/>
      <c r="G745" s="3"/>
      <c r="H745" s="3"/>
      <c r="I745" s="135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5.75" customHeight="1" x14ac:dyDescent="0.35">
      <c r="A746" s="3"/>
      <c r="B746" s="3"/>
      <c r="C746" s="3"/>
      <c r="D746" s="3"/>
      <c r="E746" s="3"/>
      <c r="F746" s="3"/>
      <c r="G746" s="3"/>
      <c r="H746" s="3"/>
      <c r="I746" s="135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5.75" customHeight="1" x14ac:dyDescent="0.35">
      <c r="A747" s="3"/>
      <c r="B747" s="3"/>
      <c r="C747" s="3"/>
      <c r="D747" s="3"/>
      <c r="E747" s="3"/>
      <c r="F747" s="3"/>
      <c r="G747" s="3"/>
      <c r="H747" s="3"/>
      <c r="I747" s="135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5.75" customHeight="1" x14ac:dyDescent="0.35">
      <c r="A748" s="3"/>
      <c r="B748" s="3"/>
      <c r="C748" s="3"/>
      <c r="D748" s="3"/>
      <c r="E748" s="3"/>
      <c r="F748" s="3"/>
      <c r="G748" s="3"/>
      <c r="H748" s="3"/>
      <c r="I748" s="135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5.75" customHeight="1" x14ac:dyDescent="0.35">
      <c r="A749" s="3"/>
      <c r="B749" s="3"/>
      <c r="C749" s="3"/>
      <c r="D749" s="3"/>
      <c r="E749" s="3"/>
      <c r="F749" s="3"/>
      <c r="G749" s="3"/>
      <c r="H749" s="3"/>
      <c r="I749" s="135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5.75" customHeight="1" x14ac:dyDescent="0.35">
      <c r="A750" s="3"/>
      <c r="B750" s="3"/>
      <c r="C750" s="3"/>
      <c r="D750" s="3"/>
      <c r="E750" s="3"/>
      <c r="F750" s="3"/>
      <c r="G750" s="3"/>
      <c r="H750" s="3"/>
      <c r="I750" s="135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5.75" customHeight="1" x14ac:dyDescent="0.35">
      <c r="A751" s="3"/>
      <c r="B751" s="3"/>
      <c r="C751" s="3"/>
      <c r="D751" s="3"/>
      <c r="E751" s="3"/>
      <c r="F751" s="3"/>
      <c r="G751" s="3"/>
      <c r="H751" s="3"/>
      <c r="I751" s="135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5.75" customHeight="1" x14ac:dyDescent="0.35">
      <c r="A752" s="3"/>
      <c r="B752" s="3"/>
      <c r="C752" s="3"/>
      <c r="D752" s="3"/>
      <c r="E752" s="3"/>
      <c r="F752" s="3"/>
      <c r="G752" s="3"/>
      <c r="H752" s="3"/>
      <c r="I752" s="135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5.75" customHeight="1" x14ac:dyDescent="0.35">
      <c r="A753" s="3"/>
      <c r="B753" s="3"/>
      <c r="C753" s="3"/>
      <c r="D753" s="3"/>
      <c r="E753" s="3"/>
      <c r="F753" s="3"/>
      <c r="G753" s="3"/>
      <c r="H753" s="3"/>
      <c r="I753" s="135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5.75" customHeight="1" x14ac:dyDescent="0.35">
      <c r="A754" s="3"/>
      <c r="B754" s="3"/>
      <c r="C754" s="3"/>
      <c r="D754" s="3"/>
      <c r="E754" s="3"/>
      <c r="F754" s="3"/>
      <c r="G754" s="3"/>
      <c r="H754" s="3"/>
      <c r="I754" s="135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5.75" customHeight="1" x14ac:dyDescent="0.35">
      <c r="A755" s="3"/>
      <c r="B755" s="3"/>
      <c r="C755" s="3"/>
      <c r="D755" s="3"/>
      <c r="E755" s="3"/>
      <c r="F755" s="3"/>
      <c r="G755" s="3"/>
      <c r="H755" s="3"/>
      <c r="I755" s="135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5.75" customHeight="1" x14ac:dyDescent="0.35">
      <c r="A756" s="3"/>
      <c r="B756" s="3"/>
      <c r="C756" s="3"/>
      <c r="D756" s="3"/>
      <c r="E756" s="3"/>
      <c r="F756" s="3"/>
      <c r="G756" s="3"/>
      <c r="H756" s="3"/>
      <c r="I756" s="135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5.75" customHeight="1" x14ac:dyDescent="0.35">
      <c r="A757" s="3"/>
      <c r="B757" s="3"/>
      <c r="C757" s="3"/>
      <c r="D757" s="3"/>
      <c r="E757" s="3"/>
      <c r="F757" s="3"/>
      <c r="G757" s="3"/>
      <c r="H757" s="3"/>
      <c r="I757" s="135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5.75" customHeight="1" x14ac:dyDescent="0.35">
      <c r="A758" s="3"/>
      <c r="B758" s="3"/>
      <c r="C758" s="3"/>
      <c r="D758" s="3"/>
      <c r="E758" s="3"/>
      <c r="F758" s="3"/>
      <c r="G758" s="3"/>
      <c r="H758" s="3"/>
      <c r="I758" s="135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5.75" customHeight="1" x14ac:dyDescent="0.35">
      <c r="A759" s="3"/>
      <c r="B759" s="3"/>
      <c r="C759" s="3"/>
      <c r="D759" s="3"/>
      <c r="E759" s="3"/>
      <c r="F759" s="3"/>
      <c r="G759" s="3"/>
      <c r="H759" s="3"/>
      <c r="I759" s="135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5.75" customHeight="1" x14ac:dyDescent="0.35">
      <c r="A760" s="3"/>
      <c r="B760" s="3"/>
      <c r="C760" s="3"/>
      <c r="D760" s="3"/>
      <c r="E760" s="3"/>
      <c r="F760" s="3"/>
      <c r="G760" s="3"/>
      <c r="H760" s="3"/>
      <c r="I760" s="135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5.75" customHeight="1" x14ac:dyDescent="0.35">
      <c r="A761" s="3"/>
      <c r="B761" s="3"/>
      <c r="C761" s="3"/>
      <c r="D761" s="3"/>
      <c r="E761" s="3"/>
      <c r="F761" s="3"/>
      <c r="G761" s="3"/>
      <c r="H761" s="3"/>
      <c r="I761" s="135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5.75" customHeight="1" x14ac:dyDescent="0.35">
      <c r="A762" s="3"/>
      <c r="B762" s="3"/>
      <c r="C762" s="3"/>
      <c r="D762" s="3"/>
      <c r="E762" s="3"/>
      <c r="F762" s="3"/>
      <c r="G762" s="3"/>
      <c r="H762" s="3"/>
      <c r="I762" s="135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5.75" customHeight="1" x14ac:dyDescent="0.35">
      <c r="A763" s="3"/>
      <c r="B763" s="3"/>
      <c r="C763" s="3"/>
      <c r="D763" s="3"/>
      <c r="E763" s="3"/>
      <c r="F763" s="3"/>
      <c r="G763" s="3"/>
      <c r="H763" s="3"/>
      <c r="I763" s="135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5.75" customHeight="1" x14ac:dyDescent="0.35">
      <c r="A764" s="3"/>
      <c r="B764" s="3"/>
      <c r="C764" s="3"/>
      <c r="D764" s="3"/>
      <c r="E764" s="3"/>
      <c r="F764" s="3"/>
      <c r="G764" s="3"/>
      <c r="H764" s="3"/>
      <c r="I764" s="135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5.75" customHeight="1" x14ac:dyDescent="0.35">
      <c r="A765" s="3"/>
      <c r="B765" s="3"/>
      <c r="C765" s="3"/>
      <c r="D765" s="3"/>
      <c r="E765" s="3"/>
      <c r="F765" s="3"/>
      <c r="G765" s="3"/>
      <c r="H765" s="3"/>
      <c r="I765" s="135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5.75" customHeight="1" x14ac:dyDescent="0.35">
      <c r="A766" s="3"/>
      <c r="B766" s="3"/>
      <c r="C766" s="3"/>
      <c r="D766" s="3"/>
      <c r="E766" s="3"/>
      <c r="F766" s="3"/>
      <c r="G766" s="3"/>
      <c r="H766" s="3"/>
      <c r="I766" s="135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5.75" customHeight="1" x14ac:dyDescent="0.35">
      <c r="A767" s="3"/>
      <c r="B767" s="3"/>
      <c r="C767" s="3"/>
      <c r="D767" s="3"/>
      <c r="E767" s="3"/>
      <c r="F767" s="3"/>
      <c r="G767" s="3"/>
      <c r="H767" s="3"/>
      <c r="I767" s="135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5.75" customHeight="1" x14ac:dyDescent="0.35">
      <c r="A768" s="3"/>
      <c r="B768" s="3"/>
      <c r="C768" s="3"/>
      <c r="D768" s="3"/>
      <c r="E768" s="3"/>
      <c r="F768" s="3"/>
      <c r="G768" s="3"/>
      <c r="H768" s="3"/>
      <c r="I768" s="135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5.75" customHeight="1" x14ac:dyDescent="0.35">
      <c r="A769" s="3"/>
      <c r="B769" s="3"/>
      <c r="C769" s="3"/>
      <c r="D769" s="3"/>
      <c r="E769" s="3"/>
      <c r="F769" s="3"/>
      <c r="G769" s="3"/>
      <c r="H769" s="3"/>
      <c r="I769" s="135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5.75" customHeight="1" x14ac:dyDescent="0.35">
      <c r="A770" s="3"/>
      <c r="B770" s="3"/>
      <c r="C770" s="3"/>
      <c r="D770" s="3"/>
      <c r="E770" s="3"/>
      <c r="F770" s="3"/>
      <c r="G770" s="3"/>
      <c r="H770" s="3"/>
      <c r="I770" s="135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5.75" customHeight="1" x14ac:dyDescent="0.35">
      <c r="A771" s="3"/>
      <c r="B771" s="3"/>
      <c r="C771" s="3"/>
      <c r="D771" s="3"/>
      <c r="E771" s="3"/>
      <c r="F771" s="3"/>
      <c r="G771" s="3"/>
      <c r="H771" s="3"/>
      <c r="I771" s="135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5.75" customHeight="1" x14ac:dyDescent="0.35">
      <c r="A772" s="3"/>
      <c r="B772" s="3"/>
      <c r="C772" s="3"/>
      <c r="D772" s="3"/>
      <c r="E772" s="3"/>
      <c r="F772" s="3"/>
      <c r="G772" s="3"/>
      <c r="H772" s="3"/>
      <c r="I772" s="135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5.75" customHeight="1" x14ac:dyDescent="0.35">
      <c r="A773" s="3"/>
      <c r="B773" s="3"/>
      <c r="C773" s="3"/>
      <c r="D773" s="3"/>
      <c r="E773" s="3"/>
      <c r="F773" s="3"/>
      <c r="G773" s="3"/>
      <c r="H773" s="3"/>
      <c r="I773" s="135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5.75" customHeight="1" x14ac:dyDescent="0.35">
      <c r="A774" s="3"/>
      <c r="B774" s="3"/>
      <c r="C774" s="3"/>
      <c r="D774" s="3"/>
      <c r="E774" s="3"/>
      <c r="F774" s="3"/>
      <c r="G774" s="3"/>
      <c r="H774" s="3"/>
      <c r="I774" s="135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5.75" customHeight="1" x14ac:dyDescent="0.35">
      <c r="A775" s="3"/>
      <c r="B775" s="3"/>
      <c r="C775" s="3"/>
      <c r="D775" s="3"/>
      <c r="E775" s="3"/>
      <c r="F775" s="3"/>
      <c r="G775" s="3"/>
      <c r="H775" s="3"/>
      <c r="I775" s="135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5.75" customHeight="1" x14ac:dyDescent="0.35">
      <c r="A776" s="3"/>
      <c r="B776" s="3"/>
      <c r="C776" s="3"/>
      <c r="D776" s="3"/>
      <c r="E776" s="3"/>
      <c r="F776" s="3"/>
      <c r="G776" s="3"/>
      <c r="H776" s="3"/>
      <c r="I776" s="135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5.75" customHeight="1" x14ac:dyDescent="0.35">
      <c r="A777" s="3"/>
      <c r="B777" s="3"/>
      <c r="C777" s="3"/>
      <c r="D777" s="3"/>
      <c r="E777" s="3"/>
      <c r="F777" s="3"/>
      <c r="G777" s="3"/>
      <c r="H777" s="3"/>
      <c r="I777" s="135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5.75" customHeight="1" x14ac:dyDescent="0.35">
      <c r="A778" s="3"/>
      <c r="B778" s="3"/>
      <c r="C778" s="3"/>
      <c r="D778" s="3"/>
      <c r="E778" s="3"/>
      <c r="F778" s="3"/>
      <c r="G778" s="3"/>
      <c r="H778" s="3"/>
      <c r="I778" s="135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5.75" customHeight="1" x14ac:dyDescent="0.35">
      <c r="A779" s="3"/>
      <c r="B779" s="3"/>
      <c r="C779" s="3"/>
      <c r="D779" s="3"/>
      <c r="E779" s="3"/>
      <c r="F779" s="3"/>
      <c r="G779" s="3"/>
      <c r="H779" s="3"/>
      <c r="I779" s="135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5.75" customHeight="1" x14ac:dyDescent="0.35">
      <c r="A780" s="3"/>
      <c r="B780" s="3"/>
      <c r="C780" s="3"/>
      <c r="D780" s="3"/>
      <c r="E780" s="3"/>
      <c r="F780" s="3"/>
      <c r="G780" s="3"/>
      <c r="H780" s="3"/>
      <c r="I780" s="135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5.75" customHeight="1" x14ac:dyDescent="0.35">
      <c r="A781" s="3"/>
      <c r="B781" s="3"/>
      <c r="C781" s="3"/>
      <c r="D781" s="3"/>
      <c r="E781" s="3"/>
      <c r="F781" s="3"/>
      <c r="G781" s="3"/>
      <c r="H781" s="3"/>
      <c r="I781" s="135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5.75" customHeight="1" x14ac:dyDescent="0.35">
      <c r="A782" s="3"/>
      <c r="B782" s="3"/>
      <c r="C782" s="3"/>
      <c r="D782" s="3"/>
      <c r="E782" s="3"/>
      <c r="F782" s="3"/>
      <c r="G782" s="3"/>
      <c r="H782" s="3"/>
      <c r="I782" s="135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5.75" customHeight="1" x14ac:dyDescent="0.35">
      <c r="A783" s="3"/>
      <c r="B783" s="3"/>
      <c r="C783" s="3"/>
      <c r="D783" s="3"/>
      <c r="E783" s="3"/>
      <c r="F783" s="3"/>
      <c r="G783" s="3"/>
      <c r="H783" s="3"/>
      <c r="I783" s="135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5.75" customHeight="1" x14ac:dyDescent="0.35">
      <c r="A784" s="3"/>
      <c r="B784" s="3"/>
      <c r="C784" s="3"/>
      <c r="D784" s="3"/>
      <c r="E784" s="3"/>
      <c r="F784" s="3"/>
      <c r="G784" s="3"/>
      <c r="H784" s="3"/>
      <c r="I784" s="135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5.75" customHeight="1" x14ac:dyDescent="0.35">
      <c r="A785" s="3"/>
      <c r="B785" s="3"/>
      <c r="C785" s="3"/>
      <c r="D785" s="3"/>
      <c r="E785" s="3"/>
      <c r="F785" s="3"/>
      <c r="G785" s="3"/>
      <c r="H785" s="3"/>
      <c r="I785" s="135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5.75" customHeight="1" x14ac:dyDescent="0.35">
      <c r="A786" s="3"/>
      <c r="B786" s="3"/>
      <c r="C786" s="3"/>
      <c r="D786" s="3"/>
      <c r="E786" s="3"/>
      <c r="F786" s="3"/>
      <c r="G786" s="3"/>
      <c r="H786" s="3"/>
      <c r="I786" s="135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5.75" customHeight="1" x14ac:dyDescent="0.35">
      <c r="A787" s="3"/>
      <c r="B787" s="3"/>
      <c r="C787" s="3"/>
      <c r="D787" s="3"/>
      <c r="E787" s="3"/>
      <c r="F787" s="3"/>
      <c r="G787" s="3"/>
      <c r="H787" s="3"/>
      <c r="I787" s="135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5.75" customHeight="1" x14ac:dyDescent="0.35">
      <c r="A788" s="3"/>
      <c r="B788" s="3"/>
      <c r="C788" s="3"/>
      <c r="D788" s="3"/>
      <c r="E788" s="3"/>
      <c r="F788" s="3"/>
      <c r="G788" s="3"/>
      <c r="H788" s="3"/>
      <c r="I788" s="135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5.75" customHeight="1" x14ac:dyDescent="0.35">
      <c r="A789" s="3"/>
      <c r="B789" s="3"/>
      <c r="C789" s="3"/>
      <c r="D789" s="3"/>
      <c r="E789" s="3"/>
      <c r="F789" s="3"/>
      <c r="G789" s="3"/>
      <c r="H789" s="3"/>
      <c r="I789" s="135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5.75" customHeight="1" x14ac:dyDescent="0.35">
      <c r="A790" s="3"/>
      <c r="B790" s="3"/>
      <c r="C790" s="3"/>
      <c r="D790" s="3"/>
      <c r="E790" s="3"/>
      <c r="F790" s="3"/>
      <c r="G790" s="3"/>
      <c r="H790" s="3"/>
      <c r="I790" s="135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5.75" customHeight="1" x14ac:dyDescent="0.35">
      <c r="A791" s="3"/>
      <c r="B791" s="3"/>
      <c r="C791" s="3"/>
      <c r="D791" s="3"/>
      <c r="E791" s="3"/>
      <c r="F791" s="3"/>
      <c r="G791" s="3"/>
      <c r="H791" s="3"/>
      <c r="I791" s="135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5.75" customHeight="1" x14ac:dyDescent="0.35">
      <c r="A792" s="3"/>
      <c r="B792" s="3"/>
      <c r="C792" s="3"/>
      <c r="D792" s="3"/>
      <c r="E792" s="3"/>
      <c r="F792" s="3"/>
      <c r="G792" s="3"/>
      <c r="H792" s="3"/>
      <c r="I792" s="135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5.75" customHeight="1" x14ac:dyDescent="0.35">
      <c r="A793" s="3"/>
      <c r="B793" s="3"/>
      <c r="C793" s="3"/>
      <c r="D793" s="3"/>
      <c r="E793" s="3"/>
      <c r="F793" s="3"/>
      <c r="G793" s="3"/>
      <c r="H793" s="3"/>
      <c r="I793" s="135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5.75" customHeight="1" x14ac:dyDescent="0.35">
      <c r="A794" s="3"/>
      <c r="B794" s="3"/>
      <c r="C794" s="3"/>
      <c r="D794" s="3"/>
      <c r="E794" s="3"/>
      <c r="F794" s="3"/>
      <c r="G794" s="3"/>
      <c r="H794" s="3"/>
      <c r="I794" s="135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5.75" customHeight="1" x14ac:dyDescent="0.35">
      <c r="A795" s="3"/>
      <c r="B795" s="3"/>
      <c r="C795" s="3"/>
      <c r="D795" s="3"/>
      <c r="E795" s="3"/>
      <c r="F795" s="3"/>
      <c r="G795" s="3"/>
      <c r="H795" s="3"/>
      <c r="I795" s="135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5.75" customHeight="1" x14ac:dyDescent="0.35">
      <c r="A796" s="3"/>
      <c r="B796" s="3"/>
      <c r="C796" s="3"/>
      <c r="D796" s="3"/>
      <c r="E796" s="3"/>
      <c r="F796" s="3"/>
      <c r="G796" s="3"/>
      <c r="H796" s="3"/>
      <c r="I796" s="135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5.75" customHeight="1" x14ac:dyDescent="0.35">
      <c r="A797" s="3"/>
      <c r="B797" s="3"/>
      <c r="C797" s="3"/>
      <c r="D797" s="3"/>
      <c r="E797" s="3"/>
      <c r="F797" s="3"/>
      <c r="G797" s="3"/>
      <c r="H797" s="3"/>
      <c r="I797" s="135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5.75" customHeight="1" x14ac:dyDescent="0.35">
      <c r="A798" s="3"/>
      <c r="B798" s="3"/>
      <c r="C798" s="3"/>
      <c r="D798" s="3"/>
      <c r="E798" s="3"/>
      <c r="F798" s="3"/>
      <c r="G798" s="3"/>
      <c r="H798" s="3"/>
      <c r="I798" s="135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5.75" customHeight="1" x14ac:dyDescent="0.35">
      <c r="A799" s="3"/>
      <c r="B799" s="3"/>
      <c r="C799" s="3"/>
      <c r="D799" s="3"/>
      <c r="E799" s="3"/>
      <c r="F799" s="3"/>
      <c r="G799" s="3"/>
      <c r="H799" s="3"/>
      <c r="I799" s="135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5.75" customHeight="1" x14ac:dyDescent="0.35">
      <c r="A800" s="3"/>
      <c r="B800" s="3"/>
      <c r="C800" s="3"/>
      <c r="D800" s="3"/>
      <c r="E800" s="3"/>
      <c r="F800" s="3"/>
      <c r="G800" s="3"/>
      <c r="H800" s="3"/>
      <c r="I800" s="135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5.75" customHeight="1" x14ac:dyDescent="0.35">
      <c r="A801" s="3"/>
      <c r="B801" s="3"/>
      <c r="C801" s="3"/>
      <c r="D801" s="3"/>
      <c r="E801" s="3"/>
      <c r="F801" s="3"/>
      <c r="G801" s="3"/>
      <c r="H801" s="3"/>
      <c r="I801" s="135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5.75" customHeight="1" x14ac:dyDescent="0.35">
      <c r="A802" s="3"/>
      <c r="B802" s="3"/>
      <c r="C802" s="3"/>
      <c r="D802" s="3"/>
      <c r="E802" s="3"/>
      <c r="F802" s="3"/>
      <c r="G802" s="3"/>
      <c r="H802" s="3"/>
      <c r="I802" s="135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5.75" customHeight="1" x14ac:dyDescent="0.35">
      <c r="A803" s="3"/>
      <c r="B803" s="3"/>
      <c r="C803" s="3"/>
      <c r="D803" s="3"/>
      <c r="E803" s="3"/>
      <c r="F803" s="3"/>
      <c r="G803" s="3"/>
      <c r="H803" s="3"/>
      <c r="I803" s="135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5.75" customHeight="1" x14ac:dyDescent="0.35">
      <c r="A804" s="3"/>
      <c r="B804" s="3"/>
      <c r="C804" s="3"/>
      <c r="D804" s="3"/>
      <c r="E804" s="3"/>
      <c r="F804" s="3"/>
      <c r="G804" s="3"/>
      <c r="H804" s="3"/>
      <c r="I804" s="135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5.75" customHeight="1" x14ac:dyDescent="0.35">
      <c r="A805" s="3"/>
      <c r="B805" s="3"/>
      <c r="C805" s="3"/>
      <c r="D805" s="3"/>
      <c r="E805" s="3"/>
      <c r="F805" s="3"/>
      <c r="G805" s="3"/>
      <c r="H805" s="3"/>
      <c r="I805" s="135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5.75" customHeight="1" x14ac:dyDescent="0.35">
      <c r="A806" s="3"/>
      <c r="B806" s="3"/>
      <c r="C806" s="3"/>
      <c r="D806" s="3"/>
      <c r="E806" s="3"/>
      <c r="F806" s="3"/>
      <c r="G806" s="3"/>
      <c r="H806" s="3"/>
      <c r="I806" s="135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5.75" customHeight="1" x14ac:dyDescent="0.35">
      <c r="A807" s="3"/>
      <c r="B807" s="3"/>
      <c r="C807" s="3"/>
      <c r="D807" s="3"/>
      <c r="E807" s="3"/>
      <c r="F807" s="3"/>
      <c r="G807" s="3"/>
      <c r="H807" s="3"/>
      <c r="I807" s="135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5.75" customHeight="1" x14ac:dyDescent="0.35">
      <c r="A808" s="3"/>
      <c r="B808" s="3"/>
      <c r="C808" s="3"/>
      <c r="D808" s="3"/>
      <c r="E808" s="3"/>
      <c r="F808" s="3"/>
      <c r="G808" s="3"/>
      <c r="H808" s="3"/>
      <c r="I808" s="135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5.75" customHeight="1" x14ac:dyDescent="0.35">
      <c r="A809" s="3"/>
      <c r="B809" s="3"/>
      <c r="C809" s="3"/>
      <c r="D809" s="3"/>
      <c r="E809" s="3"/>
      <c r="F809" s="3"/>
      <c r="G809" s="3"/>
      <c r="H809" s="3"/>
      <c r="I809" s="135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5.75" customHeight="1" x14ac:dyDescent="0.35">
      <c r="A810" s="3"/>
      <c r="B810" s="3"/>
      <c r="C810" s="3"/>
      <c r="D810" s="3"/>
      <c r="E810" s="3"/>
      <c r="F810" s="3"/>
      <c r="G810" s="3"/>
      <c r="H810" s="3"/>
      <c r="I810" s="135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5.75" customHeight="1" x14ac:dyDescent="0.35">
      <c r="A811" s="3"/>
      <c r="B811" s="3"/>
      <c r="C811" s="3"/>
      <c r="D811" s="3"/>
      <c r="E811" s="3"/>
      <c r="F811" s="3"/>
      <c r="G811" s="3"/>
      <c r="H811" s="3"/>
      <c r="I811" s="135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5.75" customHeight="1" x14ac:dyDescent="0.35">
      <c r="A812" s="3"/>
      <c r="B812" s="3"/>
      <c r="C812" s="3"/>
      <c r="D812" s="3"/>
      <c r="E812" s="3"/>
      <c r="F812" s="3"/>
      <c r="G812" s="3"/>
      <c r="H812" s="3"/>
      <c r="I812" s="135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5.75" customHeight="1" x14ac:dyDescent="0.35">
      <c r="A813" s="3"/>
      <c r="B813" s="3"/>
      <c r="C813" s="3"/>
      <c r="D813" s="3"/>
      <c r="E813" s="3"/>
      <c r="F813" s="3"/>
      <c r="G813" s="3"/>
      <c r="H813" s="3"/>
      <c r="I813" s="135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5.75" customHeight="1" x14ac:dyDescent="0.35">
      <c r="A814" s="3"/>
      <c r="B814" s="3"/>
      <c r="C814" s="3"/>
      <c r="D814" s="3"/>
      <c r="E814" s="3"/>
      <c r="F814" s="3"/>
      <c r="G814" s="3"/>
      <c r="H814" s="3"/>
      <c r="I814" s="135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5.75" customHeight="1" x14ac:dyDescent="0.35">
      <c r="A815" s="3"/>
      <c r="B815" s="3"/>
      <c r="C815" s="3"/>
      <c r="D815" s="3"/>
      <c r="E815" s="3"/>
      <c r="F815" s="3"/>
      <c r="G815" s="3"/>
      <c r="H815" s="3"/>
      <c r="I815" s="135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5.75" customHeight="1" x14ac:dyDescent="0.35">
      <c r="A816" s="3"/>
      <c r="B816" s="3"/>
      <c r="C816" s="3"/>
      <c r="D816" s="3"/>
      <c r="E816" s="3"/>
      <c r="F816" s="3"/>
      <c r="G816" s="3"/>
      <c r="H816" s="3"/>
      <c r="I816" s="135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5.75" customHeight="1" x14ac:dyDescent="0.35">
      <c r="A817" s="3"/>
      <c r="B817" s="3"/>
      <c r="C817" s="3"/>
      <c r="D817" s="3"/>
      <c r="E817" s="3"/>
      <c r="F817" s="3"/>
      <c r="G817" s="3"/>
      <c r="H817" s="3"/>
      <c r="I817" s="135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5.75" customHeight="1" x14ac:dyDescent="0.35">
      <c r="A818" s="3"/>
      <c r="B818" s="3"/>
      <c r="C818" s="3"/>
      <c r="D818" s="3"/>
      <c r="E818" s="3"/>
      <c r="F818" s="3"/>
      <c r="G818" s="3"/>
      <c r="H818" s="3"/>
      <c r="I818" s="135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5.75" customHeight="1" x14ac:dyDescent="0.35">
      <c r="A819" s="3"/>
      <c r="B819" s="3"/>
      <c r="C819" s="3"/>
      <c r="D819" s="3"/>
      <c r="E819" s="3"/>
      <c r="F819" s="3"/>
      <c r="G819" s="3"/>
      <c r="H819" s="3"/>
      <c r="I819" s="135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5.75" customHeight="1" x14ac:dyDescent="0.35">
      <c r="A820" s="3"/>
      <c r="B820" s="3"/>
      <c r="C820" s="3"/>
      <c r="D820" s="3"/>
      <c r="E820" s="3"/>
      <c r="F820" s="3"/>
      <c r="G820" s="3"/>
      <c r="H820" s="3"/>
      <c r="I820" s="135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5.75" customHeight="1" x14ac:dyDescent="0.35">
      <c r="A821" s="3"/>
      <c r="B821" s="3"/>
      <c r="C821" s="3"/>
      <c r="D821" s="3"/>
      <c r="E821" s="3"/>
      <c r="F821" s="3"/>
      <c r="G821" s="3"/>
      <c r="H821" s="3"/>
      <c r="I821" s="135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5.75" customHeight="1" x14ac:dyDescent="0.35">
      <c r="A822" s="3"/>
      <c r="B822" s="3"/>
      <c r="C822" s="3"/>
      <c r="D822" s="3"/>
      <c r="E822" s="3"/>
      <c r="F822" s="3"/>
      <c r="G822" s="3"/>
      <c r="H822" s="3"/>
      <c r="I822" s="135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5.75" customHeight="1" x14ac:dyDescent="0.35">
      <c r="A823" s="3"/>
      <c r="B823" s="3"/>
      <c r="C823" s="3"/>
      <c r="D823" s="3"/>
      <c r="E823" s="3"/>
      <c r="F823" s="3"/>
      <c r="G823" s="3"/>
      <c r="H823" s="3"/>
      <c r="I823" s="135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5.75" customHeight="1" x14ac:dyDescent="0.35">
      <c r="A824" s="3"/>
      <c r="B824" s="3"/>
      <c r="C824" s="3"/>
      <c r="D824" s="3"/>
      <c r="E824" s="3"/>
      <c r="F824" s="3"/>
      <c r="G824" s="3"/>
      <c r="H824" s="3"/>
      <c r="I824" s="135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5.75" customHeight="1" x14ac:dyDescent="0.35">
      <c r="A825" s="3"/>
      <c r="B825" s="3"/>
      <c r="C825" s="3"/>
      <c r="D825" s="3"/>
      <c r="E825" s="3"/>
      <c r="F825" s="3"/>
      <c r="G825" s="3"/>
      <c r="H825" s="3"/>
      <c r="I825" s="135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5.75" customHeight="1" x14ac:dyDescent="0.35">
      <c r="A826" s="3"/>
      <c r="B826" s="3"/>
      <c r="C826" s="3"/>
      <c r="D826" s="3"/>
      <c r="E826" s="3"/>
      <c r="F826" s="3"/>
      <c r="G826" s="3"/>
      <c r="H826" s="3"/>
      <c r="I826" s="135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5.75" customHeight="1" x14ac:dyDescent="0.35">
      <c r="A827" s="3"/>
      <c r="B827" s="3"/>
      <c r="C827" s="3"/>
      <c r="D827" s="3"/>
      <c r="E827" s="3"/>
      <c r="F827" s="3"/>
      <c r="G827" s="3"/>
      <c r="H827" s="3"/>
      <c r="I827" s="135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5.75" customHeight="1" x14ac:dyDescent="0.35">
      <c r="A828" s="3"/>
      <c r="B828" s="3"/>
      <c r="C828" s="3"/>
      <c r="D828" s="3"/>
      <c r="E828" s="3"/>
      <c r="F828" s="3"/>
      <c r="G828" s="3"/>
      <c r="H828" s="3"/>
      <c r="I828" s="135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5.75" customHeight="1" x14ac:dyDescent="0.35">
      <c r="A829" s="3"/>
      <c r="B829" s="3"/>
      <c r="C829" s="3"/>
      <c r="D829" s="3"/>
      <c r="E829" s="3"/>
      <c r="F829" s="3"/>
      <c r="G829" s="3"/>
      <c r="H829" s="3"/>
      <c r="I829" s="135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5.75" customHeight="1" x14ac:dyDescent="0.35">
      <c r="A830" s="3"/>
      <c r="B830" s="3"/>
      <c r="C830" s="3"/>
      <c r="D830" s="3"/>
      <c r="E830" s="3"/>
      <c r="F830" s="3"/>
      <c r="G830" s="3"/>
      <c r="H830" s="3"/>
      <c r="I830" s="135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5.75" customHeight="1" x14ac:dyDescent="0.35">
      <c r="A831" s="3"/>
      <c r="B831" s="3"/>
      <c r="C831" s="3"/>
      <c r="D831" s="3"/>
      <c r="E831" s="3"/>
      <c r="F831" s="3"/>
      <c r="G831" s="3"/>
      <c r="H831" s="3"/>
      <c r="I831" s="135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5.75" customHeight="1" x14ac:dyDescent="0.35">
      <c r="A832" s="3"/>
      <c r="B832" s="3"/>
      <c r="C832" s="3"/>
      <c r="D832" s="3"/>
      <c r="E832" s="3"/>
      <c r="F832" s="3"/>
      <c r="G832" s="3"/>
      <c r="H832" s="3"/>
      <c r="I832" s="135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5.75" customHeight="1" x14ac:dyDescent="0.35">
      <c r="A833" s="3"/>
      <c r="B833" s="3"/>
      <c r="C833" s="3"/>
      <c r="D833" s="3"/>
      <c r="E833" s="3"/>
      <c r="F833" s="3"/>
      <c r="G833" s="3"/>
      <c r="H833" s="3"/>
      <c r="I833" s="135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5.75" customHeight="1" x14ac:dyDescent="0.35">
      <c r="A834" s="3"/>
      <c r="B834" s="3"/>
      <c r="C834" s="3"/>
      <c r="D834" s="3"/>
      <c r="E834" s="3"/>
      <c r="F834" s="3"/>
      <c r="G834" s="3"/>
      <c r="H834" s="3"/>
      <c r="I834" s="135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5.75" customHeight="1" x14ac:dyDescent="0.35">
      <c r="A835" s="3"/>
      <c r="B835" s="3"/>
      <c r="C835" s="3"/>
      <c r="D835" s="3"/>
      <c r="E835" s="3"/>
      <c r="F835" s="3"/>
      <c r="G835" s="3"/>
      <c r="H835" s="3"/>
      <c r="I835" s="135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5.75" customHeight="1" x14ac:dyDescent="0.35">
      <c r="A836" s="3"/>
      <c r="B836" s="3"/>
      <c r="C836" s="3"/>
      <c r="D836" s="3"/>
      <c r="E836" s="3"/>
      <c r="F836" s="3"/>
      <c r="G836" s="3"/>
      <c r="H836" s="3"/>
      <c r="I836" s="135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5.75" customHeight="1" x14ac:dyDescent="0.35">
      <c r="A837" s="3"/>
      <c r="B837" s="3"/>
      <c r="C837" s="3"/>
      <c r="D837" s="3"/>
      <c r="E837" s="3"/>
      <c r="F837" s="3"/>
      <c r="G837" s="3"/>
      <c r="H837" s="3"/>
      <c r="I837" s="135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5.75" customHeight="1" x14ac:dyDescent="0.35">
      <c r="A838" s="3"/>
      <c r="B838" s="3"/>
      <c r="C838" s="3"/>
      <c r="D838" s="3"/>
      <c r="E838" s="3"/>
      <c r="F838" s="3"/>
      <c r="G838" s="3"/>
      <c r="H838" s="3"/>
      <c r="I838" s="135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5.75" customHeight="1" x14ac:dyDescent="0.35">
      <c r="A839" s="3"/>
      <c r="B839" s="3"/>
      <c r="C839" s="3"/>
      <c r="D839" s="3"/>
      <c r="E839" s="3"/>
      <c r="F839" s="3"/>
      <c r="G839" s="3"/>
      <c r="H839" s="3"/>
      <c r="I839" s="135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5.75" customHeight="1" x14ac:dyDescent="0.35">
      <c r="A840" s="3"/>
      <c r="B840" s="3"/>
      <c r="C840" s="3"/>
      <c r="D840" s="3"/>
      <c r="E840" s="3"/>
      <c r="F840" s="3"/>
      <c r="G840" s="3"/>
      <c r="H840" s="3"/>
      <c r="I840" s="135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5.75" customHeight="1" x14ac:dyDescent="0.35">
      <c r="A841" s="3"/>
      <c r="B841" s="3"/>
      <c r="C841" s="3"/>
      <c r="D841" s="3"/>
      <c r="E841" s="3"/>
      <c r="F841" s="3"/>
      <c r="G841" s="3"/>
      <c r="H841" s="3"/>
      <c r="I841" s="135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5.75" customHeight="1" x14ac:dyDescent="0.35">
      <c r="A842" s="3"/>
      <c r="B842" s="3"/>
      <c r="C842" s="3"/>
      <c r="D842" s="3"/>
      <c r="E842" s="3"/>
      <c r="F842" s="3"/>
      <c r="G842" s="3"/>
      <c r="H842" s="3"/>
      <c r="I842" s="135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5.75" customHeight="1" x14ac:dyDescent="0.35">
      <c r="A843" s="3"/>
      <c r="B843" s="3"/>
      <c r="C843" s="3"/>
      <c r="D843" s="3"/>
      <c r="E843" s="3"/>
      <c r="F843" s="3"/>
      <c r="G843" s="3"/>
      <c r="H843" s="3"/>
      <c r="I843" s="135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5.75" customHeight="1" x14ac:dyDescent="0.35">
      <c r="A844" s="3"/>
      <c r="B844" s="3"/>
      <c r="C844" s="3"/>
      <c r="D844" s="3"/>
      <c r="E844" s="3"/>
      <c r="F844" s="3"/>
      <c r="G844" s="3"/>
      <c r="H844" s="3"/>
      <c r="I844" s="135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5.75" customHeight="1" x14ac:dyDescent="0.35">
      <c r="A845" s="3"/>
      <c r="B845" s="3"/>
      <c r="C845" s="3"/>
      <c r="D845" s="3"/>
      <c r="E845" s="3"/>
      <c r="F845" s="3"/>
      <c r="G845" s="3"/>
      <c r="H845" s="3"/>
      <c r="I845" s="135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5.75" customHeight="1" x14ac:dyDescent="0.35">
      <c r="A846" s="3"/>
      <c r="B846" s="3"/>
      <c r="C846" s="3"/>
      <c r="D846" s="3"/>
      <c r="E846" s="3"/>
      <c r="F846" s="3"/>
      <c r="G846" s="3"/>
      <c r="H846" s="3"/>
      <c r="I846" s="135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5.75" customHeight="1" x14ac:dyDescent="0.35">
      <c r="A847" s="3"/>
      <c r="B847" s="3"/>
      <c r="C847" s="3"/>
      <c r="D847" s="3"/>
      <c r="E847" s="3"/>
      <c r="F847" s="3"/>
      <c r="G847" s="3"/>
      <c r="H847" s="3"/>
      <c r="I847" s="135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5.75" customHeight="1" x14ac:dyDescent="0.35">
      <c r="A848" s="3"/>
      <c r="B848" s="3"/>
      <c r="C848" s="3"/>
      <c r="D848" s="3"/>
      <c r="E848" s="3"/>
      <c r="F848" s="3"/>
      <c r="G848" s="3"/>
      <c r="H848" s="3"/>
      <c r="I848" s="135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5.75" customHeight="1" x14ac:dyDescent="0.35">
      <c r="A849" s="3"/>
      <c r="B849" s="3"/>
      <c r="C849" s="3"/>
      <c r="D849" s="3"/>
      <c r="E849" s="3"/>
      <c r="F849" s="3"/>
      <c r="G849" s="3"/>
      <c r="H849" s="3"/>
      <c r="I849" s="135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5.75" customHeight="1" x14ac:dyDescent="0.35">
      <c r="A850" s="3"/>
      <c r="B850" s="3"/>
      <c r="C850" s="3"/>
      <c r="D850" s="3"/>
      <c r="E850" s="3"/>
      <c r="F850" s="3"/>
      <c r="G850" s="3"/>
      <c r="H850" s="3"/>
      <c r="I850" s="135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5.75" customHeight="1" x14ac:dyDescent="0.35">
      <c r="A851" s="3"/>
      <c r="B851" s="3"/>
      <c r="C851" s="3"/>
      <c r="D851" s="3"/>
      <c r="E851" s="3"/>
      <c r="F851" s="3"/>
      <c r="G851" s="3"/>
      <c r="H851" s="3"/>
      <c r="I851" s="135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5.75" customHeight="1" x14ac:dyDescent="0.35">
      <c r="A852" s="3"/>
      <c r="B852" s="3"/>
      <c r="C852" s="3"/>
      <c r="D852" s="3"/>
      <c r="E852" s="3"/>
      <c r="F852" s="3"/>
      <c r="G852" s="3"/>
      <c r="H852" s="3"/>
      <c r="I852" s="135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5.75" customHeight="1" x14ac:dyDescent="0.35">
      <c r="A853" s="3"/>
      <c r="B853" s="3"/>
      <c r="C853" s="3"/>
      <c r="D853" s="3"/>
      <c r="E853" s="3"/>
      <c r="F853" s="3"/>
      <c r="G853" s="3"/>
      <c r="H853" s="3"/>
      <c r="I853" s="135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5.75" customHeight="1" x14ac:dyDescent="0.35">
      <c r="A854" s="3"/>
      <c r="B854" s="3"/>
      <c r="C854" s="3"/>
      <c r="D854" s="3"/>
      <c r="E854" s="3"/>
      <c r="F854" s="3"/>
      <c r="G854" s="3"/>
      <c r="H854" s="3"/>
      <c r="I854" s="135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5.75" customHeight="1" x14ac:dyDescent="0.35">
      <c r="A855" s="3"/>
      <c r="B855" s="3"/>
      <c r="C855" s="3"/>
      <c r="D855" s="3"/>
      <c r="E855" s="3"/>
      <c r="F855" s="3"/>
      <c r="G855" s="3"/>
      <c r="H855" s="3"/>
      <c r="I855" s="135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5.75" customHeight="1" x14ac:dyDescent="0.35">
      <c r="A856" s="3"/>
      <c r="B856" s="3"/>
      <c r="C856" s="3"/>
      <c r="D856" s="3"/>
      <c r="E856" s="3"/>
      <c r="F856" s="3"/>
      <c r="G856" s="3"/>
      <c r="H856" s="3"/>
      <c r="I856" s="135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5.75" customHeight="1" x14ac:dyDescent="0.35">
      <c r="A857" s="3"/>
      <c r="B857" s="3"/>
      <c r="C857" s="3"/>
      <c r="D857" s="3"/>
      <c r="E857" s="3"/>
      <c r="F857" s="3"/>
      <c r="G857" s="3"/>
      <c r="H857" s="3"/>
      <c r="I857" s="135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5.75" customHeight="1" x14ac:dyDescent="0.35">
      <c r="A858" s="3"/>
      <c r="B858" s="3"/>
      <c r="C858" s="3"/>
      <c r="D858" s="3"/>
      <c r="E858" s="3"/>
      <c r="F858" s="3"/>
      <c r="G858" s="3"/>
      <c r="H858" s="3"/>
      <c r="I858" s="135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5.75" customHeight="1" x14ac:dyDescent="0.35">
      <c r="A859" s="3"/>
      <c r="B859" s="3"/>
      <c r="C859" s="3"/>
      <c r="D859" s="3"/>
      <c r="E859" s="3"/>
      <c r="F859" s="3"/>
      <c r="G859" s="3"/>
      <c r="H859" s="3"/>
      <c r="I859" s="135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5.75" customHeight="1" x14ac:dyDescent="0.35">
      <c r="A860" s="3"/>
      <c r="B860" s="3"/>
      <c r="C860" s="3"/>
      <c r="D860" s="3"/>
      <c r="E860" s="3"/>
      <c r="F860" s="3"/>
      <c r="G860" s="3"/>
      <c r="H860" s="3"/>
      <c r="I860" s="135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5.75" customHeight="1" x14ac:dyDescent="0.35">
      <c r="A861" s="3"/>
      <c r="B861" s="3"/>
      <c r="C861" s="3"/>
      <c r="D861" s="3"/>
      <c r="E861" s="3"/>
      <c r="F861" s="3"/>
      <c r="G861" s="3"/>
      <c r="H861" s="3"/>
      <c r="I861" s="135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5.75" customHeight="1" x14ac:dyDescent="0.35">
      <c r="A862" s="3"/>
      <c r="B862" s="3"/>
      <c r="C862" s="3"/>
      <c r="D862" s="3"/>
      <c r="E862" s="3"/>
      <c r="F862" s="3"/>
      <c r="G862" s="3"/>
      <c r="H862" s="3"/>
      <c r="I862" s="135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5.75" customHeight="1" x14ac:dyDescent="0.35">
      <c r="A863" s="3"/>
      <c r="B863" s="3"/>
      <c r="C863" s="3"/>
      <c r="D863" s="3"/>
      <c r="E863" s="3"/>
      <c r="F863" s="3"/>
      <c r="G863" s="3"/>
      <c r="H863" s="3"/>
      <c r="I863" s="135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5.75" customHeight="1" x14ac:dyDescent="0.35">
      <c r="A864" s="3"/>
      <c r="B864" s="3"/>
      <c r="C864" s="3"/>
      <c r="D864" s="3"/>
      <c r="E864" s="3"/>
      <c r="F864" s="3"/>
      <c r="G864" s="3"/>
      <c r="H864" s="3"/>
      <c r="I864" s="135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5.75" customHeight="1" x14ac:dyDescent="0.35">
      <c r="A865" s="3"/>
      <c r="B865" s="3"/>
      <c r="C865" s="3"/>
      <c r="D865" s="3"/>
      <c r="E865" s="3"/>
      <c r="F865" s="3"/>
      <c r="G865" s="3"/>
      <c r="H865" s="3"/>
      <c r="I865" s="135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5.75" customHeight="1" x14ac:dyDescent="0.35">
      <c r="A866" s="3"/>
      <c r="B866" s="3"/>
      <c r="C866" s="3"/>
      <c r="D866" s="3"/>
      <c r="E866" s="3"/>
      <c r="F866" s="3"/>
      <c r="G866" s="3"/>
      <c r="H866" s="3"/>
      <c r="I866" s="135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5.75" customHeight="1" x14ac:dyDescent="0.35">
      <c r="A867" s="3"/>
      <c r="B867" s="3"/>
      <c r="C867" s="3"/>
      <c r="D867" s="3"/>
      <c r="E867" s="3"/>
      <c r="F867" s="3"/>
      <c r="G867" s="3"/>
      <c r="H867" s="3"/>
      <c r="I867" s="135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5.75" customHeight="1" x14ac:dyDescent="0.35">
      <c r="A868" s="3"/>
      <c r="B868" s="3"/>
      <c r="C868" s="3"/>
      <c r="D868" s="3"/>
      <c r="E868" s="3"/>
      <c r="F868" s="3"/>
      <c r="G868" s="3"/>
      <c r="H868" s="3"/>
      <c r="I868" s="135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5.75" customHeight="1" x14ac:dyDescent="0.35">
      <c r="A869" s="3"/>
      <c r="B869" s="3"/>
      <c r="C869" s="3"/>
      <c r="D869" s="3"/>
      <c r="E869" s="3"/>
      <c r="F869" s="3"/>
      <c r="G869" s="3"/>
      <c r="H869" s="3"/>
      <c r="I869" s="135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5.75" customHeight="1" x14ac:dyDescent="0.35">
      <c r="A870" s="3"/>
      <c r="B870" s="3"/>
      <c r="C870" s="3"/>
      <c r="D870" s="3"/>
      <c r="E870" s="3"/>
      <c r="F870" s="3"/>
      <c r="G870" s="3"/>
      <c r="H870" s="3"/>
      <c r="I870" s="135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5.75" customHeight="1" x14ac:dyDescent="0.35">
      <c r="A871" s="3"/>
      <c r="B871" s="3"/>
      <c r="C871" s="3"/>
      <c r="D871" s="3"/>
      <c r="E871" s="3"/>
      <c r="F871" s="3"/>
      <c r="G871" s="3"/>
      <c r="H871" s="3"/>
      <c r="I871" s="135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5.75" customHeight="1" x14ac:dyDescent="0.35">
      <c r="A872" s="3"/>
      <c r="B872" s="3"/>
      <c r="C872" s="3"/>
      <c r="D872" s="3"/>
      <c r="E872" s="3"/>
      <c r="F872" s="3"/>
      <c r="G872" s="3"/>
      <c r="H872" s="3"/>
      <c r="I872" s="135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5.75" customHeight="1" x14ac:dyDescent="0.35">
      <c r="A873" s="3"/>
      <c r="B873" s="3"/>
      <c r="C873" s="3"/>
      <c r="D873" s="3"/>
      <c r="E873" s="3"/>
      <c r="F873" s="3"/>
      <c r="G873" s="3"/>
      <c r="H873" s="3"/>
      <c r="I873" s="135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5.75" customHeight="1" x14ac:dyDescent="0.35">
      <c r="A874" s="3"/>
      <c r="B874" s="3"/>
      <c r="C874" s="3"/>
      <c r="D874" s="3"/>
      <c r="E874" s="3"/>
      <c r="F874" s="3"/>
      <c r="G874" s="3"/>
      <c r="H874" s="3"/>
      <c r="I874" s="135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5.75" customHeight="1" x14ac:dyDescent="0.35">
      <c r="A875" s="3"/>
      <c r="B875" s="3"/>
      <c r="C875" s="3"/>
      <c r="D875" s="3"/>
      <c r="E875" s="3"/>
      <c r="F875" s="3"/>
      <c r="G875" s="3"/>
      <c r="H875" s="3"/>
      <c r="I875" s="135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5.75" customHeight="1" x14ac:dyDescent="0.35">
      <c r="A876" s="3"/>
      <c r="B876" s="3"/>
      <c r="C876" s="3"/>
      <c r="D876" s="3"/>
      <c r="E876" s="3"/>
      <c r="F876" s="3"/>
      <c r="G876" s="3"/>
      <c r="H876" s="3"/>
      <c r="I876" s="135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5.75" customHeight="1" x14ac:dyDescent="0.35">
      <c r="A877" s="3"/>
      <c r="B877" s="3"/>
      <c r="C877" s="3"/>
      <c r="D877" s="3"/>
      <c r="E877" s="3"/>
      <c r="F877" s="3"/>
      <c r="G877" s="3"/>
      <c r="H877" s="3"/>
      <c r="I877" s="135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5.75" customHeight="1" x14ac:dyDescent="0.35">
      <c r="A878" s="3"/>
      <c r="B878" s="3"/>
      <c r="C878" s="3"/>
      <c r="D878" s="3"/>
      <c r="E878" s="3"/>
      <c r="F878" s="3"/>
      <c r="G878" s="3"/>
      <c r="H878" s="3"/>
      <c r="I878" s="135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5.75" customHeight="1" x14ac:dyDescent="0.35">
      <c r="A879" s="3"/>
      <c r="B879" s="3"/>
      <c r="C879" s="3"/>
      <c r="D879" s="3"/>
      <c r="E879" s="3"/>
      <c r="F879" s="3"/>
      <c r="G879" s="3"/>
      <c r="H879" s="3"/>
      <c r="I879" s="135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5.75" customHeight="1" x14ac:dyDescent="0.35">
      <c r="A880" s="3"/>
      <c r="B880" s="3"/>
      <c r="C880" s="3"/>
      <c r="D880" s="3"/>
      <c r="E880" s="3"/>
      <c r="F880" s="3"/>
      <c r="G880" s="3"/>
      <c r="H880" s="3"/>
      <c r="I880" s="135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5.75" customHeight="1" x14ac:dyDescent="0.35">
      <c r="A881" s="3"/>
      <c r="B881" s="3"/>
      <c r="C881" s="3"/>
      <c r="D881" s="3"/>
      <c r="E881" s="3"/>
      <c r="F881" s="3"/>
      <c r="G881" s="3"/>
      <c r="H881" s="3"/>
      <c r="I881" s="135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5.75" customHeight="1" x14ac:dyDescent="0.35">
      <c r="A882" s="3"/>
      <c r="B882" s="3"/>
      <c r="C882" s="3"/>
      <c r="D882" s="3"/>
      <c r="E882" s="3"/>
      <c r="F882" s="3"/>
      <c r="G882" s="3"/>
      <c r="H882" s="3"/>
      <c r="I882" s="135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5.75" customHeight="1" x14ac:dyDescent="0.35">
      <c r="A883" s="3"/>
      <c r="B883" s="3"/>
      <c r="C883" s="3"/>
      <c r="D883" s="3"/>
      <c r="E883" s="3"/>
      <c r="F883" s="3"/>
      <c r="G883" s="3"/>
      <c r="H883" s="3"/>
      <c r="I883" s="135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5.75" customHeight="1" x14ac:dyDescent="0.35">
      <c r="A884" s="3"/>
      <c r="B884" s="3"/>
      <c r="C884" s="3"/>
      <c r="D884" s="3"/>
      <c r="E884" s="3"/>
      <c r="F884" s="3"/>
      <c r="G884" s="3"/>
      <c r="H884" s="3"/>
      <c r="I884" s="135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5.75" customHeight="1" x14ac:dyDescent="0.35">
      <c r="A885" s="3"/>
      <c r="B885" s="3"/>
      <c r="C885" s="3"/>
      <c r="D885" s="3"/>
      <c r="E885" s="3"/>
      <c r="F885" s="3"/>
      <c r="G885" s="3"/>
      <c r="H885" s="3"/>
      <c r="I885" s="135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5.75" customHeight="1" x14ac:dyDescent="0.35">
      <c r="A886" s="3"/>
      <c r="B886" s="3"/>
      <c r="C886" s="3"/>
      <c r="D886" s="3"/>
      <c r="E886" s="3"/>
      <c r="F886" s="3"/>
      <c r="G886" s="3"/>
      <c r="H886" s="3"/>
      <c r="I886" s="135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5.75" customHeight="1" x14ac:dyDescent="0.35">
      <c r="A887" s="3"/>
      <c r="B887" s="3"/>
      <c r="C887" s="3"/>
      <c r="D887" s="3"/>
      <c r="E887" s="3"/>
      <c r="F887" s="3"/>
      <c r="G887" s="3"/>
      <c r="H887" s="3"/>
      <c r="I887" s="135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5.75" customHeight="1" x14ac:dyDescent="0.35">
      <c r="A888" s="3"/>
      <c r="B888" s="3"/>
      <c r="C888" s="3"/>
      <c r="D888" s="3"/>
      <c r="E888" s="3"/>
      <c r="F888" s="3"/>
      <c r="G888" s="3"/>
      <c r="H888" s="3"/>
      <c r="I888" s="135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5.75" customHeight="1" x14ac:dyDescent="0.35">
      <c r="A889" s="3"/>
      <c r="B889" s="3"/>
      <c r="C889" s="3"/>
      <c r="D889" s="3"/>
      <c r="E889" s="3"/>
      <c r="F889" s="3"/>
      <c r="G889" s="3"/>
      <c r="H889" s="3"/>
      <c r="I889" s="135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5.75" customHeight="1" x14ac:dyDescent="0.35">
      <c r="A890" s="3"/>
      <c r="B890" s="3"/>
      <c r="C890" s="3"/>
      <c r="D890" s="3"/>
      <c r="E890" s="3"/>
      <c r="F890" s="3"/>
      <c r="G890" s="3"/>
      <c r="H890" s="3"/>
      <c r="I890" s="135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5.75" customHeight="1" x14ac:dyDescent="0.35">
      <c r="A891" s="3"/>
      <c r="B891" s="3"/>
      <c r="C891" s="3"/>
      <c r="D891" s="3"/>
      <c r="E891" s="3"/>
      <c r="F891" s="3"/>
      <c r="G891" s="3"/>
      <c r="H891" s="3"/>
      <c r="I891" s="135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5.75" customHeight="1" x14ac:dyDescent="0.35">
      <c r="A892" s="3"/>
      <c r="B892" s="3"/>
      <c r="C892" s="3"/>
      <c r="D892" s="3"/>
      <c r="E892" s="3"/>
      <c r="F892" s="3"/>
      <c r="G892" s="3"/>
      <c r="H892" s="3"/>
      <c r="I892" s="135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5.75" customHeight="1" x14ac:dyDescent="0.35">
      <c r="A893" s="3"/>
      <c r="B893" s="3"/>
      <c r="C893" s="3"/>
      <c r="D893" s="3"/>
      <c r="E893" s="3"/>
      <c r="F893" s="3"/>
      <c r="G893" s="3"/>
      <c r="H893" s="3"/>
      <c r="I893" s="135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5.75" customHeight="1" x14ac:dyDescent="0.35">
      <c r="A894" s="3"/>
      <c r="B894" s="3"/>
      <c r="C894" s="3"/>
      <c r="D894" s="3"/>
      <c r="E894" s="3"/>
      <c r="F894" s="3"/>
      <c r="G894" s="3"/>
      <c r="H894" s="3"/>
      <c r="I894" s="135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5.75" customHeight="1" x14ac:dyDescent="0.35">
      <c r="A895" s="3"/>
      <c r="B895" s="3"/>
      <c r="C895" s="3"/>
      <c r="D895" s="3"/>
      <c r="E895" s="3"/>
      <c r="F895" s="3"/>
      <c r="G895" s="3"/>
      <c r="H895" s="3"/>
      <c r="I895" s="135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5.75" customHeight="1" x14ac:dyDescent="0.35">
      <c r="A896" s="3"/>
      <c r="B896" s="3"/>
      <c r="C896" s="3"/>
      <c r="D896" s="3"/>
      <c r="E896" s="3"/>
      <c r="F896" s="3"/>
      <c r="G896" s="3"/>
      <c r="H896" s="3"/>
      <c r="I896" s="135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5.75" customHeight="1" x14ac:dyDescent="0.35">
      <c r="A897" s="3"/>
      <c r="B897" s="3"/>
      <c r="C897" s="3"/>
      <c r="D897" s="3"/>
      <c r="E897" s="3"/>
      <c r="F897" s="3"/>
      <c r="G897" s="3"/>
      <c r="H897" s="3"/>
      <c r="I897" s="135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5.75" customHeight="1" x14ac:dyDescent="0.35">
      <c r="A898" s="3"/>
      <c r="B898" s="3"/>
      <c r="C898" s="3"/>
      <c r="D898" s="3"/>
      <c r="E898" s="3"/>
      <c r="F898" s="3"/>
      <c r="G898" s="3"/>
      <c r="H898" s="3"/>
      <c r="I898" s="135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5.75" customHeight="1" x14ac:dyDescent="0.35">
      <c r="A899" s="3"/>
      <c r="B899" s="3"/>
      <c r="C899" s="3"/>
      <c r="D899" s="3"/>
      <c r="E899" s="3"/>
      <c r="F899" s="3"/>
      <c r="G899" s="3"/>
      <c r="H899" s="3"/>
      <c r="I899" s="135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5.75" customHeight="1" x14ac:dyDescent="0.35">
      <c r="A900" s="3"/>
      <c r="B900" s="3"/>
      <c r="C900" s="3"/>
      <c r="D900" s="3"/>
      <c r="E900" s="3"/>
      <c r="F900" s="3"/>
      <c r="G900" s="3"/>
      <c r="H900" s="3"/>
      <c r="I900" s="135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5.75" customHeight="1" x14ac:dyDescent="0.35">
      <c r="A901" s="3"/>
      <c r="B901" s="3"/>
      <c r="C901" s="3"/>
      <c r="D901" s="3"/>
      <c r="E901" s="3"/>
      <c r="F901" s="3"/>
      <c r="G901" s="3"/>
      <c r="H901" s="3"/>
      <c r="I901" s="135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5.75" customHeight="1" x14ac:dyDescent="0.35">
      <c r="A902" s="3"/>
      <c r="B902" s="3"/>
      <c r="C902" s="3"/>
      <c r="D902" s="3"/>
      <c r="E902" s="3"/>
      <c r="F902" s="3"/>
      <c r="G902" s="3"/>
      <c r="H902" s="3"/>
      <c r="I902" s="135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5.75" customHeight="1" x14ac:dyDescent="0.35">
      <c r="A903" s="3"/>
      <c r="B903" s="3"/>
      <c r="C903" s="3"/>
      <c r="D903" s="3"/>
      <c r="E903" s="3"/>
      <c r="F903" s="3"/>
      <c r="G903" s="3"/>
      <c r="H903" s="3"/>
      <c r="I903" s="135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5.75" customHeight="1" x14ac:dyDescent="0.35">
      <c r="A904" s="3"/>
      <c r="B904" s="3"/>
      <c r="C904" s="3"/>
      <c r="D904" s="3"/>
      <c r="E904" s="3"/>
      <c r="F904" s="3"/>
      <c r="G904" s="3"/>
      <c r="H904" s="3"/>
      <c r="I904" s="135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5.75" customHeight="1" x14ac:dyDescent="0.35">
      <c r="A905" s="3"/>
      <c r="B905" s="3"/>
      <c r="C905" s="3"/>
      <c r="D905" s="3"/>
      <c r="E905" s="3"/>
      <c r="F905" s="3"/>
      <c r="G905" s="3"/>
      <c r="H905" s="3"/>
      <c r="I905" s="135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5.75" customHeight="1" x14ac:dyDescent="0.35">
      <c r="A906" s="3"/>
      <c r="B906" s="3"/>
      <c r="C906" s="3"/>
      <c r="D906" s="3"/>
      <c r="E906" s="3"/>
      <c r="F906" s="3"/>
      <c r="G906" s="3"/>
      <c r="H906" s="3"/>
      <c r="I906" s="135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5.75" customHeight="1" x14ac:dyDescent="0.35">
      <c r="A907" s="3"/>
      <c r="B907" s="3"/>
      <c r="C907" s="3"/>
      <c r="D907" s="3"/>
      <c r="E907" s="3"/>
      <c r="F907" s="3"/>
      <c r="G907" s="3"/>
      <c r="H907" s="3"/>
      <c r="I907" s="135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5.75" customHeight="1" x14ac:dyDescent="0.35">
      <c r="A908" s="3"/>
      <c r="B908" s="3"/>
      <c r="C908" s="3"/>
      <c r="D908" s="3"/>
      <c r="E908" s="3"/>
      <c r="F908" s="3"/>
      <c r="G908" s="3"/>
      <c r="H908" s="3"/>
      <c r="I908" s="135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5.75" customHeight="1" x14ac:dyDescent="0.35">
      <c r="A909" s="3"/>
      <c r="B909" s="3"/>
      <c r="C909" s="3"/>
      <c r="D909" s="3"/>
      <c r="E909" s="3"/>
      <c r="F909" s="3"/>
      <c r="G909" s="3"/>
      <c r="H909" s="3"/>
      <c r="I909" s="135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5.75" customHeight="1" x14ac:dyDescent="0.35">
      <c r="A910" s="3"/>
      <c r="B910" s="3"/>
      <c r="C910" s="3"/>
      <c r="D910" s="3"/>
      <c r="E910" s="3"/>
      <c r="F910" s="3"/>
      <c r="G910" s="3"/>
      <c r="H910" s="3"/>
      <c r="I910" s="135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5.75" customHeight="1" x14ac:dyDescent="0.35">
      <c r="A911" s="3"/>
      <c r="B911" s="3"/>
      <c r="C911" s="3"/>
      <c r="D911" s="3"/>
      <c r="E911" s="3"/>
      <c r="F911" s="3"/>
      <c r="G911" s="3"/>
      <c r="H911" s="3"/>
      <c r="I911" s="135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5.75" customHeight="1" x14ac:dyDescent="0.35">
      <c r="A912" s="3"/>
      <c r="B912" s="3"/>
      <c r="C912" s="3"/>
      <c r="D912" s="3"/>
      <c r="E912" s="3"/>
      <c r="F912" s="3"/>
      <c r="G912" s="3"/>
      <c r="H912" s="3"/>
      <c r="I912" s="135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5.75" customHeight="1" x14ac:dyDescent="0.35">
      <c r="A913" s="3"/>
      <c r="B913" s="3"/>
      <c r="C913" s="3"/>
      <c r="D913" s="3"/>
      <c r="E913" s="3"/>
      <c r="F913" s="3"/>
      <c r="G913" s="3"/>
      <c r="H913" s="3"/>
      <c r="I913" s="135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5.75" customHeight="1" x14ac:dyDescent="0.35">
      <c r="A914" s="3"/>
      <c r="B914" s="3"/>
      <c r="C914" s="3"/>
      <c r="D914" s="3"/>
      <c r="E914" s="3"/>
      <c r="F914" s="3"/>
      <c r="G914" s="3"/>
      <c r="H914" s="3"/>
      <c r="I914" s="135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5.75" customHeight="1" x14ac:dyDescent="0.35">
      <c r="A915" s="3"/>
      <c r="B915" s="3"/>
      <c r="C915" s="3"/>
      <c r="D915" s="3"/>
      <c r="E915" s="3"/>
      <c r="F915" s="3"/>
      <c r="G915" s="3"/>
      <c r="H915" s="3"/>
      <c r="I915" s="135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5.75" customHeight="1" x14ac:dyDescent="0.35">
      <c r="A916" s="3"/>
      <c r="B916" s="3"/>
      <c r="C916" s="3"/>
      <c r="D916" s="3"/>
      <c r="E916" s="3"/>
      <c r="F916" s="3"/>
      <c r="G916" s="3"/>
      <c r="H916" s="3"/>
      <c r="I916" s="135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5.75" customHeight="1" x14ac:dyDescent="0.35">
      <c r="A917" s="3"/>
      <c r="B917" s="3"/>
      <c r="C917" s="3"/>
      <c r="D917" s="3"/>
      <c r="E917" s="3"/>
      <c r="F917" s="3"/>
      <c r="G917" s="3"/>
      <c r="H917" s="3"/>
      <c r="I917" s="135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5.75" customHeight="1" x14ac:dyDescent="0.35">
      <c r="A918" s="3"/>
      <c r="B918" s="3"/>
      <c r="C918" s="3"/>
      <c r="D918" s="3"/>
      <c r="E918" s="3"/>
      <c r="F918" s="3"/>
      <c r="G918" s="3"/>
      <c r="H918" s="3"/>
      <c r="I918" s="135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5.75" customHeight="1" x14ac:dyDescent="0.35">
      <c r="A919" s="3"/>
      <c r="B919" s="3"/>
      <c r="C919" s="3"/>
      <c r="D919" s="3"/>
      <c r="E919" s="3"/>
      <c r="F919" s="3"/>
      <c r="G919" s="3"/>
      <c r="H919" s="3"/>
      <c r="I919" s="135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5.75" customHeight="1" x14ac:dyDescent="0.35">
      <c r="A920" s="3"/>
      <c r="B920" s="3"/>
      <c r="C920" s="3"/>
      <c r="D920" s="3"/>
      <c r="E920" s="3"/>
      <c r="F920" s="3"/>
      <c r="G920" s="3"/>
      <c r="H920" s="3"/>
      <c r="I920" s="135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5.75" customHeight="1" x14ac:dyDescent="0.35">
      <c r="A921" s="3"/>
      <c r="B921" s="3"/>
      <c r="C921" s="3"/>
      <c r="D921" s="3"/>
      <c r="E921" s="3"/>
      <c r="F921" s="3"/>
      <c r="G921" s="3"/>
      <c r="H921" s="3"/>
      <c r="I921" s="135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5.75" customHeight="1" x14ac:dyDescent="0.35">
      <c r="A922" s="3"/>
      <c r="B922" s="3"/>
      <c r="C922" s="3"/>
      <c r="D922" s="3"/>
      <c r="E922" s="3"/>
      <c r="F922" s="3"/>
      <c r="G922" s="3"/>
      <c r="H922" s="3"/>
      <c r="I922" s="135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5.75" customHeight="1" x14ac:dyDescent="0.35">
      <c r="A923" s="3"/>
      <c r="B923" s="3"/>
      <c r="C923" s="3"/>
      <c r="D923" s="3"/>
      <c r="E923" s="3"/>
      <c r="F923" s="3"/>
      <c r="G923" s="3"/>
      <c r="H923" s="3"/>
      <c r="I923" s="135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5.75" customHeight="1" x14ac:dyDescent="0.35">
      <c r="A924" s="3"/>
      <c r="B924" s="3"/>
      <c r="C924" s="3"/>
      <c r="D924" s="3"/>
      <c r="E924" s="3"/>
      <c r="F924" s="3"/>
      <c r="G924" s="3"/>
      <c r="H924" s="3"/>
      <c r="I924" s="135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5.75" customHeight="1" x14ac:dyDescent="0.35">
      <c r="A925" s="3"/>
      <c r="B925" s="3"/>
      <c r="C925" s="3"/>
      <c r="D925" s="3"/>
      <c r="E925" s="3"/>
      <c r="F925" s="3"/>
      <c r="G925" s="3"/>
      <c r="H925" s="3"/>
      <c r="I925" s="135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5.75" customHeight="1" x14ac:dyDescent="0.35">
      <c r="A926" s="3"/>
      <c r="B926" s="3"/>
      <c r="C926" s="3"/>
      <c r="D926" s="3"/>
      <c r="E926" s="3"/>
      <c r="F926" s="3"/>
      <c r="G926" s="3"/>
      <c r="H926" s="3"/>
      <c r="I926" s="135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5.75" customHeight="1" x14ac:dyDescent="0.35">
      <c r="A927" s="3"/>
      <c r="B927" s="3"/>
      <c r="C927" s="3"/>
      <c r="D927" s="3"/>
      <c r="E927" s="3"/>
      <c r="F927" s="3"/>
      <c r="G927" s="3"/>
      <c r="H927" s="3"/>
      <c r="I927" s="135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5.75" customHeight="1" x14ac:dyDescent="0.35">
      <c r="A928" s="3"/>
      <c r="B928" s="3"/>
      <c r="C928" s="3"/>
      <c r="D928" s="3"/>
      <c r="E928" s="3"/>
      <c r="F928" s="3"/>
      <c r="G928" s="3"/>
      <c r="H928" s="3"/>
      <c r="I928" s="135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5.75" customHeight="1" x14ac:dyDescent="0.35">
      <c r="A929" s="3"/>
      <c r="B929" s="3"/>
      <c r="C929" s="3"/>
      <c r="D929" s="3"/>
      <c r="E929" s="3"/>
      <c r="F929" s="3"/>
      <c r="G929" s="3"/>
      <c r="H929" s="3"/>
      <c r="I929" s="135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5.75" customHeight="1" x14ac:dyDescent="0.35">
      <c r="A930" s="3"/>
      <c r="B930" s="3"/>
      <c r="C930" s="3"/>
      <c r="D930" s="3"/>
      <c r="E930" s="3"/>
      <c r="F930" s="3"/>
      <c r="G930" s="3"/>
      <c r="H930" s="3"/>
      <c r="I930" s="135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5.75" customHeight="1" x14ac:dyDescent="0.35">
      <c r="A931" s="3"/>
      <c r="B931" s="3"/>
      <c r="C931" s="3"/>
      <c r="D931" s="3"/>
      <c r="E931" s="3"/>
      <c r="F931" s="3"/>
      <c r="G931" s="3"/>
      <c r="H931" s="3"/>
      <c r="I931" s="135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5.75" customHeight="1" x14ac:dyDescent="0.35">
      <c r="A932" s="3"/>
      <c r="B932" s="3"/>
      <c r="C932" s="3"/>
      <c r="D932" s="3"/>
      <c r="E932" s="3"/>
      <c r="F932" s="3"/>
      <c r="G932" s="3"/>
      <c r="H932" s="3"/>
      <c r="I932" s="135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5.75" customHeight="1" x14ac:dyDescent="0.35">
      <c r="A933" s="3"/>
      <c r="B933" s="3"/>
      <c r="C933" s="3"/>
      <c r="D933" s="3"/>
      <c r="E933" s="3"/>
      <c r="F933" s="3"/>
      <c r="G933" s="3"/>
      <c r="H933" s="3"/>
      <c r="I933" s="135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5.75" customHeight="1" x14ac:dyDescent="0.35">
      <c r="A934" s="3"/>
      <c r="B934" s="3"/>
      <c r="C934" s="3"/>
      <c r="D934" s="3"/>
      <c r="E934" s="3"/>
      <c r="F934" s="3"/>
      <c r="G934" s="3"/>
      <c r="H934" s="3"/>
      <c r="I934" s="135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5.75" customHeight="1" x14ac:dyDescent="0.35">
      <c r="A935" s="3"/>
      <c r="B935" s="3"/>
      <c r="C935" s="3"/>
      <c r="D935" s="3"/>
      <c r="E935" s="3"/>
      <c r="F935" s="3"/>
      <c r="G935" s="3"/>
      <c r="H935" s="3"/>
      <c r="I935" s="135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5.75" customHeight="1" x14ac:dyDescent="0.35">
      <c r="A936" s="3"/>
      <c r="B936" s="3"/>
      <c r="C936" s="3"/>
      <c r="D936" s="3"/>
      <c r="E936" s="3"/>
      <c r="F936" s="3"/>
      <c r="G936" s="3"/>
      <c r="H936" s="3"/>
      <c r="I936" s="135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5.75" customHeight="1" x14ac:dyDescent="0.35">
      <c r="A937" s="3"/>
      <c r="B937" s="3"/>
      <c r="C937" s="3"/>
      <c r="D937" s="3"/>
      <c r="E937" s="3"/>
      <c r="F937" s="3"/>
      <c r="G937" s="3"/>
      <c r="H937" s="3"/>
      <c r="I937" s="135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5.75" customHeight="1" x14ac:dyDescent="0.35">
      <c r="A938" s="3"/>
      <c r="B938" s="3"/>
      <c r="C938" s="3"/>
      <c r="D938" s="3"/>
      <c r="E938" s="3"/>
      <c r="F938" s="3"/>
      <c r="G938" s="3"/>
      <c r="H938" s="3"/>
      <c r="I938" s="135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5.75" customHeight="1" x14ac:dyDescent="0.35">
      <c r="A939" s="3"/>
      <c r="B939" s="3"/>
      <c r="C939" s="3"/>
      <c r="D939" s="3"/>
      <c r="E939" s="3"/>
      <c r="F939" s="3"/>
      <c r="G939" s="3"/>
      <c r="H939" s="3"/>
      <c r="I939" s="135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5.75" customHeight="1" x14ac:dyDescent="0.35">
      <c r="A940" s="3"/>
      <c r="B940" s="3"/>
      <c r="C940" s="3"/>
      <c r="D940" s="3"/>
      <c r="E940" s="3"/>
      <c r="F940" s="3"/>
      <c r="G940" s="3"/>
      <c r="H940" s="3"/>
      <c r="I940" s="135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5.75" customHeight="1" x14ac:dyDescent="0.35">
      <c r="A941" s="3"/>
      <c r="B941" s="3"/>
      <c r="C941" s="3"/>
      <c r="D941" s="3"/>
      <c r="E941" s="3"/>
      <c r="F941" s="3"/>
      <c r="G941" s="3"/>
      <c r="H941" s="3"/>
      <c r="I941" s="135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5.75" customHeight="1" x14ac:dyDescent="0.35">
      <c r="A942" s="3"/>
      <c r="B942" s="3"/>
      <c r="C942" s="3"/>
      <c r="D942" s="3"/>
      <c r="E942" s="3"/>
      <c r="F942" s="3"/>
      <c r="G942" s="3"/>
      <c r="H942" s="3"/>
      <c r="I942" s="135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5.75" customHeight="1" x14ac:dyDescent="0.35">
      <c r="A943" s="3"/>
      <c r="B943" s="3"/>
      <c r="C943" s="3"/>
      <c r="D943" s="3"/>
      <c r="E943" s="3"/>
      <c r="F943" s="3"/>
      <c r="G943" s="3"/>
      <c r="H943" s="3"/>
      <c r="I943" s="135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5.75" customHeight="1" x14ac:dyDescent="0.35">
      <c r="A944" s="3"/>
      <c r="B944" s="3"/>
      <c r="C944" s="3"/>
      <c r="D944" s="3"/>
      <c r="E944" s="3"/>
      <c r="F944" s="3"/>
      <c r="G944" s="3"/>
      <c r="H944" s="3"/>
      <c r="I944" s="135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5.75" customHeight="1" x14ac:dyDescent="0.35">
      <c r="A945" s="3"/>
      <c r="B945" s="3"/>
      <c r="C945" s="3"/>
      <c r="D945" s="3"/>
      <c r="E945" s="3"/>
      <c r="F945" s="3"/>
      <c r="G945" s="3"/>
      <c r="H945" s="3"/>
      <c r="I945" s="135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5.75" customHeight="1" x14ac:dyDescent="0.35">
      <c r="A946" s="3"/>
      <c r="B946" s="3"/>
      <c r="C946" s="3"/>
      <c r="D946" s="3"/>
      <c r="E946" s="3"/>
      <c r="F946" s="3"/>
      <c r="G946" s="3"/>
      <c r="H946" s="3"/>
      <c r="I946" s="135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5.75" customHeight="1" x14ac:dyDescent="0.35">
      <c r="A947" s="3"/>
      <c r="B947" s="3"/>
      <c r="C947" s="3"/>
      <c r="D947" s="3"/>
      <c r="E947" s="3"/>
      <c r="F947" s="3"/>
      <c r="G947" s="3"/>
      <c r="H947" s="3"/>
      <c r="I947" s="135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5.75" customHeight="1" x14ac:dyDescent="0.35">
      <c r="A948" s="3"/>
      <c r="B948" s="3"/>
      <c r="C948" s="3"/>
      <c r="D948" s="3"/>
      <c r="E948" s="3"/>
      <c r="F948" s="3"/>
      <c r="G948" s="3"/>
      <c r="H948" s="3"/>
      <c r="I948" s="135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5.75" customHeight="1" x14ac:dyDescent="0.35">
      <c r="A949" s="3"/>
      <c r="B949" s="3"/>
      <c r="C949" s="3"/>
      <c r="D949" s="3"/>
      <c r="E949" s="3"/>
      <c r="F949" s="3"/>
      <c r="G949" s="3"/>
      <c r="H949" s="3"/>
      <c r="I949" s="135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5.75" customHeight="1" x14ac:dyDescent="0.35">
      <c r="A950" s="3"/>
      <c r="B950" s="3"/>
      <c r="C950" s="3"/>
      <c r="D950" s="3"/>
      <c r="E950" s="3"/>
      <c r="F950" s="3"/>
      <c r="G950" s="3"/>
      <c r="H950" s="3"/>
      <c r="I950" s="135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5.75" customHeight="1" x14ac:dyDescent="0.35">
      <c r="A951" s="3"/>
      <c r="B951" s="3"/>
      <c r="C951" s="3"/>
      <c r="D951" s="3"/>
      <c r="E951" s="3"/>
      <c r="F951" s="3"/>
      <c r="G951" s="3"/>
      <c r="H951" s="3"/>
      <c r="I951" s="135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5.75" customHeight="1" x14ac:dyDescent="0.35">
      <c r="A952" s="3"/>
      <c r="B952" s="3"/>
      <c r="C952" s="3"/>
      <c r="D952" s="3"/>
      <c r="E952" s="3"/>
      <c r="F952" s="3"/>
      <c r="G952" s="3"/>
      <c r="H952" s="3"/>
      <c r="I952" s="135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5.75" customHeight="1" x14ac:dyDescent="0.35">
      <c r="A953" s="3"/>
      <c r="B953" s="3"/>
      <c r="C953" s="3"/>
      <c r="D953" s="3"/>
      <c r="E953" s="3"/>
      <c r="F953" s="3"/>
      <c r="G953" s="3"/>
      <c r="H953" s="3"/>
      <c r="I953" s="135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5.75" customHeight="1" x14ac:dyDescent="0.35">
      <c r="A954" s="3"/>
      <c r="B954" s="3"/>
      <c r="C954" s="3"/>
      <c r="D954" s="3"/>
      <c r="E954" s="3"/>
      <c r="F954" s="3"/>
      <c r="G954" s="3"/>
      <c r="H954" s="3"/>
      <c r="I954" s="135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5.75" customHeight="1" x14ac:dyDescent="0.35">
      <c r="A955" s="3"/>
      <c r="B955" s="3"/>
      <c r="C955" s="3"/>
      <c r="D955" s="3"/>
      <c r="E955" s="3"/>
      <c r="F955" s="3"/>
      <c r="G955" s="3"/>
      <c r="H955" s="3"/>
      <c r="I955" s="135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5.75" customHeight="1" x14ac:dyDescent="0.35">
      <c r="A956" s="3"/>
      <c r="B956" s="3"/>
      <c r="C956" s="3"/>
      <c r="D956" s="3"/>
      <c r="E956" s="3"/>
      <c r="F956" s="3"/>
      <c r="G956" s="3"/>
      <c r="H956" s="3"/>
      <c r="I956" s="135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5.75" customHeight="1" x14ac:dyDescent="0.35">
      <c r="A957" s="3"/>
      <c r="B957" s="3"/>
      <c r="C957" s="3"/>
      <c r="D957" s="3"/>
      <c r="E957" s="3"/>
      <c r="F957" s="3"/>
      <c r="G957" s="3"/>
      <c r="H957" s="3"/>
      <c r="I957" s="135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5.75" customHeight="1" x14ac:dyDescent="0.35">
      <c r="A958" s="3"/>
      <c r="B958" s="3"/>
      <c r="C958" s="3"/>
      <c r="D958" s="3"/>
      <c r="E958" s="3"/>
      <c r="F958" s="3"/>
      <c r="G958" s="3"/>
      <c r="H958" s="3"/>
      <c r="I958" s="135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5.75" customHeight="1" x14ac:dyDescent="0.35">
      <c r="A959" s="3"/>
      <c r="B959" s="3"/>
      <c r="C959" s="3"/>
      <c r="D959" s="3"/>
      <c r="E959" s="3"/>
      <c r="F959" s="3"/>
      <c r="G959" s="3"/>
      <c r="H959" s="3"/>
      <c r="I959" s="135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5.75" customHeight="1" x14ac:dyDescent="0.35">
      <c r="A960" s="3"/>
      <c r="B960" s="3"/>
      <c r="C960" s="3"/>
      <c r="D960" s="3"/>
      <c r="E960" s="3"/>
      <c r="F960" s="3"/>
      <c r="G960" s="3"/>
      <c r="H960" s="3"/>
      <c r="I960" s="135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5.75" customHeight="1" x14ac:dyDescent="0.35">
      <c r="A961" s="3"/>
      <c r="B961" s="3"/>
      <c r="C961" s="3"/>
      <c r="D961" s="3"/>
      <c r="E961" s="3"/>
      <c r="F961" s="3"/>
      <c r="G961" s="3"/>
      <c r="H961" s="3"/>
      <c r="I961" s="135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5.75" customHeight="1" x14ac:dyDescent="0.35">
      <c r="A962" s="3"/>
      <c r="B962" s="3"/>
      <c r="C962" s="3"/>
      <c r="D962" s="3"/>
      <c r="E962" s="3"/>
      <c r="F962" s="3"/>
      <c r="G962" s="3"/>
      <c r="H962" s="3"/>
      <c r="I962" s="135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5.75" customHeight="1" x14ac:dyDescent="0.35">
      <c r="A963" s="3"/>
      <c r="B963" s="3"/>
      <c r="C963" s="3"/>
      <c r="D963" s="3"/>
      <c r="E963" s="3"/>
      <c r="F963" s="3"/>
      <c r="G963" s="3"/>
      <c r="H963" s="3"/>
      <c r="I963" s="135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5.75" customHeight="1" x14ac:dyDescent="0.35">
      <c r="A964" s="3"/>
      <c r="B964" s="3"/>
      <c r="C964" s="3"/>
      <c r="D964" s="3"/>
      <c r="E964" s="3"/>
      <c r="F964" s="3"/>
      <c r="G964" s="3"/>
      <c r="H964" s="3"/>
      <c r="I964" s="135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5.75" customHeight="1" x14ac:dyDescent="0.35">
      <c r="A965" s="3"/>
      <c r="B965" s="3"/>
      <c r="C965" s="3"/>
      <c r="D965" s="3"/>
      <c r="E965" s="3"/>
      <c r="F965" s="3"/>
      <c r="G965" s="3"/>
      <c r="H965" s="3"/>
      <c r="I965" s="135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5.75" customHeight="1" x14ac:dyDescent="0.35">
      <c r="A966" s="3"/>
      <c r="B966" s="3"/>
      <c r="C966" s="3"/>
      <c r="D966" s="3"/>
      <c r="E966" s="3"/>
      <c r="F966" s="3"/>
      <c r="G966" s="3"/>
      <c r="H966" s="3"/>
      <c r="I966" s="135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5.75" customHeight="1" x14ac:dyDescent="0.35">
      <c r="A967" s="3"/>
      <c r="B967" s="3"/>
      <c r="C967" s="3"/>
      <c r="D967" s="3"/>
      <c r="E967" s="3"/>
      <c r="F967" s="3"/>
      <c r="G967" s="3"/>
      <c r="H967" s="3"/>
      <c r="I967" s="135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5.75" customHeight="1" x14ac:dyDescent="0.35">
      <c r="A968" s="3"/>
      <c r="B968" s="3"/>
      <c r="C968" s="3"/>
      <c r="D968" s="3"/>
      <c r="E968" s="3"/>
      <c r="F968" s="3"/>
      <c r="G968" s="3"/>
      <c r="H968" s="3"/>
      <c r="I968" s="135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5.75" customHeight="1" x14ac:dyDescent="0.35">
      <c r="A969" s="3"/>
      <c r="B969" s="3"/>
      <c r="C969" s="3"/>
      <c r="D969" s="3"/>
      <c r="E969" s="3"/>
      <c r="F969" s="3"/>
      <c r="G969" s="3"/>
      <c r="H969" s="3"/>
      <c r="I969" s="135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5.75" customHeight="1" x14ac:dyDescent="0.35">
      <c r="A970" s="3"/>
      <c r="B970" s="3"/>
      <c r="C970" s="3"/>
      <c r="D970" s="3"/>
      <c r="E970" s="3"/>
      <c r="F970" s="3"/>
      <c r="G970" s="3"/>
      <c r="H970" s="3"/>
      <c r="I970" s="135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5.75" customHeight="1" x14ac:dyDescent="0.35">
      <c r="A971" s="3"/>
      <c r="B971" s="3"/>
      <c r="C971" s="3"/>
      <c r="D971" s="3"/>
      <c r="E971" s="3"/>
      <c r="F971" s="3"/>
      <c r="G971" s="3"/>
      <c r="H971" s="3"/>
      <c r="I971" s="135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5" customHeight="1" x14ac:dyDescent="0.35">
      <c r="A972" s="3"/>
      <c r="B972" s="3"/>
      <c r="C972" s="3"/>
      <c r="D972" s="3"/>
      <c r="E972" s="3"/>
      <c r="F972" s="3"/>
      <c r="G972" s="3"/>
      <c r="H972" s="3"/>
      <c r="I972" s="135"/>
      <c r="J972" s="3"/>
      <c r="K972" s="3"/>
      <c r="L972" s="3"/>
      <c r="M972" s="3"/>
      <c r="N972" s="3"/>
      <c r="O972" s="3"/>
      <c r="P972" s="3"/>
    </row>
    <row r="973" spans="1:30" ht="15" customHeight="1" x14ac:dyDescent="0.35">
      <c r="A973" s="3"/>
      <c r="B973" s="3"/>
      <c r="C973" s="3"/>
      <c r="D973" s="3"/>
      <c r="E973" s="3"/>
      <c r="F973" s="3"/>
      <c r="G973" s="3"/>
      <c r="H973" s="3"/>
      <c r="I973" s="135"/>
      <c r="J973" s="3"/>
      <c r="K973" s="3"/>
      <c r="L973" s="3"/>
      <c r="M973" s="3"/>
      <c r="N973" s="3"/>
      <c r="O973" s="3"/>
      <c r="P973" s="3"/>
    </row>
    <row r="974" spans="1:30" ht="15" customHeight="1" x14ac:dyDescent="0.35">
      <c r="A974" s="3"/>
      <c r="B974" s="3"/>
      <c r="C974" s="3"/>
      <c r="D974" s="3"/>
      <c r="E974" s="3"/>
      <c r="F974" s="3"/>
      <c r="G974" s="3"/>
      <c r="H974" s="3"/>
      <c r="I974" s="135"/>
      <c r="J974" s="3"/>
      <c r="K974" s="3"/>
      <c r="L974" s="3"/>
      <c r="M974" s="3"/>
      <c r="N974" s="3"/>
      <c r="O974" s="3"/>
      <c r="P974" s="3"/>
    </row>
    <row r="975" spans="1:30" ht="15" customHeight="1" x14ac:dyDescent="0.35">
      <c r="A975" s="3"/>
      <c r="B975" s="3"/>
      <c r="C975" s="3"/>
      <c r="D975" s="3"/>
      <c r="E975" s="3"/>
      <c r="F975" s="3"/>
      <c r="G975" s="3"/>
      <c r="H975" s="3"/>
      <c r="I975" s="135"/>
      <c r="J975" s="3"/>
      <c r="K975" s="3"/>
      <c r="L975" s="3"/>
      <c r="M975" s="3"/>
      <c r="N975" s="3"/>
      <c r="O975" s="3"/>
      <c r="P975" s="3"/>
    </row>
    <row r="976" spans="1:30" ht="15" customHeight="1" x14ac:dyDescent="0.35">
      <c r="A976" s="3"/>
      <c r="B976" s="3"/>
      <c r="C976" s="3"/>
      <c r="D976" s="3"/>
      <c r="E976" s="3"/>
      <c r="F976" s="3"/>
      <c r="G976" s="3"/>
      <c r="H976" s="3"/>
      <c r="I976" s="135"/>
      <c r="J976" s="3"/>
      <c r="K976" s="3"/>
      <c r="L976" s="3"/>
      <c r="M976" s="3"/>
      <c r="N976" s="3"/>
      <c r="O976" s="3"/>
      <c r="P976" s="3"/>
    </row>
    <row r="977" spans="1:16" ht="15" customHeight="1" x14ac:dyDescent="0.35">
      <c r="A977" s="3"/>
      <c r="B977" s="3"/>
      <c r="C977" s="3"/>
      <c r="D977" s="3"/>
      <c r="E977" s="3"/>
      <c r="F977" s="3"/>
      <c r="G977" s="3"/>
      <c r="H977" s="3"/>
      <c r="I977" s="135"/>
      <c r="J977" s="3"/>
      <c r="K977" s="3"/>
      <c r="L977" s="3"/>
      <c r="M977" s="3"/>
      <c r="N977" s="3"/>
      <c r="O977" s="3"/>
      <c r="P977" s="3"/>
    </row>
  </sheetData>
  <mergeCells count="5">
    <mergeCell ref="A2:C2"/>
    <mergeCell ref="D2:K2"/>
    <mergeCell ref="M2:O2"/>
    <mergeCell ref="A3:O3"/>
    <mergeCell ref="A4:O4"/>
  </mergeCells>
  <pageMargins left="0.7" right="0.7" top="0.75" bottom="0.75" header="0" footer="0"/>
  <pageSetup orientation="portrait"/>
  <ignoredErrors>
    <ignoredError sqref="J9" calculatedColumn="1"/>
  </ignoredErrors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6999-557F-F94A-BF29-C328F704D33A}">
  <dimension ref="A1:W37"/>
  <sheetViews>
    <sheetView zoomScale="170" zoomScaleNormal="170" workbookViewId="0">
      <pane xSplit="2" ySplit="3" topLeftCell="C12" activePane="bottomRight" state="frozen"/>
      <selection pane="topRight" activeCell="C1" sqref="C1"/>
      <selection pane="bottomLeft" activeCell="A4" sqref="A4"/>
      <selection pane="bottomRight" activeCell="A16" sqref="A16"/>
    </sheetView>
  </sheetViews>
  <sheetFormatPr defaultColWidth="10.6640625" defaultRowHeight="12.75" x14ac:dyDescent="0.35"/>
  <cols>
    <col min="1" max="1" width="13.33203125" customWidth="1"/>
    <col min="2" max="2" width="11.33203125" customWidth="1"/>
    <col min="3" max="3" width="16.1328125" style="76" bestFit="1" customWidth="1"/>
    <col min="4" max="4" width="11.33203125" style="59" customWidth="1"/>
    <col min="5" max="5" width="12.33203125" style="51" customWidth="1"/>
    <col min="6" max="6" width="15.46484375" style="42" customWidth="1"/>
    <col min="7" max="7" width="15" customWidth="1"/>
    <col min="8" max="9" width="12.33203125" style="51" customWidth="1"/>
    <col min="10" max="10" width="12.33203125" style="59" customWidth="1"/>
    <col min="11" max="11" width="13" style="59" customWidth="1"/>
    <col min="12" max="12" width="10.46484375" style="42" customWidth="1"/>
    <col min="13" max="13" width="11.1328125" style="42" customWidth="1"/>
    <col min="14" max="14" width="12.796875" style="59" customWidth="1"/>
    <col min="15" max="15" width="16.46484375" style="70" bestFit="1" customWidth="1"/>
    <col min="16" max="16" width="13" style="70" customWidth="1"/>
    <col min="17" max="17" width="15.33203125" bestFit="1" customWidth="1"/>
    <col min="18" max="18" width="14.33203125" style="48" customWidth="1"/>
    <col min="19" max="19" width="14.33203125" style="50" bestFit="1" customWidth="1"/>
    <col min="20" max="20" width="43.33203125" style="50" customWidth="1"/>
    <col min="21" max="21" width="40.1328125" customWidth="1"/>
    <col min="22" max="22" width="25.796875" customWidth="1"/>
    <col min="23" max="23" width="30.6640625" customWidth="1"/>
  </cols>
  <sheetData>
    <row r="1" spans="1:23" ht="13.15" thickBot="1" x14ac:dyDescent="0.4">
      <c r="A1" s="24" t="s">
        <v>56</v>
      </c>
      <c r="B1" s="49">
        <v>45702</v>
      </c>
      <c r="C1" s="74"/>
      <c r="D1" s="65"/>
      <c r="E1" s="55"/>
      <c r="F1" s="77"/>
      <c r="G1" s="50"/>
      <c r="H1" s="53"/>
      <c r="I1" s="53"/>
      <c r="J1" s="57"/>
      <c r="K1" s="57"/>
      <c r="L1" s="56"/>
      <c r="M1" s="56"/>
      <c r="N1" s="57"/>
      <c r="O1" s="68"/>
      <c r="P1" s="68"/>
      <c r="Q1" s="50"/>
      <c r="R1" s="90"/>
    </row>
    <row r="2" spans="1:23" ht="13.5" thickTop="1" x14ac:dyDescent="0.4">
      <c r="A2" s="95" t="s">
        <v>146</v>
      </c>
      <c r="B2" s="96"/>
      <c r="C2" s="96"/>
      <c r="D2" s="106">
        <f>SUBTOTAL(101,Table2[GDP (USD billion)])</f>
        <v>3235.6482501467999</v>
      </c>
      <c r="E2" s="97">
        <f>SUBTOTAL(101,Table2[Full Year GDP  Growth])</f>
        <v>1.950000000000001E-2</v>
      </c>
      <c r="F2" s="98">
        <f>SUBTOTAL(101,Table2[GDP per capita PPP (USD)])</f>
        <v>59009.24</v>
      </c>
      <c r="G2" s="99">
        <f>SUBTOTAL(101,Table2[Unemployment])</f>
        <v>4.6900000000000004E-2</v>
      </c>
      <c r="H2" s="97">
        <f>SUBTOTAL(101,Table2[Inflation rate])</f>
        <v>2.1873076923076933E-2</v>
      </c>
      <c r="I2" s="97">
        <f>SUBTOTAL(101,Table2[Interest Rate])</f>
        <v>3.8953846153846158E-2</v>
      </c>
      <c r="J2" s="100">
        <f>SUBTOTAL(101,Table2[Foreign Exchange Reserves (USD Million)])</f>
        <v>424954.63569691894</v>
      </c>
      <c r="K2" s="100">
        <f>SUBTOTAL(101,Table2[Balance Trade (USD Million)])</f>
        <v>1439.23108</v>
      </c>
      <c r="L2" s="98"/>
      <c r="M2" s="98"/>
      <c r="N2" s="108">
        <f>SUBTOTAL(101,Table2[Balance Trade %])</f>
        <v>0.1377028222629845</v>
      </c>
      <c r="O2" s="100">
        <f>SUBTOTAL(101,Table2[Foreign Direct Investment (USD Million)])</f>
        <v>49478.0412</v>
      </c>
      <c r="P2" s="99">
        <f>SUBTOTAL(101,Table2[Debt to GDP])</f>
        <v>0.78894799999999998</v>
      </c>
      <c r="Q2" s="101"/>
      <c r="R2" s="101"/>
      <c r="S2" s="101">
        <f>SUBTOTAL(101,Table2[Economic Freedom])</f>
        <v>69.442307692307679</v>
      </c>
      <c r="T2" s="102"/>
      <c r="U2" s="103"/>
      <c r="V2" s="103"/>
      <c r="W2" s="104">
        <f>SUBTOTAL(103,Table2[Debilidades])</f>
        <v>13</v>
      </c>
    </row>
    <row r="3" spans="1:23" ht="51" x14ac:dyDescent="0.35">
      <c r="A3" s="46" t="s">
        <v>39</v>
      </c>
      <c r="B3" s="46" t="s">
        <v>40</v>
      </c>
      <c r="C3" s="75" t="s">
        <v>98</v>
      </c>
      <c r="D3" s="60" t="s">
        <v>92</v>
      </c>
      <c r="E3" s="62" t="s">
        <v>102</v>
      </c>
      <c r="F3" s="64" t="s">
        <v>100</v>
      </c>
      <c r="G3" s="46" t="s">
        <v>90</v>
      </c>
      <c r="H3" s="54" t="s">
        <v>88</v>
      </c>
      <c r="I3" s="54" t="s">
        <v>93</v>
      </c>
      <c r="J3" s="60" t="s">
        <v>97</v>
      </c>
      <c r="K3" s="60" t="s">
        <v>94</v>
      </c>
      <c r="L3" s="64" t="s">
        <v>133</v>
      </c>
      <c r="M3" s="64" t="s">
        <v>134</v>
      </c>
      <c r="N3" s="60" t="s">
        <v>103</v>
      </c>
      <c r="O3" s="60" t="s">
        <v>99</v>
      </c>
      <c r="P3" s="52" t="s">
        <v>89</v>
      </c>
      <c r="Q3" s="69" t="s">
        <v>95</v>
      </c>
      <c r="R3" s="69" t="s">
        <v>96</v>
      </c>
      <c r="S3" s="47" t="s">
        <v>91</v>
      </c>
      <c r="T3" s="47" t="s">
        <v>83</v>
      </c>
      <c r="U3" s="46" t="s">
        <v>57</v>
      </c>
      <c r="V3" s="46" t="s">
        <v>58</v>
      </c>
      <c r="W3" s="46" t="s">
        <v>59</v>
      </c>
    </row>
    <row r="4" spans="1:23" ht="76.5" x14ac:dyDescent="0.35">
      <c r="A4" s="3" t="s">
        <v>31</v>
      </c>
      <c r="B4" s="3" t="s">
        <v>78</v>
      </c>
      <c r="C4" s="73">
        <v>1.2E-2</v>
      </c>
      <c r="D4" s="66">
        <v>3550</v>
      </c>
      <c r="E4" s="84">
        <v>6.4000000000000001E-2</v>
      </c>
      <c r="F4" s="63">
        <v>9172</v>
      </c>
      <c r="G4" s="85">
        <v>8.3000000000000004E-2</v>
      </c>
      <c r="H4" s="84">
        <v>4.3099999999999999E-2</v>
      </c>
      <c r="I4" s="84">
        <v>6.25E-2</v>
      </c>
      <c r="J4" s="65">
        <v>638260</v>
      </c>
      <c r="K4" s="65">
        <v>-22990</v>
      </c>
      <c r="L4" s="65">
        <v>36430</v>
      </c>
      <c r="M4" s="65">
        <v>59420</v>
      </c>
      <c r="N4" s="92">
        <f>IFERROR(  (Table2[[#This Row],[Exports (USD Million)]] / Table2[[#This Row],[Imports (USD Million)]] ) - 1,  0)</f>
        <v>-0.3869067653988556</v>
      </c>
      <c r="O4" s="65">
        <v>5373</v>
      </c>
      <c r="P4" s="85">
        <v>0.81589999999999996</v>
      </c>
      <c r="Q4" s="87">
        <v>120</v>
      </c>
      <c r="R4" s="87">
        <v>93.7</v>
      </c>
      <c r="S4" s="88">
        <v>52.9</v>
      </c>
      <c r="T4" s="91" t="s">
        <v>118</v>
      </c>
      <c r="U4" s="91" t="s">
        <v>115</v>
      </c>
      <c r="V4" s="91" t="s">
        <v>116</v>
      </c>
      <c r="W4" s="91" t="s">
        <v>117</v>
      </c>
    </row>
    <row r="5" spans="1:23" ht="140.25" x14ac:dyDescent="0.35">
      <c r="A5" s="3" t="s">
        <v>131</v>
      </c>
      <c r="B5" s="3" t="s">
        <v>132</v>
      </c>
      <c r="C5" s="72">
        <f>1/16032</f>
        <v>6.2375249500997999E-5</v>
      </c>
      <c r="D5" s="109">
        <v>1371</v>
      </c>
      <c r="E5" s="110">
        <v>5.0299999999999997E-2</v>
      </c>
      <c r="F5" s="111">
        <v>13890</v>
      </c>
      <c r="G5" s="112">
        <v>4.9099999999999998E-2</v>
      </c>
      <c r="H5" s="113">
        <v>7.6E-3</v>
      </c>
      <c r="I5" s="113">
        <v>5.7500000000000002E-2</v>
      </c>
      <c r="J5" s="114">
        <v>156100</v>
      </c>
      <c r="K5" s="114">
        <v>3450</v>
      </c>
      <c r="L5" s="114">
        <v>21452</v>
      </c>
      <c r="M5" s="114">
        <v>18000</v>
      </c>
      <c r="N5" s="115">
        <f>IFERROR(  (Table2[[#This Row],[Exports (USD Million)]] / Table2[[#This Row],[Imports (USD Million)]] ) - 1,  0)</f>
        <v>0.19177777777777782</v>
      </c>
      <c r="O5" s="114">
        <v>15028</v>
      </c>
      <c r="P5" s="112">
        <v>0.39300000000000002</v>
      </c>
      <c r="Q5" s="116">
        <v>12.46</v>
      </c>
      <c r="R5" s="116">
        <v>127</v>
      </c>
      <c r="S5" s="88">
        <v>63.5</v>
      </c>
      <c r="T5" s="91" t="s">
        <v>149</v>
      </c>
      <c r="U5" s="91" t="s">
        <v>150</v>
      </c>
      <c r="V5" s="91" t="s">
        <v>147</v>
      </c>
      <c r="W5" s="91" t="s">
        <v>148</v>
      </c>
    </row>
    <row r="6" spans="1:23" ht="63.75" x14ac:dyDescent="0.35">
      <c r="A6" s="3" t="s">
        <v>28</v>
      </c>
      <c r="B6" s="3" t="s">
        <v>74</v>
      </c>
      <c r="C6" s="73">
        <v>0.14000000000000001</v>
      </c>
      <c r="D6" s="66">
        <v>17795</v>
      </c>
      <c r="E6" s="84">
        <v>0.05</v>
      </c>
      <c r="F6" s="63">
        <v>22135</v>
      </c>
      <c r="G6" s="85">
        <v>5.0999999999999997E-2</v>
      </c>
      <c r="H6" s="84">
        <v>5.0000000000000001E-3</v>
      </c>
      <c r="I6" s="54">
        <v>3.1E-2</v>
      </c>
      <c r="J6" s="58">
        <v>3209000</v>
      </c>
      <c r="K6" s="65">
        <v>105000</v>
      </c>
      <c r="L6" s="65">
        <v>336000</v>
      </c>
      <c r="M6" s="65">
        <v>231000</v>
      </c>
      <c r="N6" s="92">
        <f>IFERROR(  (Table2[[#This Row],[Exports (USD Million)]] / Table2[[#This Row],[Imports (USD Million)]] ) - 1,  0)</f>
        <v>0.45454545454545459</v>
      </c>
      <c r="O6" s="65">
        <v>13400</v>
      </c>
      <c r="P6" s="85">
        <v>0.83399999999999996</v>
      </c>
      <c r="Q6" s="87">
        <v>49.1</v>
      </c>
      <c r="R6" s="87">
        <v>86.4</v>
      </c>
      <c r="S6" s="88">
        <v>48.5</v>
      </c>
      <c r="T6" s="90"/>
      <c r="U6" s="90"/>
      <c r="V6" s="91" t="s">
        <v>105</v>
      </c>
      <c r="W6" s="91" t="s">
        <v>106</v>
      </c>
    </row>
    <row r="7" spans="1:23" s="121" customFormat="1" x14ac:dyDescent="0.35">
      <c r="A7" s="3" t="s">
        <v>76</v>
      </c>
      <c r="B7" s="3" t="s">
        <v>62</v>
      </c>
      <c r="C7" s="73">
        <f>1/32.75</f>
        <v>3.0534351145038167E-2</v>
      </c>
      <c r="D7" s="66">
        <f>6127.345*Table2[[#This Row],[Currency (to USD)]]</f>
        <v>187.09450381679389</v>
      </c>
      <c r="E7" s="84">
        <v>4.2999999999999997E-2</v>
      </c>
      <c r="F7" s="63"/>
      <c r="G7" s="85">
        <v>3.39E-2</v>
      </c>
      <c r="H7" s="84">
        <v>2.6599999999999999E-2</v>
      </c>
      <c r="I7" s="84">
        <v>0.02</v>
      </c>
      <c r="J7" s="58">
        <f>5776*100</f>
        <v>577600</v>
      </c>
      <c r="K7" s="65">
        <v>9970</v>
      </c>
      <c r="L7" s="65">
        <v>38711</v>
      </c>
      <c r="M7" s="65">
        <v>28738</v>
      </c>
      <c r="N7" s="92">
        <f>IFERROR(  (Table2[[#This Row],[Exports (USD Million)]] / Table2[[#This Row],[Imports (USD Million)]] ) - 1,  0)</f>
        <v>0.34703180457930261</v>
      </c>
      <c r="O7" s="65">
        <v>667</v>
      </c>
      <c r="P7" s="85"/>
      <c r="Q7" s="87"/>
      <c r="R7" s="87">
        <v>72.540000000000006</v>
      </c>
      <c r="S7" s="89">
        <v>80</v>
      </c>
      <c r="T7" s="90"/>
      <c r="U7" s="90"/>
      <c r="V7" s="90"/>
      <c r="W7" s="90"/>
    </row>
    <row r="8" spans="1:23" ht="25.5" x14ac:dyDescent="0.35">
      <c r="A8" s="3" t="s">
        <v>35</v>
      </c>
      <c r="B8" s="3" t="s">
        <v>82</v>
      </c>
      <c r="C8" s="73">
        <f>1/3.67</f>
        <v>0.27247956403269757</v>
      </c>
      <c r="D8" s="66">
        <v>504</v>
      </c>
      <c r="E8" s="84">
        <v>3.5999999999999997E-2</v>
      </c>
      <c r="F8" s="63">
        <v>75627</v>
      </c>
      <c r="G8" s="85">
        <v>2.9499999999999998E-2</v>
      </c>
      <c r="H8" s="84">
        <v>2.8899999999999999E-2</v>
      </c>
      <c r="I8" s="84">
        <v>4.3999999999999997E-2</v>
      </c>
      <c r="J8" s="65">
        <f>826*Table2[[#This Row],[Currency (to USD)]]</f>
        <v>225.06811989100819</v>
      </c>
      <c r="K8" s="65"/>
      <c r="L8" s="65"/>
      <c r="M8" s="65"/>
      <c r="N8" s="92">
        <f>IFERROR(  (Table2[[#This Row],[Exports (USD Million)]] / Table2[[#This Row],[Imports (USD Million)]] ) - 1,  0)</f>
        <v>0</v>
      </c>
      <c r="O8" s="65"/>
      <c r="P8" s="85">
        <v>0.32400000000000001</v>
      </c>
      <c r="Q8" s="87"/>
      <c r="R8" s="87"/>
      <c r="S8" s="88">
        <v>71.099999999999994</v>
      </c>
      <c r="T8" s="90"/>
      <c r="U8" s="90"/>
      <c r="V8" s="90"/>
      <c r="W8" s="90"/>
    </row>
    <row r="9" spans="1:23" ht="52.05" customHeight="1" x14ac:dyDescent="0.35">
      <c r="A9" s="3" t="s">
        <v>21</v>
      </c>
      <c r="B9" s="3" t="s">
        <v>64</v>
      </c>
      <c r="C9" s="73">
        <v>1.04</v>
      </c>
      <c r="D9" s="66">
        <v>1581</v>
      </c>
      <c r="E9" s="84">
        <v>3.2000000000000001E-2</v>
      </c>
      <c r="F9" s="63">
        <v>46357</v>
      </c>
      <c r="G9" s="85">
        <v>0.1061</v>
      </c>
      <c r="H9" s="84">
        <v>2.9000000000000001E-2</v>
      </c>
      <c r="I9" s="84">
        <v>2.9000000000000001E-2</v>
      </c>
      <c r="J9" s="65">
        <v>1079037.1000000001</v>
      </c>
      <c r="K9" s="65">
        <v>-4121.5</v>
      </c>
      <c r="L9" s="65">
        <v>31119.748680000001</v>
      </c>
      <c r="M9" s="65">
        <v>35432.58771</v>
      </c>
      <c r="N9" s="92">
        <f>IFERROR(  (Table2[[#This Row],[Exports (USD Million)]] / Table2[[#This Row],[Imports (USD Million)]] ) - 1,  0)</f>
        <v>-0.12171956124962346</v>
      </c>
      <c r="O9" s="65">
        <v>2474.9499999999998</v>
      </c>
      <c r="P9" s="85">
        <v>1.08</v>
      </c>
      <c r="Q9" s="87">
        <v>-5.0999999999999996</v>
      </c>
      <c r="R9" s="87">
        <v>85</v>
      </c>
      <c r="S9" s="88">
        <v>63.3</v>
      </c>
      <c r="T9" s="90"/>
      <c r="U9" s="90"/>
      <c r="V9" s="90"/>
      <c r="W9" s="90"/>
    </row>
    <row r="10" spans="1:23" x14ac:dyDescent="0.35">
      <c r="A10" s="3" t="s">
        <v>27</v>
      </c>
      <c r="B10" s="3" t="s">
        <v>73</v>
      </c>
      <c r="C10" s="73">
        <f>1/5.71</f>
        <v>0.17513134851138354</v>
      </c>
      <c r="D10" s="66">
        <v>2174</v>
      </c>
      <c r="E10" s="84">
        <v>2.9000000000000001E-2</v>
      </c>
      <c r="F10" s="63">
        <v>18554</v>
      </c>
      <c r="G10" s="85">
        <v>6.2E-2</v>
      </c>
      <c r="H10" s="84">
        <v>4.5600000000000002E-2</v>
      </c>
      <c r="I10" s="84">
        <v>0.13250000000000001</v>
      </c>
      <c r="J10" s="65">
        <v>329730</v>
      </c>
      <c r="K10" s="65">
        <v>2164</v>
      </c>
      <c r="L10" s="65">
        <v>25180</v>
      </c>
      <c r="M10" s="65">
        <v>23016</v>
      </c>
      <c r="N10" s="92">
        <f>IFERROR(  (Table2[[#This Row],[Exports (USD Million)]] / Table2[[#This Row],[Imports (USD Million)]] ) - 1,  0)</f>
        <v>9.402155022592984E-2</v>
      </c>
      <c r="O10" s="65">
        <v>2800</v>
      </c>
      <c r="P10" s="85">
        <v>0.8468</v>
      </c>
      <c r="Q10" s="87">
        <v>49.1</v>
      </c>
      <c r="R10" s="87"/>
      <c r="S10" s="88">
        <v>53.2</v>
      </c>
      <c r="T10" s="90"/>
      <c r="U10" s="91"/>
      <c r="V10" s="91"/>
      <c r="W10" s="91"/>
    </row>
    <row r="11" spans="1:23" ht="76.5" x14ac:dyDescent="0.35">
      <c r="A11" s="3" t="s">
        <v>25</v>
      </c>
      <c r="B11" s="3" t="s">
        <v>71</v>
      </c>
      <c r="C11" s="73">
        <v>1</v>
      </c>
      <c r="D11" s="66">
        <v>27361</v>
      </c>
      <c r="E11" s="84">
        <v>2.8000000000000001E-2</v>
      </c>
      <c r="F11" s="63">
        <v>73637</v>
      </c>
      <c r="G11" s="85">
        <v>0.04</v>
      </c>
      <c r="H11" s="84">
        <v>0.03</v>
      </c>
      <c r="I11" s="84">
        <v>4.4999999999999998E-2</v>
      </c>
      <c r="J11" s="58">
        <v>34865</v>
      </c>
      <c r="K11" s="65">
        <v>-98430</v>
      </c>
      <c r="L11" s="65">
        <v>267000</v>
      </c>
      <c r="M11" s="65">
        <v>365000</v>
      </c>
      <c r="N11" s="92">
        <f>IFERROR(  (Table2[[#This Row],[Exports (USD Million)]] / Table2[[#This Row],[Imports (USD Million)]] ) - 1,  0)</f>
        <v>-0.26849315068493151</v>
      </c>
      <c r="O11" s="86">
        <v>75589</v>
      </c>
      <c r="P11" s="85">
        <v>1.22</v>
      </c>
      <c r="Q11" s="87">
        <v>50.9</v>
      </c>
      <c r="R11" s="87">
        <v>67.8</v>
      </c>
      <c r="S11" s="88">
        <v>70.099999999999994</v>
      </c>
      <c r="T11" s="90"/>
      <c r="U11" s="91" t="s">
        <v>123</v>
      </c>
      <c r="V11" s="91" t="s">
        <v>107</v>
      </c>
      <c r="W11" s="91" t="s">
        <v>104</v>
      </c>
    </row>
    <row r="12" spans="1:23" x14ac:dyDescent="0.35">
      <c r="A12" s="3" t="s">
        <v>37</v>
      </c>
      <c r="B12" s="3" t="s">
        <v>77</v>
      </c>
      <c r="C12" s="73">
        <f>1/33.77</f>
        <v>2.9612081729345572E-2</v>
      </c>
      <c r="D12" s="66">
        <v>515</v>
      </c>
      <c r="E12" s="84">
        <v>2.5000000000000001E-2</v>
      </c>
      <c r="F12" s="63">
        <v>21113</v>
      </c>
      <c r="G12" s="85">
        <v>8.8000000000000005E-3</v>
      </c>
      <c r="H12" s="54">
        <v>1.32E-2</v>
      </c>
      <c r="I12" s="54">
        <v>2.2499999999999999E-2</v>
      </c>
      <c r="J12" s="58">
        <v>242084</v>
      </c>
      <c r="K12" s="65">
        <v>-10.6</v>
      </c>
      <c r="L12" s="65">
        <v>24766</v>
      </c>
      <c r="M12" s="65">
        <v>24777</v>
      </c>
      <c r="N12" s="92">
        <f>IFERROR(  (Table2[[#This Row],[Exports (USD Million)]] / Table2[[#This Row],[Imports (USD Million)]] ) - 1,  0)</f>
        <v>-4.4396012430880649E-4</v>
      </c>
      <c r="O12" s="65">
        <v>1976.18</v>
      </c>
      <c r="P12" s="85">
        <v>0.61899999999999999</v>
      </c>
      <c r="Q12" s="87">
        <v>48.5</v>
      </c>
      <c r="R12" s="87">
        <v>59</v>
      </c>
      <c r="S12" s="88">
        <v>59</v>
      </c>
      <c r="T12" s="90"/>
      <c r="U12" s="90"/>
      <c r="V12" s="90"/>
      <c r="W12" s="90"/>
    </row>
    <row r="13" spans="1:23" ht="113" customHeight="1" x14ac:dyDescent="0.35">
      <c r="A13" s="3" t="s">
        <v>22</v>
      </c>
      <c r="B13" s="3" t="s">
        <v>65</v>
      </c>
      <c r="C13" s="73">
        <v>0.09</v>
      </c>
      <c r="D13" s="66">
        <v>486</v>
      </c>
      <c r="E13" s="84">
        <v>2.1000000000000001E-2</v>
      </c>
      <c r="F13" s="63">
        <v>90501</v>
      </c>
      <c r="G13" s="85">
        <v>4.2000000000000003E-2</v>
      </c>
      <c r="H13" s="84">
        <v>2.3E-2</v>
      </c>
      <c r="I13" s="84">
        <v>4.4999999999999998E-2</v>
      </c>
      <c r="J13" s="65">
        <v>85737.05</v>
      </c>
      <c r="K13" s="65">
        <v>8520.2900000000009</v>
      </c>
      <c r="L13" s="65">
        <v>15925.54</v>
      </c>
      <c r="M13" s="65">
        <v>7419.31</v>
      </c>
      <c r="N13" s="92">
        <f>IFERROR(  (Table2[[#This Row],[Exports (USD Million)]] / Table2[[#This Row],[Imports (USD Million)]] ) - 1,  0)</f>
        <v>1.1464987984057817</v>
      </c>
      <c r="O13" s="65">
        <v>-20031</v>
      </c>
      <c r="P13" s="85">
        <v>0.443</v>
      </c>
      <c r="Q13" s="87">
        <v>5.5</v>
      </c>
      <c r="R13" s="87">
        <v>-14.4</v>
      </c>
      <c r="S13" s="88">
        <v>77.5</v>
      </c>
      <c r="T13" s="90"/>
      <c r="U13" s="90"/>
      <c r="V13" s="90"/>
      <c r="W13" s="90"/>
    </row>
    <row r="14" spans="1:23" x14ac:dyDescent="0.35">
      <c r="A14" s="3" t="s">
        <v>32</v>
      </c>
      <c r="B14" s="3" t="s">
        <v>79</v>
      </c>
      <c r="C14" s="72">
        <v>6.8999999999999997E-4</v>
      </c>
      <c r="D14" s="66">
        <v>1713</v>
      </c>
      <c r="E14" s="84">
        <v>0.02</v>
      </c>
      <c r="F14" s="63">
        <v>50572</v>
      </c>
      <c r="G14" s="85">
        <v>2.9000000000000001E-2</v>
      </c>
      <c r="H14" s="84">
        <v>2.1999999999999999E-2</v>
      </c>
      <c r="I14" s="84">
        <v>0.03</v>
      </c>
      <c r="J14" s="65">
        <v>411000</v>
      </c>
      <c r="K14" s="65">
        <v>-1890</v>
      </c>
      <c r="L14" s="65">
        <v>49120</v>
      </c>
      <c r="M14" s="65">
        <v>51000</v>
      </c>
      <c r="N14" s="92">
        <f>IFERROR(  (Table2[[#This Row],[Exports (USD Million)]] / Table2[[#This Row],[Imports (USD Million)]] ) - 1,  0)</f>
        <v>-3.6862745098039218E-2</v>
      </c>
      <c r="O14" s="65">
        <v>9385</v>
      </c>
      <c r="P14" s="85">
        <v>0.51500000000000001</v>
      </c>
      <c r="Q14" s="87">
        <v>63</v>
      </c>
      <c r="R14" s="87">
        <v>91.2</v>
      </c>
      <c r="S14" s="88">
        <v>73.099999999999994</v>
      </c>
      <c r="T14" s="90"/>
      <c r="U14" s="90"/>
      <c r="V14" s="90"/>
      <c r="W14" s="90"/>
    </row>
    <row r="15" spans="1:23" x14ac:dyDescent="0.35">
      <c r="A15" s="3" t="s">
        <v>34</v>
      </c>
      <c r="B15" s="3" t="s">
        <v>81</v>
      </c>
      <c r="C15" s="73">
        <f>1/3.64</f>
        <v>0.27472527472527469</v>
      </c>
      <c r="D15" s="66">
        <v>213</v>
      </c>
      <c r="E15" s="84">
        <v>1.9E-2</v>
      </c>
      <c r="F15" s="63">
        <v>113157</v>
      </c>
      <c r="G15" s="85">
        <v>1E-3</v>
      </c>
      <c r="H15" s="84">
        <v>2.3999999999999998E-3</v>
      </c>
      <c r="I15" s="84">
        <v>5.0999999999999997E-2</v>
      </c>
      <c r="J15" s="65">
        <v>70031.990000000005</v>
      </c>
      <c r="K15" s="65">
        <v>5061.17</v>
      </c>
      <c r="L15" s="65">
        <v>8567.7800000000007</v>
      </c>
      <c r="M15" s="65">
        <v>3505.56</v>
      </c>
      <c r="N15" s="92">
        <f>IFERROR(  (Table2[[#This Row],[Exports (USD Million)]] / Table2[[#This Row],[Imports (USD Million)]] ) - 1,  0)</f>
        <v>1.4440545875694615</v>
      </c>
      <c r="O15" s="65">
        <v>218.88</v>
      </c>
      <c r="P15" s="85">
        <v>0.433</v>
      </c>
      <c r="Q15" s="87"/>
      <c r="R15" s="87"/>
      <c r="S15" s="88">
        <v>68.8</v>
      </c>
      <c r="T15" s="90"/>
      <c r="U15" s="90"/>
      <c r="V15" s="90"/>
      <c r="W15" s="90"/>
    </row>
    <row r="16" spans="1:23" ht="51" x14ac:dyDescent="0.35">
      <c r="A16" s="3" t="s">
        <v>29</v>
      </c>
      <c r="B16" s="3" t="s">
        <v>75</v>
      </c>
      <c r="C16" s="73">
        <v>0.63</v>
      </c>
      <c r="D16" s="109">
        <v>1724</v>
      </c>
      <c r="E16" s="110">
        <v>1.4999999999999999E-2</v>
      </c>
      <c r="F16" s="117">
        <v>59456</v>
      </c>
      <c r="G16" s="112">
        <v>0.04</v>
      </c>
      <c r="H16" s="110">
        <v>2.4E-2</v>
      </c>
      <c r="I16" s="110">
        <v>4.1000000000000002E-2</v>
      </c>
      <c r="J16" s="118">
        <v>66075.509999999995</v>
      </c>
      <c r="K16" s="118">
        <v>3226.49</v>
      </c>
      <c r="L16" s="118">
        <v>27979.16</v>
      </c>
      <c r="M16" s="118">
        <v>24747.64</v>
      </c>
      <c r="N16" s="119">
        <f>IFERROR(  (Table2[[#This Row],[Exports (USD Million)]] / Table2[[#This Row],[Imports (USD Million)]] ) - 1,  0)</f>
        <v>0.13057891580772951</v>
      </c>
      <c r="O16" s="118">
        <v>28553.03</v>
      </c>
      <c r="P16" s="112">
        <v>0.438</v>
      </c>
      <c r="Q16" s="120">
        <v>4</v>
      </c>
      <c r="R16" s="120">
        <v>92.2</v>
      </c>
      <c r="S16" s="88">
        <v>76.2</v>
      </c>
      <c r="T16" s="90"/>
      <c r="U16" s="90"/>
      <c r="V16" s="91" t="s">
        <v>164</v>
      </c>
      <c r="W16" s="91" t="s">
        <v>165</v>
      </c>
    </row>
    <row r="17" spans="1:23" ht="114.75" x14ac:dyDescent="0.35">
      <c r="A17" s="3" t="s">
        <v>26</v>
      </c>
      <c r="B17" s="3" t="s">
        <v>72</v>
      </c>
      <c r="C17" s="73">
        <f>1/20.26</f>
        <v>4.9358341559723587E-2</v>
      </c>
      <c r="D17" s="109">
        <v>1789</v>
      </c>
      <c r="E17" s="110">
        <v>1.2999999999999999E-2</v>
      </c>
      <c r="F17" s="117">
        <v>22367</v>
      </c>
      <c r="G17" s="112">
        <v>2.4E-2</v>
      </c>
      <c r="H17" s="110">
        <v>3.5900000000000001E-2</v>
      </c>
      <c r="I17" s="110">
        <v>9.5000000000000001E-2</v>
      </c>
      <c r="J17" s="118">
        <v>232056</v>
      </c>
      <c r="K17" s="118">
        <v>2567</v>
      </c>
      <c r="L17" s="118">
        <v>51687</v>
      </c>
      <c r="M17" s="118">
        <v>49120</v>
      </c>
      <c r="N17" s="119">
        <f>IFERROR(  (Table2[[#This Row],[Exports (USD Million)]] / Table2[[#This Row],[Imports (USD Million)]] ) - 1,  0)</f>
        <v>5.2259771986970627E-2</v>
      </c>
      <c r="O17" s="118">
        <v>3217</v>
      </c>
      <c r="P17" s="112">
        <v>0.497</v>
      </c>
      <c r="Q17" s="120">
        <v>51.7</v>
      </c>
      <c r="R17" s="120">
        <v>46.7</v>
      </c>
      <c r="S17" s="89">
        <v>62</v>
      </c>
      <c r="T17" s="91" t="s">
        <v>156</v>
      </c>
      <c r="U17" s="91" t="s">
        <v>153</v>
      </c>
      <c r="V17" s="91" t="s">
        <v>152</v>
      </c>
      <c r="W17" s="91" t="s">
        <v>151</v>
      </c>
    </row>
    <row r="18" spans="1:23" ht="127.5" x14ac:dyDescent="0.35">
      <c r="A18" s="3" t="s">
        <v>87</v>
      </c>
      <c r="B18" s="3" t="s">
        <v>70</v>
      </c>
      <c r="C18" s="73">
        <v>0.7</v>
      </c>
      <c r="D18" s="109">
        <v>2140</v>
      </c>
      <c r="E18" s="110">
        <v>1.2500000000000001E-2</v>
      </c>
      <c r="F18" s="117">
        <v>55818</v>
      </c>
      <c r="G18" s="112">
        <v>6.6000000000000003E-2</v>
      </c>
      <c r="H18" s="110">
        <v>1.9E-2</v>
      </c>
      <c r="I18" s="110">
        <v>0.03</v>
      </c>
      <c r="J18" s="118">
        <v>117896</v>
      </c>
      <c r="K18" s="118">
        <v>499.02</v>
      </c>
      <c r="L18" s="118">
        <v>25180</v>
      </c>
      <c r="M18" s="118">
        <v>23016</v>
      </c>
      <c r="N18" s="119">
        <f>IFERROR(  (Table2[[#This Row],[Exports (USD Million)]] / Table2[[#This Row],[Imports (USD Million)]] ) - 1,  0)</f>
        <v>9.402155022592984E-2</v>
      </c>
      <c r="O18" s="118">
        <v>19052.150000000001</v>
      </c>
      <c r="P18" s="112">
        <v>1.08</v>
      </c>
      <c r="Q18" s="120">
        <v>47.1</v>
      </c>
      <c r="R18" s="120">
        <v>47.9</v>
      </c>
      <c r="S18" s="88">
        <v>72.400000000000006</v>
      </c>
      <c r="T18" s="91" t="s">
        <v>158</v>
      </c>
      <c r="U18" s="91" t="s">
        <v>157</v>
      </c>
      <c r="V18" s="91" t="s">
        <v>154</v>
      </c>
      <c r="W18" s="91" t="s">
        <v>155</v>
      </c>
    </row>
    <row r="19" spans="1:23" x14ac:dyDescent="0.35">
      <c r="A19" s="3" t="s">
        <v>30</v>
      </c>
      <c r="B19" s="3" t="s">
        <v>62</v>
      </c>
      <c r="C19" s="73">
        <v>0.74</v>
      </c>
      <c r="D19" s="66">
        <v>501</v>
      </c>
      <c r="E19" s="84">
        <v>1.0999999999999999E-2</v>
      </c>
      <c r="F19" s="63">
        <v>127544</v>
      </c>
      <c r="G19" s="85">
        <v>1.9E-2</v>
      </c>
      <c r="H19" s="84">
        <v>1.6E-2</v>
      </c>
      <c r="I19" s="84">
        <v>2.53E-2</v>
      </c>
      <c r="J19" s="65">
        <v>380039.21</v>
      </c>
      <c r="K19" s="65">
        <v>2185.44</v>
      </c>
      <c r="L19" s="65">
        <v>44084.78</v>
      </c>
      <c r="M19" s="65">
        <v>41885.86</v>
      </c>
      <c r="N19" s="92">
        <f>IFERROR(  (Table2[[#This Row],[Exports (USD Million)]] / Table2[[#This Row],[Imports (USD Million)]] ) - 1,  0)</f>
        <v>5.2497907408371125E-2</v>
      </c>
      <c r="O19" s="65">
        <v>45252.95</v>
      </c>
      <c r="P19" s="85">
        <v>1.71</v>
      </c>
      <c r="Q19" s="87">
        <v>16</v>
      </c>
      <c r="R19" s="87"/>
      <c r="S19" s="88">
        <v>83.5</v>
      </c>
      <c r="T19" s="90"/>
      <c r="U19" s="90"/>
      <c r="V19" s="90"/>
      <c r="W19" s="90"/>
    </row>
    <row r="20" spans="1:23" ht="114.75" x14ac:dyDescent="0.35">
      <c r="A20" s="3" t="s">
        <v>20</v>
      </c>
      <c r="B20" s="3" t="s">
        <v>63</v>
      </c>
      <c r="C20" s="73">
        <v>1.04</v>
      </c>
      <c r="D20" s="66">
        <v>3031</v>
      </c>
      <c r="E20" s="84">
        <v>1.0999999999999999E-2</v>
      </c>
      <c r="F20" s="63">
        <v>55214</v>
      </c>
      <c r="G20" s="85">
        <v>7.2999999999999995E-2</v>
      </c>
      <c r="H20" s="54">
        <v>1.4E-2</v>
      </c>
      <c r="I20" s="54">
        <v>2.9000000000000001E-2</v>
      </c>
      <c r="J20" s="58">
        <v>305477.40000000002</v>
      </c>
      <c r="K20" s="65">
        <v>-3905</v>
      </c>
      <c r="L20" s="65">
        <v>54682.239999999998</v>
      </c>
      <c r="M20" s="65">
        <v>58768.63</v>
      </c>
      <c r="N20" s="92">
        <f>IFERROR(  (Table2[[#This Row],[Exports (USD Million)]] / Table2[[#This Row],[Imports (USD Million)]] ) - 1,  0)</f>
        <v>-6.9533524943494518E-2</v>
      </c>
      <c r="O20" s="65">
        <v>4819.87</v>
      </c>
      <c r="P20" s="85">
        <v>1.1100000000000001</v>
      </c>
      <c r="Q20" s="87">
        <v>95.3</v>
      </c>
      <c r="R20" s="87">
        <v>92</v>
      </c>
      <c r="S20" s="88">
        <v>62.5</v>
      </c>
      <c r="T20" s="91" t="s">
        <v>124</v>
      </c>
      <c r="U20" s="90"/>
      <c r="V20" s="91" t="s">
        <v>126</v>
      </c>
      <c r="W20" s="91" t="s">
        <v>125</v>
      </c>
    </row>
    <row r="21" spans="1:23" x14ac:dyDescent="0.35">
      <c r="A21" s="3" t="s">
        <v>38</v>
      </c>
      <c r="B21" s="3" t="s">
        <v>67</v>
      </c>
      <c r="C21" s="73">
        <v>1.04</v>
      </c>
      <c r="D21" s="66">
        <v>1118</v>
      </c>
      <c r="E21" s="84">
        <v>8.9999999999999993E-3</v>
      </c>
      <c r="F21" s="63">
        <v>9970</v>
      </c>
      <c r="G21" s="85">
        <v>3.6999999999999998E-2</v>
      </c>
      <c r="H21" s="84">
        <v>3.3000000000000002E-2</v>
      </c>
      <c r="I21" s="84">
        <v>2.9000000000000001E-2</v>
      </c>
      <c r="J21" s="65">
        <v>83071.06</v>
      </c>
      <c r="K21" s="65">
        <v>10717.13</v>
      </c>
      <c r="L21" s="65">
        <v>68942.22</v>
      </c>
      <c r="M21" s="65">
        <v>58177.39</v>
      </c>
      <c r="N21" s="92">
        <f>IFERROR(  (Table2[[#This Row],[Exports (USD Million)]] / Table2[[#This Row],[Imports (USD Million)]] ) - 1,  0)</f>
        <v>0.1850345984926447</v>
      </c>
      <c r="O21" s="65">
        <v>13833.2</v>
      </c>
      <c r="P21" s="85">
        <v>0.46800000000000003</v>
      </c>
      <c r="Q21" s="87">
        <v>-1.6</v>
      </c>
      <c r="R21" s="87">
        <v>-28</v>
      </c>
      <c r="S21" s="88">
        <v>77.3</v>
      </c>
      <c r="T21" s="90"/>
      <c r="U21" s="90"/>
      <c r="V21" s="90"/>
      <c r="W21" s="90"/>
    </row>
    <row r="22" spans="1:23" ht="76.5" x14ac:dyDescent="0.35">
      <c r="A22" s="3" t="s">
        <v>19</v>
      </c>
      <c r="B22" s="3" t="s">
        <v>61</v>
      </c>
      <c r="C22" s="73">
        <v>1.26</v>
      </c>
      <c r="D22" s="66">
        <v>3340</v>
      </c>
      <c r="E22" s="84">
        <v>8.9999999999999993E-3</v>
      </c>
      <c r="F22" s="63">
        <v>54126</v>
      </c>
      <c r="G22" s="85">
        <v>4.3999999999999997E-2</v>
      </c>
      <c r="H22" s="84">
        <v>0.03</v>
      </c>
      <c r="I22" s="84">
        <v>4.4999999999999998E-2</v>
      </c>
      <c r="J22" s="65">
        <v>185835</v>
      </c>
      <c r="K22" s="65">
        <v>-3541.27</v>
      </c>
      <c r="L22" s="65">
        <v>87241.64</v>
      </c>
      <c r="M22" s="65">
        <v>90798.82</v>
      </c>
      <c r="N22" s="92">
        <f>IFERROR(  (Table2[[#This Row],[Exports (USD Million)]] / Table2[[#This Row],[Imports (USD Million)]] ) - 1,  0)</f>
        <v>-3.9176500311347784E-2</v>
      </c>
      <c r="O22" s="65">
        <v>-8299.85</v>
      </c>
      <c r="P22" s="85">
        <v>0.97599999999999998</v>
      </c>
      <c r="Q22" s="87">
        <v>-47</v>
      </c>
      <c r="R22" s="87">
        <v>-22</v>
      </c>
      <c r="S22" s="88">
        <v>68.599999999999994</v>
      </c>
      <c r="T22" s="91" t="s">
        <v>119</v>
      </c>
      <c r="U22" s="91" t="s">
        <v>120</v>
      </c>
      <c r="V22" s="91" t="s">
        <v>121</v>
      </c>
      <c r="W22" s="91" t="s">
        <v>122</v>
      </c>
    </row>
    <row r="23" spans="1:23" x14ac:dyDescent="0.35">
      <c r="A23" s="3" t="s">
        <v>24</v>
      </c>
      <c r="B23" s="3" t="s">
        <v>69</v>
      </c>
      <c r="C23" s="73">
        <v>1.1100000000000001</v>
      </c>
      <c r="D23" s="109">
        <v>885</v>
      </c>
      <c r="E23" s="110">
        <v>7.1999999999999998E-3</v>
      </c>
      <c r="F23" s="117">
        <v>82914</v>
      </c>
      <c r="G23" s="112">
        <v>0.03</v>
      </c>
      <c r="H23" s="113">
        <v>4.0000000000000001E-3</v>
      </c>
      <c r="I23" s="113">
        <v>5.0000000000000001E-3</v>
      </c>
      <c r="J23" s="114">
        <v>813887.68</v>
      </c>
      <c r="K23" s="118">
        <v>4336</v>
      </c>
      <c r="L23" s="118">
        <v>25324.14</v>
      </c>
      <c r="M23" s="118">
        <v>20837.29</v>
      </c>
      <c r="N23" s="119">
        <f>IFERROR(  (Table2[[#This Row],[Exports (USD Million)]] / Table2[[#This Row],[Imports (USD Million)]] ) - 1,  0)</f>
        <v>0.21532790492429665</v>
      </c>
      <c r="O23" s="118">
        <v>1028222.98</v>
      </c>
      <c r="P23" s="112">
        <v>0.38300000000000001</v>
      </c>
      <c r="Q23" s="120">
        <v>102</v>
      </c>
      <c r="R23" s="120">
        <v>-29</v>
      </c>
      <c r="S23" s="89">
        <v>83</v>
      </c>
      <c r="T23" s="90"/>
      <c r="U23" s="90"/>
      <c r="V23" s="90"/>
      <c r="W23" s="90"/>
    </row>
    <row r="24" spans="1:23" x14ac:dyDescent="0.35">
      <c r="A24" s="3" t="s">
        <v>23</v>
      </c>
      <c r="B24" s="3" t="s">
        <v>66</v>
      </c>
      <c r="C24" s="73">
        <v>9.2999999999999999E-2</v>
      </c>
      <c r="D24" s="66">
        <v>593</v>
      </c>
      <c r="E24" s="84">
        <v>6.0000000000000001E-3</v>
      </c>
      <c r="F24" s="63">
        <v>64191</v>
      </c>
      <c r="G24" s="85">
        <v>0.104</v>
      </c>
      <c r="H24" s="84">
        <v>8.9999999999999993E-3</v>
      </c>
      <c r="I24" s="84">
        <v>2.2499999999999999E-2</v>
      </c>
      <c r="J24" s="65">
        <v>67195.89</v>
      </c>
      <c r="K24" s="65">
        <v>577.82000000000005</v>
      </c>
      <c r="L24" s="65">
        <v>14898.47</v>
      </c>
      <c r="M24" s="65">
        <v>14316.43</v>
      </c>
      <c r="N24" s="92">
        <f>IFERROR(  (Table2[[#This Row],[Exports (USD Million)]] / Table2[[#This Row],[Imports (USD Million)]] ) - 1,  0)</f>
        <v>4.0655386852727959E-2</v>
      </c>
      <c r="O24" s="65">
        <v>5144.5</v>
      </c>
      <c r="P24" s="85">
        <v>0.315</v>
      </c>
      <c r="Q24" s="87">
        <v>101</v>
      </c>
      <c r="R24" s="87">
        <v>99.1</v>
      </c>
      <c r="S24" s="88">
        <v>77.5</v>
      </c>
      <c r="T24" s="90"/>
      <c r="U24" s="90"/>
      <c r="V24" s="90"/>
      <c r="W24" s="90"/>
    </row>
    <row r="25" spans="1:23" ht="63.75" x14ac:dyDescent="0.35">
      <c r="A25" s="3" t="s">
        <v>36</v>
      </c>
      <c r="B25" s="3" t="s">
        <v>68</v>
      </c>
      <c r="C25" s="73">
        <v>1.04</v>
      </c>
      <c r="D25" s="66">
        <v>2255</v>
      </c>
      <c r="E25" s="84">
        <v>5.0000000000000001E-3</v>
      </c>
      <c r="F25" s="63">
        <v>52700</v>
      </c>
      <c r="G25" s="85">
        <v>6.2E-2</v>
      </c>
      <c r="H25" s="84">
        <v>1.4999999999999999E-2</v>
      </c>
      <c r="I25" s="84">
        <v>2.9000000000000001E-2</v>
      </c>
      <c r="J25" s="65">
        <v>306329.2</v>
      </c>
      <c r="K25" s="65">
        <v>5980</v>
      </c>
      <c r="L25" s="65">
        <v>51625.56</v>
      </c>
      <c r="M25" s="65">
        <v>45366.75</v>
      </c>
      <c r="N25" s="92">
        <f>IFERROR(  (Table2[[#This Row],[Exports (USD Million)]] / Table2[[#This Row],[Imports (USD Million)]] ) - 1,  0)</f>
        <v>0.13796029030071577</v>
      </c>
      <c r="O25" s="65">
        <v>4777.12</v>
      </c>
      <c r="P25" s="85">
        <v>1.35</v>
      </c>
      <c r="Q25" s="87">
        <v>86.8</v>
      </c>
      <c r="R25" s="87">
        <v>98.2</v>
      </c>
      <c r="S25" s="88">
        <v>60.1</v>
      </c>
      <c r="T25" s="91" t="s">
        <v>130</v>
      </c>
      <c r="U25" s="91" t="s">
        <v>127</v>
      </c>
      <c r="V25" s="91" t="s">
        <v>128</v>
      </c>
      <c r="W25" s="91" t="s">
        <v>129</v>
      </c>
    </row>
    <row r="26" spans="1:23" ht="76.5" x14ac:dyDescent="0.35">
      <c r="A26" s="3" t="s">
        <v>85</v>
      </c>
      <c r="B26" s="3" t="s">
        <v>86</v>
      </c>
      <c r="C26" s="73">
        <v>1.04</v>
      </c>
      <c r="D26" s="109">
        <v>546</v>
      </c>
      <c r="E26" s="110">
        <v>3.0000000000000001E-3</v>
      </c>
      <c r="F26" s="117">
        <v>115625</v>
      </c>
      <c r="G26" s="112">
        <v>0.04</v>
      </c>
      <c r="H26" s="110">
        <v>1.4E-2</v>
      </c>
      <c r="I26" s="110">
        <v>2.9000000000000001E-2</v>
      </c>
      <c r="J26" s="118">
        <v>12123</v>
      </c>
      <c r="K26" s="118">
        <v>4010.0569999999998</v>
      </c>
      <c r="L26" s="118">
        <v>16217.18</v>
      </c>
      <c r="M26" s="118">
        <v>12195.4</v>
      </c>
      <c r="N26" s="119">
        <f>IFERROR(  (Table2[[#This Row],[Exports (USD Million)]] / Table2[[#This Row],[Imports (USD Million)]] ) - 1,  0)</f>
        <v>0.32977844105154408</v>
      </c>
      <c r="O26" s="118">
        <v>11741.03</v>
      </c>
      <c r="P26" s="112">
        <v>0.437</v>
      </c>
      <c r="Q26" s="120"/>
      <c r="R26" s="120">
        <v>74.900000000000006</v>
      </c>
      <c r="S26" s="88">
        <v>82.6</v>
      </c>
      <c r="T26" s="90"/>
      <c r="U26" s="91" t="s">
        <v>159</v>
      </c>
      <c r="V26" s="91" t="s">
        <v>160</v>
      </c>
      <c r="W26" s="91" t="s">
        <v>161</v>
      </c>
    </row>
    <row r="27" spans="1:23" ht="63.75" x14ac:dyDescent="0.35">
      <c r="A27" s="3" t="s">
        <v>33</v>
      </c>
      <c r="B27" s="3" t="s">
        <v>80</v>
      </c>
      <c r="C27" s="73">
        <v>6.6E-3</v>
      </c>
      <c r="D27" s="66">
        <v>4213</v>
      </c>
      <c r="E27" s="84">
        <v>1E-3</v>
      </c>
      <c r="F27" s="63">
        <v>46268</v>
      </c>
      <c r="G27" s="85">
        <v>2.4E-2</v>
      </c>
      <c r="H27" s="84">
        <v>3.5999999999999997E-2</v>
      </c>
      <c r="I27" s="84">
        <v>5.0000000000000001E-3</v>
      </c>
      <c r="J27" s="65">
        <v>1240600</v>
      </c>
      <c r="K27" s="65">
        <v>-18216.45</v>
      </c>
      <c r="L27" s="65">
        <v>52698.944560000004</v>
      </c>
      <c r="M27" s="65">
        <v>71187.803669999994</v>
      </c>
      <c r="N27" s="92">
        <f>IFERROR(  (Table2[[#This Row],[Exports (USD Million)]] / Table2[[#This Row],[Imports (USD Million)]] ) - 1,  0)</f>
        <v>-0.25971947660736128</v>
      </c>
      <c r="O27" s="65">
        <v>20421.04</v>
      </c>
      <c r="P27" s="85">
        <v>2.5499999999999998</v>
      </c>
      <c r="Q27" s="87">
        <v>14</v>
      </c>
      <c r="R27" s="87">
        <v>35.200000000000003</v>
      </c>
      <c r="S27" s="88">
        <v>67.5</v>
      </c>
      <c r="T27" s="91" t="s">
        <v>112</v>
      </c>
      <c r="U27" s="91" t="s">
        <v>111</v>
      </c>
      <c r="V27" s="91" t="s">
        <v>113</v>
      </c>
      <c r="W27" s="91" t="s">
        <v>114</v>
      </c>
    </row>
    <row r="28" spans="1:23" ht="18" customHeight="1" x14ac:dyDescent="0.35">
      <c r="A28" s="3" t="s">
        <v>18</v>
      </c>
      <c r="B28" s="3" t="s">
        <v>60</v>
      </c>
      <c r="C28" s="73">
        <v>1.04</v>
      </c>
      <c r="D28" s="66">
        <v>4456</v>
      </c>
      <c r="E28" s="84">
        <v>-2E-3</v>
      </c>
      <c r="F28" s="63">
        <v>61909</v>
      </c>
      <c r="G28" s="85">
        <v>6.2E-2</v>
      </c>
      <c r="H28" s="84">
        <v>2.3E-2</v>
      </c>
      <c r="I28" s="84">
        <v>2.9000000000000001E-2</v>
      </c>
      <c r="J28" s="65">
        <v>401731.47</v>
      </c>
      <c r="K28" s="65">
        <v>21591.18</v>
      </c>
      <c r="L28" s="65">
        <v>138131.4</v>
      </c>
      <c r="M28" s="65">
        <v>116155.95</v>
      </c>
      <c r="N28" s="92">
        <f>IFERROR(  (Table2[[#This Row],[Exports (USD Million)]] / Table2[[#This Row],[Imports (USD Million)]] ) - 1,  0)</f>
        <v>0.18918918918918926</v>
      </c>
      <c r="O28" s="65">
        <v>-22221</v>
      </c>
      <c r="P28" s="85">
        <v>0.629</v>
      </c>
      <c r="Q28" s="87">
        <v>85.1</v>
      </c>
      <c r="R28" s="87">
        <v>-22.4</v>
      </c>
      <c r="S28" s="88">
        <v>72.099999999999994</v>
      </c>
      <c r="T28" s="90"/>
      <c r="U28" s="91" t="s">
        <v>108</v>
      </c>
      <c r="V28" s="91" t="s">
        <v>109</v>
      </c>
      <c r="W28" s="91" t="s">
        <v>110</v>
      </c>
    </row>
    <row r="29" spans="1:23" x14ac:dyDescent="0.35">
      <c r="A29" s="3" t="s">
        <v>84</v>
      </c>
      <c r="B29" s="3"/>
      <c r="C29" s="73">
        <v>1.04</v>
      </c>
      <c r="D29" s="66">
        <v>85.76</v>
      </c>
      <c r="E29" s="84">
        <v>-1.0999999999999999E-2</v>
      </c>
      <c r="F29" s="63">
        <v>132414</v>
      </c>
      <c r="G29" s="85">
        <v>5.8999999999999997E-2</v>
      </c>
      <c r="H29" s="84">
        <v>1.9400000000000001E-2</v>
      </c>
      <c r="I29" s="84">
        <v>2.9000000000000001E-2</v>
      </c>
      <c r="J29" s="65">
        <v>2832.9</v>
      </c>
      <c r="K29" s="65">
        <v>-770</v>
      </c>
      <c r="L29" s="65">
        <v>1308.06</v>
      </c>
      <c r="M29" s="65">
        <v>1988.25</v>
      </c>
      <c r="N29" s="92">
        <f>IFERROR(  (Table2[[#This Row],[Exports (USD Million)]] / Table2[[#This Row],[Imports (USD Million)]] ) - 1,  0)</f>
        <v>-0.34210486608826862</v>
      </c>
      <c r="O29" s="65">
        <v>-24444</v>
      </c>
      <c r="P29" s="85">
        <v>0.25700000000000001</v>
      </c>
      <c r="Q29" s="87">
        <v>98.1</v>
      </c>
      <c r="R29" s="87">
        <v>-7.8</v>
      </c>
      <c r="S29" s="88">
        <v>79.2</v>
      </c>
      <c r="T29" s="90"/>
      <c r="U29" s="90"/>
      <c r="V29" s="90"/>
      <c r="W29" s="90"/>
    </row>
    <row r="30" spans="1:23" ht="13.15" x14ac:dyDescent="0.35">
      <c r="A30" s="3" t="s">
        <v>146</v>
      </c>
      <c r="B30" s="3"/>
      <c r="C30" s="3"/>
      <c r="D30" s="105">
        <f>SUBTOTAL(101,Table2[GDP (USD billion)])</f>
        <v>3235.6482501467999</v>
      </c>
      <c r="E30" s="80">
        <f>SUBTOTAL(101,Table2[Full Year GDP  Growth])</f>
        <v>1.950000000000001E-2</v>
      </c>
      <c r="F30" s="78">
        <f>SUBTOTAL(101,Table2[GDP per capita PPP (USD)])</f>
        <v>59009.24</v>
      </c>
      <c r="G30" s="81">
        <f>SUBTOTAL(101,Table2[Unemployment])</f>
        <v>4.6900000000000004E-2</v>
      </c>
      <c r="H30" s="80">
        <f>SUBTOTAL(101,Table2[Inflation rate])</f>
        <v>2.1873076923076933E-2</v>
      </c>
      <c r="I30" s="82">
        <f>SUBTOTAL(101,Table2[Interest Rate])</f>
        <v>3.8953846153846158E-2</v>
      </c>
      <c r="J30" s="83">
        <f>SUBTOTAL(101,Table2[Foreign Exchange Reserves (USD Million)])</f>
        <v>424954.63569691894</v>
      </c>
      <c r="K30" s="83">
        <f>SUBTOTAL(101,Table2[Balance Trade (USD Million)])</f>
        <v>1439.23108</v>
      </c>
      <c r="L30" s="78"/>
      <c r="M30" s="78"/>
      <c r="N30" s="107">
        <f>SUBTOTAL(101,Table2[Balance Trade %])</f>
        <v>0.1377028222629845</v>
      </c>
      <c r="O30" s="83">
        <f>SUBTOTAL(101,Table2[Foreign Direct Investment (USD Million)])</f>
        <v>49478.0412</v>
      </c>
      <c r="P30" s="81">
        <f>SUBTOTAL(101,Table2[Debt to GDP])</f>
        <v>0.78894799999999998</v>
      </c>
      <c r="Q30" s="79"/>
      <c r="R30" s="79"/>
      <c r="S30" s="61">
        <f>SUBTOTAL(101,Table2[Economic Freedom])</f>
        <v>69.442307692307679</v>
      </c>
      <c r="T30" s="48"/>
      <c r="U30" s="90"/>
      <c r="V30" s="90"/>
      <c r="W30" s="90">
        <f>SUBTOTAL(103,Table2[Debilidades])</f>
        <v>13</v>
      </c>
    </row>
    <row r="32" spans="1:23" x14ac:dyDescent="0.35">
      <c r="E32" s="67"/>
      <c r="O32" s="71"/>
    </row>
    <row r="37" spans="11:11" x14ac:dyDescent="0.35">
      <c r="K37" s="93"/>
    </row>
  </sheetData>
  <phoneticPr fontId="10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A9999"/>
    <outlinePr summaryBelow="0" summaryRight="0"/>
  </sheetPr>
  <dimension ref="A1:AA992"/>
  <sheetViews>
    <sheetView zoomScale="160" zoomScaleNormal="160" workbookViewId="0">
      <selection activeCell="F19" sqref="F19"/>
    </sheetView>
  </sheetViews>
  <sheetFormatPr defaultColWidth="12.6640625" defaultRowHeight="15" customHeight="1" x14ac:dyDescent="0.35"/>
  <cols>
    <col min="1" max="1" width="0.33203125" customWidth="1"/>
    <col min="2" max="2" width="2.796875" customWidth="1"/>
    <col min="3" max="3" width="23.33203125" customWidth="1"/>
    <col min="4" max="4" width="14.1328125" customWidth="1"/>
    <col min="5" max="5" width="15.796875" customWidth="1"/>
    <col min="6" max="6" width="17.1328125" customWidth="1"/>
    <col min="7" max="7" width="16.1328125" customWidth="1"/>
    <col min="8" max="10" width="14.1328125" customWidth="1"/>
    <col min="11" max="11" width="12.46484375" customWidth="1"/>
    <col min="12" max="13" width="13" customWidth="1"/>
    <col min="14" max="27" width="12.46484375" customWidth="1"/>
  </cols>
  <sheetData>
    <row r="1" spans="1:27" ht="1.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</row>
    <row r="2" spans="1:27" ht="39" customHeight="1" x14ac:dyDescent="0.35">
      <c r="A2" s="1"/>
      <c r="B2" s="137"/>
      <c r="C2" s="138"/>
      <c r="D2" s="138"/>
      <c r="E2" s="139" t="s">
        <v>0</v>
      </c>
      <c r="F2" s="140"/>
      <c r="G2" s="140"/>
      <c r="H2" s="140"/>
      <c r="I2" s="140"/>
      <c r="J2" s="141"/>
      <c r="K2" s="142" t="s">
        <v>1</v>
      </c>
      <c r="L2" s="140"/>
      <c r="M2" s="141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3.15" x14ac:dyDescent="0.35">
      <c r="A3" s="1"/>
      <c r="B3" s="143" t="s">
        <v>2</v>
      </c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35">
      <c r="A4" s="1"/>
      <c r="B4" s="149" t="s">
        <v>14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1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46.5" customHeight="1" x14ac:dyDescent="0.35">
      <c r="A5" s="1"/>
      <c r="B5" s="4"/>
      <c r="C5" s="4" t="s">
        <v>15</v>
      </c>
      <c r="D5" s="6" t="s">
        <v>16</v>
      </c>
      <c r="E5" s="6" t="s">
        <v>4</v>
      </c>
      <c r="F5" s="6" t="s">
        <v>5</v>
      </c>
      <c r="G5" s="7" t="s">
        <v>6</v>
      </c>
      <c r="H5" s="4" t="s">
        <v>7</v>
      </c>
      <c r="I5" s="4" t="s">
        <v>8</v>
      </c>
      <c r="J5" s="5" t="s">
        <v>9</v>
      </c>
      <c r="K5" s="6" t="s">
        <v>10</v>
      </c>
      <c r="L5" s="6" t="s">
        <v>11</v>
      </c>
      <c r="M5" s="8" t="s">
        <v>12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33" customHeight="1" x14ac:dyDescent="0.35">
      <c r="A6" s="1"/>
      <c r="B6" s="9">
        <v>1</v>
      </c>
      <c r="C6" s="10"/>
      <c r="D6" s="10" t="s">
        <v>17</v>
      </c>
      <c r="E6" s="11"/>
      <c r="F6" s="12"/>
      <c r="G6" s="12"/>
      <c r="H6" s="13"/>
      <c r="I6" s="13"/>
      <c r="J6" s="13" t="str">
        <f t="shared" ref="J6:J30" si="0">IF(G6="","",I6-H6)</f>
        <v/>
      </c>
      <c r="K6" s="14" t="str">
        <f t="shared" ref="K6:K30" si="1">IF(G6="","",IFERROR(I6/H6-1,"0%"))</f>
        <v/>
      </c>
      <c r="L6" s="15" t="str">
        <f t="shared" ref="L6:L30" si="2">IFERROR(IF(I6="","",I6/$I$32),"")</f>
        <v/>
      </c>
      <c r="M6" s="16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35">
      <c r="A7" s="1"/>
      <c r="B7" s="9">
        <v>2</v>
      </c>
      <c r="C7" s="10"/>
      <c r="D7" s="10"/>
      <c r="E7" s="11"/>
      <c r="F7" s="12"/>
      <c r="G7" s="12"/>
      <c r="H7" s="13" t="str">
        <f t="shared" ref="H7:H30" si="3">IF(G7="","",E7*F7)</f>
        <v/>
      </c>
      <c r="I7" s="13" t="str">
        <f t="shared" ref="I7:I30" si="4">IF(G7="","",E7*G7)</f>
        <v/>
      </c>
      <c r="J7" s="13" t="str">
        <f t="shared" si="0"/>
        <v/>
      </c>
      <c r="K7" s="14" t="str">
        <f t="shared" si="1"/>
        <v/>
      </c>
      <c r="L7" s="15" t="str">
        <f t="shared" si="2"/>
        <v/>
      </c>
      <c r="M7" s="16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35">
      <c r="A8" s="1"/>
      <c r="B8" s="9">
        <v>3</v>
      </c>
      <c r="C8" s="10"/>
      <c r="D8" s="10"/>
      <c r="E8" s="11"/>
      <c r="F8" s="12"/>
      <c r="G8" s="12"/>
      <c r="H8" s="13" t="str">
        <f t="shared" si="3"/>
        <v/>
      </c>
      <c r="I8" s="13" t="str">
        <f t="shared" si="4"/>
        <v/>
      </c>
      <c r="J8" s="13" t="str">
        <f t="shared" si="0"/>
        <v/>
      </c>
      <c r="K8" s="14" t="str">
        <f t="shared" si="1"/>
        <v/>
      </c>
      <c r="L8" s="15" t="str">
        <f t="shared" si="2"/>
        <v/>
      </c>
      <c r="M8" s="16"/>
      <c r="N8" s="17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35">
      <c r="A9" s="1"/>
      <c r="B9" s="9">
        <v>4</v>
      </c>
      <c r="C9" s="10"/>
      <c r="D9" s="10"/>
      <c r="E9" s="11"/>
      <c r="F9" s="12"/>
      <c r="G9" s="12"/>
      <c r="H9" s="13" t="str">
        <f t="shared" si="3"/>
        <v/>
      </c>
      <c r="I9" s="13" t="str">
        <f t="shared" si="4"/>
        <v/>
      </c>
      <c r="J9" s="13" t="str">
        <f t="shared" si="0"/>
        <v/>
      </c>
      <c r="K9" s="14" t="str">
        <f t="shared" si="1"/>
        <v/>
      </c>
      <c r="L9" s="15" t="str">
        <f t="shared" si="2"/>
        <v/>
      </c>
      <c r="M9" s="16"/>
      <c r="N9" s="1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35">
      <c r="A10" s="1"/>
      <c r="B10" s="9">
        <v>5</v>
      </c>
      <c r="C10" s="10"/>
      <c r="D10" s="10"/>
      <c r="E10" s="11"/>
      <c r="F10" s="12"/>
      <c r="G10" s="12"/>
      <c r="H10" s="13" t="str">
        <f t="shared" si="3"/>
        <v/>
      </c>
      <c r="I10" s="13" t="str">
        <f t="shared" si="4"/>
        <v/>
      </c>
      <c r="J10" s="13" t="str">
        <f t="shared" si="0"/>
        <v/>
      </c>
      <c r="K10" s="14" t="str">
        <f t="shared" si="1"/>
        <v/>
      </c>
      <c r="L10" s="15" t="str">
        <f t="shared" si="2"/>
        <v/>
      </c>
      <c r="M10" s="16"/>
      <c r="N10" s="17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35">
      <c r="A11" s="1"/>
      <c r="B11" s="9">
        <v>6</v>
      </c>
      <c r="C11" s="10"/>
      <c r="D11" s="10"/>
      <c r="E11" s="11"/>
      <c r="F11" s="12"/>
      <c r="G11" s="12"/>
      <c r="H11" s="13" t="str">
        <f t="shared" si="3"/>
        <v/>
      </c>
      <c r="I11" s="13" t="str">
        <f t="shared" si="4"/>
        <v/>
      </c>
      <c r="J11" s="13" t="str">
        <f t="shared" si="0"/>
        <v/>
      </c>
      <c r="K11" s="14" t="str">
        <f t="shared" si="1"/>
        <v/>
      </c>
      <c r="L11" s="15" t="str">
        <f t="shared" si="2"/>
        <v/>
      </c>
      <c r="M11" s="16"/>
      <c r="N11" s="17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35">
      <c r="A12" s="1"/>
      <c r="B12" s="9">
        <v>7</v>
      </c>
      <c r="C12" s="10"/>
      <c r="D12" s="10"/>
      <c r="E12" s="11"/>
      <c r="F12" s="12"/>
      <c r="G12" s="12"/>
      <c r="H12" s="13" t="str">
        <f t="shared" si="3"/>
        <v/>
      </c>
      <c r="I12" s="13" t="str">
        <f t="shared" si="4"/>
        <v/>
      </c>
      <c r="J12" s="13" t="str">
        <f t="shared" si="0"/>
        <v/>
      </c>
      <c r="K12" s="14" t="str">
        <f t="shared" si="1"/>
        <v/>
      </c>
      <c r="L12" s="15" t="str">
        <f t="shared" si="2"/>
        <v/>
      </c>
      <c r="M12" s="16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35">
      <c r="A13" s="1"/>
      <c r="B13" s="9">
        <v>8</v>
      </c>
      <c r="C13" s="10"/>
      <c r="D13" s="10"/>
      <c r="E13" s="11"/>
      <c r="F13" s="12"/>
      <c r="G13" s="12"/>
      <c r="H13" s="13" t="str">
        <f t="shared" si="3"/>
        <v/>
      </c>
      <c r="I13" s="13" t="str">
        <f t="shared" si="4"/>
        <v/>
      </c>
      <c r="J13" s="13" t="str">
        <f t="shared" si="0"/>
        <v/>
      </c>
      <c r="K13" s="14" t="str">
        <f t="shared" si="1"/>
        <v/>
      </c>
      <c r="L13" s="15" t="str">
        <f t="shared" si="2"/>
        <v/>
      </c>
      <c r="M13" s="16"/>
      <c r="N13" s="17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35">
      <c r="A14" s="1"/>
      <c r="B14" s="9">
        <v>9</v>
      </c>
      <c r="C14" s="10"/>
      <c r="D14" s="10"/>
      <c r="E14" s="11"/>
      <c r="F14" s="12"/>
      <c r="G14" s="12"/>
      <c r="H14" s="13" t="str">
        <f t="shared" si="3"/>
        <v/>
      </c>
      <c r="I14" s="13" t="str">
        <f t="shared" si="4"/>
        <v/>
      </c>
      <c r="J14" s="13" t="str">
        <f t="shared" si="0"/>
        <v/>
      </c>
      <c r="K14" s="14" t="str">
        <f t="shared" si="1"/>
        <v/>
      </c>
      <c r="L14" s="15" t="str">
        <f t="shared" si="2"/>
        <v/>
      </c>
      <c r="M14" s="16"/>
      <c r="N14" s="17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35">
      <c r="A15" s="1"/>
      <c r="B15" s="9">
        <v>10</v>
      </c>
      <c r="C15" s="10"/>
      <c r="D15" s="10"/>
      <c r="E15" s="11"/>
      <c r="F15" s="12"/>
      <c r="G15" s="12"/>
      <c r="H15" s="13" t="str">
        <f t="shared" si="3"/>
        <v/>
      </c>
      <c r="I15" s="13" t="str">
        <f t="shared" si="4"/>
        <v/>
      </c>
      <c r="J15" s="13" t="str">
        <f t="shared" si="0"/>
        <v/>
      </c>
      <c r="K15" s="14" t="str">
        <f t="shared" si="1"/>
        <v/>
      </c>
      <c r="L15" s="15" t="str">
        <f t="shared" si="2"/>
        <v/>
      </c>
      <c r="M15" s="16"/>
      <c r="N15" s="17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35">
      <c r="A16" s="1"/>
      <c r="B16" s="9">
        <v>11</v>
      </c>
      <c r="C16" s="10"/>
      <c r="D16" s="10"/>
      <c r="E16" s="11"/>
      <c r="F16" s="12"/>
      <c r="G16" s="12"/>
      <c r="H16" s="13" t="str">
        <f t="shared" si="3"/>
        <v/>
      </c>
      <c r="I16" s="13" t="str">
        <f t="shared" si="4"/>
        <v/>
      </c>
      <c r="J16" s="13" t="str">
        <f t="shared" si="0"/>
        <v/>
      </c>
      <c r="K16" s="14" t="str">
        <f t="shared" si="1"/>
        <v/>
      </c>
      <c r="L16" s="15" t="str">
        <f t="shared" si="2"/>
        <v/>
      </c>
      <c r="M16" s="16"/>
      <c r="N16" s="17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35">
      <c r="A17" s="1"/>
      <c r="B17" s="9">
        <v>12</v>
      </c>
      <c r="C17" s="10"/>
      <c r="D17" s="10"/>
      <c r="E17" s="11"/>
      <c r="F17" s="12"/>
      <c r="G17" s="12"/>
      <c r="H17" s="13" t="str">
        <f t="shared" si="3"/>
        <v/>
      </c>
      <c r="I17" s="13" t="str">
        <f t="shared" si="4"/>
        <v/>
      </c>
      <c r="J17" s="13" t="str">
        <f t="shared" si="0"/>
        <v/>
      </c>
      <c r="K17" s="14" t="str">
        <f t="shared" si="1"/>
        <v/>
      </c>
      <c r="L17" s="15" t="str">
        <f t="shared" si="2"/>
        <v/>
      </c>
      <c r="M17" s="16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35">
      <c r="A18" s="1"/>
      <c r="B18" s="9">
        <v>13</v>
      </c>
      <c r="C18" s="10"/>
      <c r="D18" s="10"/>
      <c r="E18" s="11"/>
      <c r="F18" s="12"/>
      <c r="G18" s="12"/>
      <c r="H18" s="13" t="str">
        <f t="shared" si="3"/>
        <v/>
      </c>
      <c r="I18" s="13" t="str">
        <f t="shared" si="4"/>
        <v/>
      </c>
      <c r="J18" s="13" t="str">
        <f t="shared" si="0"/>
        <v/>
      </c>
      <c r="K18" s="14" t="str">
        <f t="shared" si="1"/>
        <v/>
      </c>
      <c r="L18" s="15" t="str">
        <f t="shared" si="2"/>
        <v/>
      </c>
      <c r="M18" s="16"/>
      <c r="N18" s="17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35">
      <c r="A19" s="1"/>
      <c r="B19" s="9">
        <v>14</v>
      </c>
      <c r="C19" s="10"/>
      <c r="D19" s="10"/>
      <c r="E19" s="11"/>
      <c r="F19" s="12"/>
      <c r="G19" s="12"/>
      <c r="H19" s="13" t="str">
        <f t="shared" si="3"/>
        <v/>
      </c>
      <c r="I19" s="13" t="str">
        <f t="shared" si="4"/>
        <v/>
      </c>
      <c r="J19" s="13" t="str">
        <f t="shared" si="0"/>
        <v/>
      </c>
      <c r="K19" s="14" t="str">
        <f t="shared" si="1"/>
        <v/>
      </c>
      <c r="L19" s="15" t="str">
        <f t="shared" si="2"/>
        <v/>
      </c>
      <c r="M19" s="16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35">
      <c r="A20" s="1"/>
      <c r="B20" s="9">
        <v>15</v>
      </c>
      <c r="C20" s="10"/>
      <c r="D20" s="10"/>
      <c r="E20" s="11"/>
      <c r="F20" s="12"/>
      <c r="G20" s="12"/>
      <c r="H20" s="13" t="str">
        <f t="shared" si="3"/>
        <v/>
      </c>
      <c r="I20" s="13" t="str">
        <f t="shared" si="4"/>
        <v/>
      </c>
      <c r="J20" s="13" t="str">
        <f t="shared" si="0"/>
        <v/>
      </c>
      <c r="K20" s="14" t="str">
        <f t="shared" si="1"/>
        <v/>
      </c>
      <c r="L20" s="15" t="str">
        <f t="shared" si="2"/>
        <v/>
      </c>
      <c r="M20" s="16"/>
      <c r="N20" s="17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35">
      <c r="A21" s="1"/>
      <c r="B21" s="9">
        <v>16</v>
      </c>
      <c r="C21" s="10"/>
      <c r="D21" s="10"/>
      <c r="E21" s="11"/>
      <c r="F21" s="12"/>
      <c r="G21" s="12"/>
      <c r="H21" s="13" t="str">
        <f t="shared" si="3"/>
        <v/>
      </c>
      <c r="I21" s="13" t="str">
        <f t="shared" si="4"/>
        <v/>
      </c>
      <c r="J21" s="13" t="str">
        <f t="shared" si="0"/>
        <v/>
      </c>
      <c r="K21" s="14" t="str">
        <f t="shared" si="1"/>
        <v/>
      </c>
      <c r="L21" s="15" t="str">
        <f t="shared" si="2"/>
        <v/>
      </c>
      <c r="M21" s="16"/>
      <c r="N21" s="17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35">
      <c r="A22" s="1"/>
      <c r="B22" s="9">
        <v>17</v>
      </c>
      <c r="C22" s="10"/>
      <c r="D22" s="10"/>
      <c r="E22" s="11"/>
      <c r="F22" s="12"/>
      <c r="G22" s="12"/>
      <c r="H22" s="13" t="str">
        <f t="shared" si="3"/>
        <v/>
      </c>
      <c r="I22" s="13" t="str">
        <f t="shared" si="4"/>
        <v/>
      </c>
      <c r="J22" s="13" t="str">
        <f t="shared" si="0"/>
        <v/>
      </c>
      <c r="K22" s="14" t="str">
        <f t="shared" si="1"/>
        <v/>
      </c>
      <c r="L22" s="15" t="str">
        <f t="shared" si="2"/>
        <v/>
      </c>
      <c r="M22" s="16"/>
      <c r="N22" s="17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35">
      <c r="A23" s="1"/>
      <c r="B23" s="9">
        <v>18</v>
      </c>
      <c r="C23" s="10"/>
      <c r="D23" s="10"/>
      <c r="E23" s="11"/>
      <c r="F23" s="12"/>
      <c r="G23" s="12"/>
      <c r="H23" s="13" t="str">
        <f t="shared" si="3"/>
        <v/>
      </c>
      <c r="I23" s="13" t="str">
        <f t="shared" si="4"/>
        <v/>
      </c>
      <c r="J23" s="13" t="str">
        <f t="shared" si="0"/>
        <v/>
      </c>
      <c r="K23" s="14" t="str">
        <f t="shared" si="1"/>
        <v/>
      </c>
      <c r="L23" s="15" t="str">
        <f t="shared" si="2"/>
        <v/>
      </c>
      <c r="M23" s="16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35">
      <c r="A24" s="1"/>
      <c r="B24" s="9">
        <v>19</v>
      </c>
      <c r="C24" s="10"/>
      <c r="D24" s="10"/>
      <c r="E24" s="11"/>
      <c r="F24" s="12"/>
      <c r="G24" s="12"/>
      <c r="H24" s="13" t="str">
        <f t="shared" si="3"/>
        <v/>
      </c>
      <c r="I24" s="13" t="str">
        <f t="shared" si="4"/>
        <v/>
      </c>
      <c r="J24" s="13" t="str">
        <f t="shared" si="0"/>
        <v/>
      </c>
      <c r="K24" s="14" t="str">
        <f t="shared" si="1"/>
        <v/>
      </c>
      <c r="L24" s="15" t="str">
        <f t="shared" si="2"/>
        <v/>
      </c>
      <c r="M24" s="16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35">
      <c r="A25" s="1"/>
      <c r="B25" s="9">
        <v>20</v>
      </c>
      <c r="C25" s="10"/>
      <c r="D25" s="10"/>
      <c r="E25" s="11"/>
      <c r="F25" s="12"/>
      <c r="G25" s="12"/>
      <c r="H25" s="13" t="str">
        <f t="shared" si="3"/>
        <v/>
      </c>
      <c r="I25" s="13" t="str">
        <f t="shared" si="4"/>
        <v/>
      </c>
      <c r="J25" s="13" t="str">
        <f t="shared" si="0"/>
        <v/>
      </c>
      <c r="K25" s="14" t="str">
        <f t="shared" si="1"/>
        <v/>
      </c>
      <c r="L25" s="15" t="str">
        <f t="shared" si="2"/>
        <v/>
      </c>
      <c r="M25" s="16"/>
      <c r="N25" s="17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35">
      <c r="A26" s="1"/>
      <c r="B26" s="9">
        <v>21</v>
      </c>
      <c r="C26" s="10"/>
      <c r="D26" s="10"/>
      <c r="E26" s="11"/>
      <c r="F26" s="12"/>
      <c r="G26" s="12"/>
      <c r="H26" s="13" t="str">
        <f t="shared" si="3"/>
        <v/>
      </c>
      <c r="I26" s="13" t="str">
        <f t="shared" si="4"/>
        <v/>
      </c>
      <c r="J26" s="13" t="str">
        <f t="shared" si="0"/>
        <v/>
      </c>
      <c r="K26" s="14" t="str">
        <f t="shared" si="1"/>
        <v/>
      </c>
      <c r="L26" s="15" t="str">
        <f t="shared" si="2"/>
        <v/>
      </c>
      <c r="M26" s="16"/>
      <c r="N26" s="17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35">
      <c r="A27" s="1"/>
      <c r="B27" s="9">
        <v>22</v>
      </c>
      <c r="C27" s="10"/>
      <c r="D27" s="10"/>
      <c r="E27" s="11"/>
      <c r="F27" s="12"/>
      <c r="G27" s="12"/>
      <c r="H27" s="13" t="str">
        <f t="shared" si="3"/>
        <v/>
      </c>
      <c r="I27" s="13" t="str">
        <f t="shared" si="4"/>
        <v/>
      </c>
      <c r="J27" s="13" t="str">
        <f t="shared" si="0"/>
        <v/>
      </c>
      <c r="K27" s="14" t="str">
        <f t="shared" si="1"/>
        <v/>
      </c>
      <c r="L27" s="15" t="str">
        <f t="shared" si="2"/>
        <v/>
      </c>
      <c r="M27" s="16"/>
      <c r="N27" s="17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35">
      <c r="A28" s="1"/>
      <c r="B28" s="9">
        <v>23</v>
      </c>
      <c r="C28" s="10"/>
      <c r="D28" s="10"/>
      <c r="E28" s="11"/>
      <c r="F28" s="12"/>
      <c r="G28" s="12"/>
      <c r="H28" s="13" t="str">
        <f t="shared" si="3"/>
        <v/>
      </c>
      <c r="I28" s="13" t="str">
        <f t="shared" si="4"/>
        <v/>
      </c>
      <c r="J28" s="13" t="str">
        <f t="shared" si="0"/>
        <v/>
      </c>
      <c r="K28" s="14" t="str">
        <f t="shared" si="1"/>
        <v/>
      </c>
      <c r="L28" s="15" t="str">
        <f t="shared" si="2"/>
        <v/>
      </c>
      <c r="M28" s="16"/>
      <c r="N28" s="17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35">
      <c r="A29" s="1"/>
      <c r="B29" s="9">
        <v>24</v>
      </c>
      <c r="C29" s="10"/>
      <c r="D29" s="10"/>
      <c r="E29" s="11"/>
      <c r="F29" s="12"/>
      <c r="G29" s="12"/>
      <c r="H29" s="13" t="str">
        <f t="shared" si="3"/>
        <v/>
      </c>
      <c r="I29" s="13" t="str">
        <f t="shared" si="4"/>
        <v/>
      </c>
      <c r="J29" s="13" t="str">
        <f t="shared" si="0"/>
        <v/>
      </c>
      <c r="K29" s="14" t="str">
        <f t="shared" si="1"/>
        <v/>
      </c>
      <c r="L29" s="15" t="str">
        <f t="shared" si="2"/>
        <v/>
      </c>
      <c r="M29" s="16"/>
      <c r="N29" s="17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35">
      <c r="A30" s="1"/>
      <c r="B30" s="9">
        <v>25</v>
      </c>
      <c r="C30" s="10"/>
      <c r="D30" s="10"/>
      <c r="E30" s="11"/>
      <c r="F30" s="12"/>
      <c r="G30" s="12"/>
      <c r="H30" s="13" t="str">
        <f t="shared" si="3"/>
        <v/>
      </c>
      <c r="I30" s="13" t="str">
        <f t="shared" si="4"/>
        <v/>
      </c>
      <c r="J30" s="13" t="str">
        <f t="shared" si="0"/>
        <v/>
      </c>
      <c r="K30" s="14" t="str">
        <f t="shared" si="1"/>
        <v/>
      </c>
      <c r="L30" s="15" t="str">
        <f t="shared" si="2"/>
        <v/>
      </c>
      <c r="M30" s="16"/>
      <c r="N30" s="17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35">
      <c r="A31" s="18"/>
      <c r="B31" s="3"/>
      <c r="C31" s="3"/>
      <c r="D31" s="3"/>
      <c r="E31" s="3"/>
      <c r="F31" s="19"/>
      <c r="G31" s="20"/>
      <c r="H31" s="20"/>
      <c r="I31" s="20"/>
      <c r="J31" s="20"/>
      <c r="K31" s="1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35">
      <c r="A32" s="18"/>
      <c r="B32" s="3"/>
      <c r="C32" s="3"/>
      <c r="D32" s="3"/>
      <c r="E32" s="3"/>
      <c r="F32" s="3"/>
      <c r="G32" s="147" t="s">
        <v>13</v>
      </c>
      <c r="H32" s="148"/>
      <c r="I32" s="21">
        <f>SUM(I6:I30)</f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35">
      <c r="A33" s="18"/>
      <c r="B33" s="3"/>
      <c r="C33" s="3"/>
      <c r="D33" s="3"/>
      <c r="E33" s="3"/>
      <c r="F33" s="3"/>
      <c r="G33" s="3"/>
      <c r="H33" s="3"/>
      <c r="I33" s="19"/>
      <c r="J33" s="19"/>
      <c r="K33" s="3"/>
      <c r="L33" s="3"/>
      <c r="M33" s="2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35">
      <c r="A34" s="1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35">
      <c r="A35" s="1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35">
      <c r="A36" s="1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35">
      <c r="A37" s="1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35">
      <c r="A38" s="1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35">
      <c r="A39" s="1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35">
      <c r="A40" s="1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35">
      <c r="A41" s="1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35">
      <c r="A42" s="1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35">
      <c r="A43" s="1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35">
      <c r="A44" s="1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35">
      <c r="A45" s="1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35">
      <c r="A46" s="1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35">
      <c r="A47" s="1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35">
      <c r="A48" s="1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35">
      <c r="A49" s="1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35">
      <c r="A50" s="1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35">
      <c r="A51" s="1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35">
      <c r="A52" s="1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35">
      <c r="A53" s="1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35">
      <c r="A54" s="1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35">
      <c r="A55" s="1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35">
      <c r="A56" s="1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35">
      <c r="A57" s="1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35">
      <c r="A58" s="1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35">
      <c r="A59" s="1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35">
      <c r="A60" s="1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35">
      <c r="A61" s="1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35">
      <c r="A62" s="1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35">
      <c r="A63" s="1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35">
      <c r="A64" s="1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35">
      <c r="A65" s="1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35">
      <c r="A66" s="1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35">
      <c r="A67" s="1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35">
      <c r="A68" s="1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35">
      <c r="A69" s="1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35">
      <c r="A70" s="1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35">
      <c r="A71" s="1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35">
      <c r="A72" s="1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35">
      <c r="A73" s="1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35">
      <c r="A74" s="1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35">
      <c r="A75" s="1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35">
      <c r="A76" s="1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35">
      <c r="A77" s="1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35">
      <c r="A78" s="1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35">
      <c r="A79" s="1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35">
      <c r="A80" s="1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35">
      <c r="A81" s="1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35">
      <c r="A82" s="1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35">
      <c r="A83" s="1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35">
      <c r="A84" s="1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35">
      <c r="A85" s="1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35">
      <c r="A86" s="1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35">
      <c r="A87" s="1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35">
      <c r="A88" s="18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35">
      <c r="A89" s="18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35">
      <c r="A90" s="18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35">
      <c r="A91" s="18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35">
      <c r="A92" s="18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35">
      <c r="A93" s="18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35">
      <c r="A94" s="18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35">
      <c r="A95" s="18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35">
      <c r="A96" s="18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35">
      <c r="A97" s="18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35">
      <c r="A98" s="18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35">
      <c r="A99" s="18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35">
      <c r="A100" s="18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35">
      <c r="A101" s="18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35">
      <c r="A102" s="18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35">
      <c r="A103" s="18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35">
      <c r="A104" s="18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35">
      <c r="A105" s="18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35">
      <c r="A106" s="18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35">
      <c r="A107" s="18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35">
      <c r="A108" s="18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35">
      <c r="A109" s="18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35">
      <c r="A110" s="18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35">
      <c r="A111" s="18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35">
      <c r="A112" s="18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35">
      <c r="A113" s="18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35">
      <c r="A114" s="18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35">
      <c r="A115" s="18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35">
      <c r="A116" s="18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35">
      <c r="A117" s="18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35">
      <c r="A118" s="18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35">
      <c r="A119" s="18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35">
      <c r="A120" s="18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35">
      <c r="A121" s="18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35">
      <c r="A122" s="18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35">
      <c r="A123" s="18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35">
      <c r="A124" s="18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35">
      <c r="A125" s="18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35">
      <c r="A126" s="18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35">
      <c r="A127" s="18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35">
      <c r="A128" s="18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35">
      <c r="A129" s="18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35">
      <c r="A130" s="18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35">
      <c r="A131" s="18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35">
      <c r="A132" s="18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35">
      <c r="A133" s="18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35">
      <c r="A134" s="18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35">
      <c r="A135" s="18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35">
      <c r="A136" s="18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35">
      <c r="A137" s="18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35">
      <c r="A138" s="18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35">
      <c r="A139" s="18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35">
      <c r="A140" s="18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35">
      <c r="A141" s="18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35">
      <c r="A142" s="18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35">
      <c r="A143" s="18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35">
      <c r="A144" s="18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35">
      <c r="A145" s="18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35">
      <c r="A146" s="18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35">
      <c r="A147" s="18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35">
      <c r="A148" s="18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35">
      <c r="A149" s="18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35">
      <c r="A150" s="18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35">
      <c r="A151" s="18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35">
      <c r="A152" s="18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35">
      <c r="A153" s="18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35">
      <c r="A154" s="18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35">
      <c r="A155" s="18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35">
      <c r="A156" s="18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35">
      <c r="A157" s="18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35">
      <c r="A158" s="18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35">
      <c r="A159" s="18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35">
      <c r="A160" s="18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35">
      <c r="A161" s="18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35">
      <c r="A162" s="18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35">
      <c r="A163" s="18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35">
      <c r="A164" s="18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35">
      <c r="A165" s="18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35">
      <c r="A166" s="18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35">
      <c r="A167" s="18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35">
      <c r="A168" s="18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35">
      <c r="A169" s="18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35">
      <c r="A170" s="18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35">
      <c r="A171" s="18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35">
      <c r="A172" s="18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35">
      <c r="A173" s="18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35">
      <c r="A174" s="18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35">
      <c r="A175" s="18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35">
      <c r="A176" s="18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35">
      <c r="A177" s="18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35">
      <c r="A178" s="18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35">
      <c r="A179" s="18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35">
      <c r="A180" s="18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35">
      <c r="A181" s="18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35">
      <c r="A182" s="18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35">
      <c r="A183" s="18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35">
      <c r="A184" s="18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35">
      <c r="A185" s="18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35">
      <c r="A186" s="18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35">
      <c r="A187" s="18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35">
      <c r="A188" s="18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35">
      <c r="A189" s="18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35">
      <c r="A190" s="18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35">
      <c r="A191" s="18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35">
      <c r="A192" s="18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35">
      <c r="A193" s="18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35">
      <c r="A194" s="18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35">
      <c r="A195" s="18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35">
      <c r="A196" s="18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35">
      <c r="A197" s="18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35">
      <c r="A198" s="18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35">
      <c r="A199" s="18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35">
      <c r="A200" s="18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35">
      <c r="A201" s="18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35">
      <c r="A202" s="18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35">
      <c r="A203" s="18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35">
      <c r="A204" s="18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35">
      <c r="A205" s="18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35">
      <c r="A206" s="18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35">
      <c r="A207" s="18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35">
      <c r="A208" s="18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35">
      <c r="A209" s="18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35">
      <c r="A210" s="18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35">
      <c r="A211" s="18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35">
      <c r="A212" s="18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35">
      <c r="A213" s="18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35">
      <c r="A214" s="18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35">
      <c r="A215" s="18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35">
      <c r="A216" s="18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35">
      <c r="A217" s="18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35">
      <c r="A218" s="18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35">
      <c r="A219" s="18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35">
      <c r="A220" s="18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35">
      <c r="A221" s="18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35">
      <c r="A222" s="18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35">
      <c r="A223" s="18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35">
      <c r="A224" s="18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35">
      <c r="A225" s="18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35">
      <c r="A226" s="18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35">
      <c r="A227" s="18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35">
      <c r="A228" s="18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35">
      <c r="A229" s="18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35">
      <c r="A230" s="18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35">
      <c r="A231" s="18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35">
      <c r="A232" s="18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35">
      <c r="A233" s="18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35">
      <c r="A234" s="18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35">
      <c r="A235" s="18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35">
      <c r="A236" s="18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35">
      <c r="A237" s="18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35">
      <c r="A238" s="18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35">
      <c r="A239" s="18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35">
      <c r="A240" s="18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35">
      <c r="A241" s="18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35">
      <c r="A242" s="18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35">
      <c r="A243" s="18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35">
      <c r="A244" s="18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35">
      <c r="A245" s="18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35">
      <c r="A246" s="18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35">
      <c r="A247" s="18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35">
      <c r="A248" s="18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35">
      <c r="A249" s="18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35">
      <c r="A250" s="18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35">
      <c r="A251" s="18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35">
      <c r="A252" s="18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35">
      <c r="A253" s="18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35">
      <c r="A254" s="18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35">
      <c r="A255" s="18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35">
      <c r="A256" s="18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35">
      <c r="A257" s="18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35">
      <c r="A258" s="18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35">
      <c r="A259" s="18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35">
      <c r="A260" s="18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35">
      <c r="A261" s="18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35">
      <c r="A262" s="18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35">
      <c r="A263" s="18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35">
      <c r="A264" s="18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35">
      <c r="A265" s="18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35">
      <c r="A266" s="18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35">
      <c r="A267" s="18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35">
      <c r="A268" s="18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35">
      <c r="A269" s="18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35">
      <c r="A270" s="18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35">
      <c r="A271" s="18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35">
      <c r="A272" s="18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35">
      <c r="A273" s="18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35">
      <c r="A274" s="18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35">
      <c r="A275" s="18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35">
      <c r="A276" s="18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35">
      <c r="A277" s="18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35">
      <c r="A278" s="18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35">
      <c r="A279" s="18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35">
      <c r="A280" s="18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35">
      <c r="A281" s="18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35">
      <c r="A282" s="18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35">
      <c r="A283" s="18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35">
      <c r="A284" s="18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35">
      <c r="A285" s="18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35">
      <c r="A286" s="18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35">
      <c r="A287" s="18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35">
      <c r="A288" s="18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35">
      <c r="A289" s="18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35">
      <c r="A290" s="18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35">
      <c r="A291" s="18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35">
      <c r="A292" s="18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35">
      <c r="A293" s="18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35">
      <c r="A294" s="18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35">
      <c r="A295" s="18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35">
      <c r="A296" s="18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35">
      <c r="A297" s="18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35">
      <c r="A298" s="18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35">
      <c r="A299" s="18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35">
      <c r="A300" s="18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35">
      <c r="A301" s="18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35">
      <c r="A302" s="18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35">
      <c r="A303" s="18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35">
      <c r="A304" s="18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35">
      <c r="A305" s="18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35">
      <c r="A306" s="18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35">
      <c r="A307" s="18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35">
      <c r="A308" s="18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35">
      <c r="A309" s="18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35">
      <c r="A310" s="18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35">
      <c r="A311" s="18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35">
      <c r="A312" s="18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35">
      <c r="A313" s="18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35">
      <c r="A314" s="18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35">
      <c r="A315" s="18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35">
      <c r="A316" s="18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35">
      <c r="A317" s="18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35">
      <c r="A318" s="18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35">
      <c r="A319" s="18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35">
      <c r="A320" s="18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35">
      <c r="A321" s="18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35">
      <c r="A322" s="18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35">
      <c r="A323" s="18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35">
      <c r="A324" s="18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35">
      <c r="A325" s="18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35">
      <c r="A326" s="18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35">
      <c r="A327" s="18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35">
      <c r="A328" s="18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35">
      <c r="A329" s="18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35">
      <c r="A330" s="18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35">
      <c r="A331" s="18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35">
      <c r="A332" s="18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35">
      <c r="A333" s="18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35">
      <c r="A334" s="18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35">
      <c r="A335" s="18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35">
      <c r="A336" s="18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35">
      <c r="A337" s="18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35">
      <c r="A338" s="18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35">
      <c r="A339" s="18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35">
      <c r="A340" s="18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35">
      <c r="A341" s="18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35">
      <c r="A342" s="18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35">
      <c r="A343" s="18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35">
      <c r="A344" s="18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35">
      <c r="A345" s="18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35">
      <c r="A346" s="18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35">
      <c r="A347" s="18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35">
      <c r="A348" s="18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35">
      <c r="A349" s="18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35">
      <c r="A350" s="18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35">
      <c r="A351" s="18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35">
      <c r="A352" s="18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35">
      <c r="A353" s="18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35">
      <c r="A354" s="18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35">
      <c r="A355" s="18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35">
      <c r="A356" s="18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35">
      <c r="A357" s="18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35">
      <c r="A358" s="18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35">
      <c r="A359" s="18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35">
      <c r="A360" s="18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35">
      <c r="A361" s="18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35">
      <c r="A362" s="18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35">
      <c r="A363" s="18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35">
      <c r="A364" s="18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35">
      <c r="A365" s="18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35">
      <c r="A366" s="18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35">
      <c r="A367" s="18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35">
      <c r="A368" s="18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35">
      <c r="A369" s="18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35">
      <c r="A370" s="18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35">
      <c r="A371" s="18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35">
      <c r="A372" s="18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35">
      <c r="A373" s="18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35">
      <c r="A374" s="18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35">
      <c r="A375" s="18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35">
      <c r="A376" s="18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35">
      <c r="A377" s="18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35">
      <c r="A378" s="18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35">
      <c r="A379" s="18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35">
      <c r="A380" s="18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35">
      <c r="A381" s="18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35">
      <c r="A382" s="18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35">
      <c r="A383" s="18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35">
      <c r="A384" s="18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35">
      <c r="A385" s="18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35">
      <c r="A386" s="18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35">
      <c r="A387" s="18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35">
      <c r="A388" s="18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35">
      <c r="A389" s="18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35">
      <c r="A390" s="18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35">
      <c r="A391" s="18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35">
      <c r="A392" s="18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35">
      <c r="A393" s="18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35">
      <c r="A394" s="18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35">
      <c r="A395" s="18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35">
      <c r="A396" s="18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35">
      <c r="A397" s="18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35">
      <c r="A398" s="18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35">
      <c r="A399" s="18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35">
      <c r="A400" s="1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35">
      <c r="A401" s="1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35">
      <c r="A402" s="1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35">
      <c r="A403" s="1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35">
      <c r="A404" s="1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35">
      <c r="A405" s="1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35">
      <c r="A406" s="1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35">
      <c r="A407" s="1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35">
      <c r="A408" s="1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35">
      <c r="A409" s="1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35">
      <c r="A410" s="1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35">
      <c r="A411" s="1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35">
      <c r="A412" s="1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35">
      <c r="A413" s="1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35">
      <c r="A414" s="1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35">
      <c r="A415" s="1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35">
      <c r="A416" s="1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35">
      <c r="A417" s="1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35">
      <c r="A418" s="1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35">
      <c r="A419" s="1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35">
      <c r="A420" s="1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35">
      <c r="A421" s="1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35">
      <c r="A422" s="1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35">
      <c r="A423" s="1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35">
      <c r="A424" s="1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35">
      <c r="A425" s="1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35">
      <c r="A426" s="1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35">
      <c r="A427" s="1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35">
      <c r="A428" s="1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35">
      <c r="A429" s="1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35">
      <c r="A430" s="1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35">
      <c r="A431" s="1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35">
      <c r="A432" s="1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35">
      <c r="A433" s="1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35">
      <c r="A434" s="1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35">
      <c r="A435" s="1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35">
      <c r="A436" s="1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35">
      <c r="A437" s="1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35">
      <c r="A438" s="1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35">
      <c r="A439" s="1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35">
      <c r="A440" s="1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35">
      <c r="A441" s="1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35">
      <c r="A442" s="1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35">
      <c r="A443" s="1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35">
      <c r="A444" s="1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35">
      <c r="A445" s="1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35">
      <c r="A446" s="1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35">
      <c r="A447" s="1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35">
      <c r="A448" s="1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35">
      <c r="A449" s="1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35">
      <c r="A450" s="1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35">
      <c r="A451" s="18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35">
      <c r="A452" s="18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35">
      <c r="A453" s="18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35">
      <c r="A454" s="18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35">
      <c r="A455" s="18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35">
      <c r="A456" s="18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35">
      <c r="A457" s="18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35">
      <c r="A458" s="18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35">
      <c r="A459" s="18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35">
      <c r="A460" s="18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35">
      <c r="A461" s="18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35">
      <c r="A462" s="18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35">
      <c r="A463" s="18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35">
      <c r="A464" s="18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35">
      <c r="A465" s="18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35">
      <c r="A466" s="18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35">
      <c r="A467" s="18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35">
      <c r="A468" s="18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35">
      <c r="A469" s="18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35">
      <c r="A470" s="18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35">
      <c r="A471" s="18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35">
      <c r="A472" s="18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35">
      <c r="A473" s="18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35">
      <c r="A474" s="18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35">
      <c r="A475" s="18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35">
      <c r="A476" s="18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35">
      <c r="A477" s="18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35">
      <c r="A478" s="18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35">
      <c r="A479" s="18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35">
      <c r="A480" s="18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35">
      <c r="A481" s="18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35">
      <c r="A482" s="18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35">
      <c r="A483" s="18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35">
      <c r="A484" s="18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35">
      <c r="A485" s="18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35">
      <c r="A486" s="18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35">
      <c r="A487" s="18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35">
      <c r="A488" s="18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35">
      <c r="A489" s="18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35">
      <c r="A490" s="18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35">
      <c r="A491" s="18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35">
      <c r="A492" s="18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35">
      <c r="A493" s="18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35">
      <c r="A494" s="18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35">
      <c r="A495" s="18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35">
      <c r="A496" s="18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35">
      <c r="A497" s="18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35">
      <c r="A498" s="18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35">
      <c r="A499" s="18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35">
      <c r="A500" s="18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35">
      <c r="A501" s="18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35">
      <c r="A502" s="18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35">
      <c r="A503" s="18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35">
      <c r="A504" s="18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35">
      <c r="A505" s="18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35">
      <c r="A506" s="18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35">
      <c r="A507" s="18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35">
      <c r="A508" s="18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35">
      <c r="A509" s="18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35">
      <c r="A510" s="18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35">
      <c r="A511" s="18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35">
      <c r="A512" s="18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35">
      <c r="A513" s="18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35">
      <c r="A514" s="18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35">
      <c r="A515" s="18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35">
      <c r="A516" s="18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35">
      <c r="A517" s="18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35">
      <c r="A518" s="18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35">
      <c r="A519" s="18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35">
      <c r="A520" s="18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35">
      <c r="A521" s="18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35">
      <c r="A522" s="18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35">
      <c r="A523" s="18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35">
      <c r="A524" s="18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35">
      <c r="A525" s="18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35">
      <c r="A526" s="18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35">
      <c r="A527" s="18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35">
      <c r="A528" s="18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35">
      <c r="A529" s="18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35">
      <c r="A530" s="18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35">
      <c r="A531" s="18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35">
      <c r="A532" s="18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35">
      <c r="A533" s="18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35">
      <c r="A534" s="18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35">
      <c r="A535" s="18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35">
      <c r="A536" s="18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35">
      <c r="A537" s="18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35">
      <c r="A538" s="18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35">
      <c r="A539" s="18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35">
      <c r="A540" s="18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35">
      <c r="A541" s="18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35">
      <c r="A542" s="18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35">
      <c r="A543" s="18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35">
      <c r="A544" s="18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35">
      <c r="A545" s="18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35">
      <c r="A546" s="18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35">
      <c r="A547" s="18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35">
      <c r="A548" s="18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35">
      <c r="A549" s="18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35">
      <c r="A550" s="18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35">
      <c r="A551" s="18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35">
      <c r="A552" s="18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35">
      <c r="A553" s="18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35">
      <c r="A554" s="18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35">
      <c r="A555" s="18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35">
      <c r="A556" s="18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35">
      <c r="A557" s="18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35">
      <c r="A558" s="18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35">
      <c r="A559" s="18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35">
      <c r="A560" s="18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35">
      <c r="A561" s="18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35">
      <c r="A562" s="18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35">
      <c r="A563" s="18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35">
      <c r="A564" s="18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35">
      <c r="A565" s="18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35">
      <c r="A566" s="18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35">
      <c r="A567" s="18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35">
      <c r="A568" s="18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35">
      <c r="A569" s="18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35">
      <c r="A570" s="18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35">
      <c r="A571" s="18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35">
      <c r="A572" s="18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35">
      <c r="A573" s="18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35">
      <c r="A574" s="18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35">
      <c r="A575" s="18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35">
      <c r="A576" s="18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35">
      <c r="A577" s="18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35">
      <c r="A578" s="18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35">
      <c r="A579" s="18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35">
      <c r="A580" s="18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35">
      <c r="A581" s="18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35">
      <c r="A582" s="18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35">
      <c r="A583" s="18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35">
      <c r="A584" s="18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35">
      <c r="A585" s="18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35">
      <c r="A586" s="18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35">
      <c r="A587" s="18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35">
      <c r="A588" s="18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35">
      <c r="A589" s="18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35">
      <c r="A590" s="18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35">
      <c r="A591" s="18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35">
      <c r="A592" s="18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35">
      <c r="A593" s="18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35">
      <c r="A594" s="18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35">
      <c r="A595" s="18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35">
      <c r="A596" s="18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35">
      <c r="A597" s="18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35">
      <c r="A598" s="18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35">
      <c r="A599" s="18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35">
      <c r="A600" s="18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35">
      <c r="A601" s="18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35">
      <c r="A602" s="18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35">
      <c r="A603" s="18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35">
      <c r="A604" s="18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35">
      <c r="A605" s="18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35">
      <c r="A606" s="18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35">
      <c r="A607" s="18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35">
      <c r="A608" s="18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35">
      <c r="A609" s="18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35">
      <c r="A610" s="18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35">
      <c r="A611" s="18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35">
      <c r="A612" s="18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35">
      <c r="A613" s="18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35">
      <c r="A614" s="18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35">
      <c r="A615" s="18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35">
      <c r="A616" s="18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35">
      <c r="A617" s="18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35">
      <c r="A618" s="18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35">
      <c r="A619" s="18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35">
      <c r="A620" s="18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35">
      <c r="A621" s="18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35">
      <c r="A622" s="18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35">
      <c r="A623" s="18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35">
      <c r="A624" s="1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35">
      <c r="A625" s="18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35">
      <c r="A626" s="18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35">
      <c r="A627" s="18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35">
      <c r="A628" s="18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35">
      <c r="A629" s="18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35">
      <c r="A630" s="18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35">
      <c r="A631" s="18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35">
      <c r="A632" s="18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35">
      <c r="A633" s="18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35">
      <c r="A634" s="18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35">
      <c r="A635" s="18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35">
      <c r="A636" s="18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35">
      <c r="A637" s="18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35">
      <c r="A638" s="18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35">
      <c r="A639" s="18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35">
      <c r="A640" s="18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35">
      <c r="A641" s="18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35">
      <c r="A642" s="18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35">
      <c r="A643" s="18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35">
      <c r="A644" s="18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35">
      <c r="A645" s="18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35">
      <c r="A646" s="18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35">
      <c r="A647" s="18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35">
      <c r="A648" s="18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35">
      <c r="A649" s="18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35">
      <c r="A650" s="18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35">
      <c r="A651" s="18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35">
      <c r="A652" s="18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35">
      <c r="A653" s="18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35">
      <c r="A654" s="18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35">
      <c r="A655" s="18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35">
      <c r="A656" s="18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35">
      <c r="A657" s="18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35">
      <c r="A658" s="18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35">
      <c r="A659" s="18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35">
      <c r="A660" s="18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35">
      <c r="A661" s="18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35">
      <c r="A662" s="18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35">
      <c r="A663" s="18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35">
      <c r="A664" s="18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35">
      <c r="A665" s="18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35">
      <c r="A666" s="18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35">
      <c r="A667" s="18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35">
      <c r="A668" s="18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35">
      <c r="A669" s="18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35">
      <c r="A670" s="18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35">
      <c r="A671" s="18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35">
      <c r="A672" s="18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35">
      <c r="A673" s="18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35">
      <c r="A674" s="18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35">
      <c r="A675" s="18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35">
      <c r="A676" s="18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35">
      <c r="A677" s="18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35">
      <c r="A678" s="18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35">
      <c r="A679" s="18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35">
      <c r="A680" s="18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35">
      <c r="A681" s="18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35">
      <c r="A682" s="18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35">
      <c r="A683" s="18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35">
      <c r="A684" s="18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35">
      <c r="A685" s="18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35">
      <c r="A686" s="18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35">
      <c r="A687" s="18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35">
      <c r="A688" s="18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35">
      <c r="A689" s="18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35">
      <c r="A690" s="18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35">
      <c r="A691" s="18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35">
      <c r="A692" s="18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35">
      <c r="A693" s="18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35">
      <c r="A694" s="18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35">
      <c r="A695" s="18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35">
      <c r="A696" s="18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35">
      <c r="A697" s="18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35">
      <c r="A698" s="18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35">
      <c r="A699" s="18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35">
      <c r="A700" s="18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35">
      <c r="A701" s="18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35">
      <c r="A702" s="18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35">
      <c r="A703" s="18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35">
      <c r="A704" s="18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35">
      <c r="A705" s="18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35">
      <c r="A706" s="18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35">
      <c r="A707" s="18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35">
      <c r="A708" s="18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35">
      <c r="A709" s="18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35">
      <c r="A710" s="18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35">
      <c r="A711" s="18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35">
      <c r="A712" s="18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35">
      <c r="A713" s="18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35">
      <c r="A714" s="18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35">
      <c r="A715" s="18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35">
      <c r="A716" s="18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35">
      <c r="A717" s="18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35">
      <c r="A718" s="18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35">
      <c r="A719" s="18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35">
      <c r="A720" s="18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35">
      <c r="A721" s="18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35">
      <c r="A722" s="18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35">
      <c r="A723" s="18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35">
      <c r="A724" s="18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35">
      <c r="A725" s="18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35">
      <c r="A726" s="18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35">
      <c r="A727" s="18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35">
      <c r="A728" s="18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35">
      <c r="A729" s="18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35">
      <c r="A730" s="18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35">
      <c r="A731" s="18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35">
      <c r="A732" s="18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35">
      <c r="A733" s="18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35">
      <c r="A734" s="18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35">
      <c r="A735" s="18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35">
      <c r="A736" s="18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35">
      <c r="A737" s="18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35">
      <c r="A738" s="18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35">
      <c r="A739" s="18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35">
      <c r="A740" s="18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35">
      <c r="A741" s="18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35">
      <c r="A742" s="18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35">
      <c r="A743" s="18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35">
      <c r="A744" s="18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35">
      <c r="A745" s="18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35">
      <c r="A746" s="18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35">
      <c r="A747" s="18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35">
      <c r="A748" s="18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35">
      <c r="A749" s="18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35">
      <c r="A750" s="18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35">
      <c r="A751" s="18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35">
      <c r="A752" s="18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35">
      <c r="A753" s="18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35">
      <c r="A754" s="18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35">
      <c r="A755" s="18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35">
      <c r="A756" s="18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35">
      <c r="A757" s="18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35">
      <c r="A758" s="18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35">
      <c r="A759" s="18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35">
      <c r="A760" s="18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35">
      <c r="A761" s="18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35">
      <c r="A762" s="18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35">
      <c r="A763" s="18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35">
      <c r="A764" s="18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35">
      <c r="A765" s="18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35">
      <c r="A766" s="18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35">
      <c r="A767" s="18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35">
      <c r="A768" s="18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35">
      <c r="A769" s="18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35">
      <c r="A770" s="18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35">
      <c r="A771" s="18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35">
      <c r="A772" s="18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35">
      <c r="A773" s="18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35">
      <c r="A774" s="18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35">
      <c r="A775" s="18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35">
      <c r="A776" s="18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35">
      <c r="A777" s="18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35">
      <c r="A778" s="18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35">
      <c r="A779" s="18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35">
      <c r="A780" s="18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35">
      <c r="A781" s="18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35">
      <c r="A782" s="18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35">
      <c r="A783" s="18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35">
      <c r="A784" s="18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35">
      <c r="A785" s="18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35">
      <c r="A786" s="18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35">
      <c r="A787" s="18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35">
      <c r="A788" s="18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35">
      <c r="A789" s="18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35">
      <c r="A790" s="18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35">
      <c r="A791" s="18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35">
      <c r="A792" s="18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35">
      <c r="A793" s="18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35">
      <c r="A794" s="18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35">
      <c r="A795" s="18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35">
      <c r="A796" s="18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35">
      <c r="A797" s="18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35">
      <c r="A798" s="18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35">
      <c r="A799" s="18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35">
      <c r="A800" s="18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35">
      <c r="A801" s="18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35">
      <c r="A802" s="18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35">
      <c r="A803" s="18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35">
      <c r="A804" s="18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35">
      <c r="A805" s="18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35">
      <c r="A806" s="18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35">
      <c r="A807" s="18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35">
      <c r="A808" s="18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35">
      <c r="A809" s="18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35">
      <c r="A810" s="18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35">
      <c r="A811" s="18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35">
      <c r="A812" s="18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35">
      <c r="A813" s="18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35">
      <c r="A814" s="18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35">
      <c r="A815" s="18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35">
      <c r="A816" s="18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35">
      <c r="A817" s="18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35">
      <c r="A818" s="18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35">
      <c r="A819" s="18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35">
      <c r="A820" s="18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35">
      <c r="A821" s="18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35">
      <c r="A822" s="18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35">
      <c r="A823" s="18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35">
      <c r="A824" s="18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35">
      <c r="A825" s="18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35">
      <c r="A826" s="18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35">
      <c r="A827" s="18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35">
      <c r="A828" s="18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35">
      <c r="A829" s="18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35">
      <c r="A830" s="18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35">
      <c r="A831" s="18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35">
      <c r="A832" s="18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35">
      <c r="A833" s="18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35">
      <c r="A834" s="18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35">
      <c r="A835" s="18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35">
      <c r="A836" s="18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35">
      <c r="A837" s="18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35">
      <c r="A838" s="18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35">
      <c r="A839" s="18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35">
      <c r="A840" s="18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35">
      <c r="A841" s="18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35">
      <c r="A842" s="18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35">
      <c r="A843" s="18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35">
      <c r="A844" s="18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35">
      <c r="A845" s="18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35">
      <c r="A846" s="18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35">
      <c r="A847" s="18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35">
      <c r="A848" s="18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35">
      <c r="A849" s="18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35">
      <c r="A850" s="18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35">
      <c r="A851" s="18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35">
      <c r="A852" s="18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35">
      <c r="A853" s="18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35">
      <c r="A854" s="18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35">
      <c r="A855" s="18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35">
      <c r="A856" s="18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35">
      <c r="A857" s="18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35">
      <c r="A858" s="18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35">
      <c r="A859" s="18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35">
      <c r="A860" s="18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35">
      <c r="A861" s="18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35">
      <c r="A862" s="18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35">
      <c r="A863" s="18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35">
      <c r="A864" s="18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35">
      <c r="A865" s="18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35">
      <c r="A866" s="18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35">
      <c r="A867" s="18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35">
      <c r="A868" s="18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35">
      <c r="A869" s="18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35">
      <c r="A870" s="18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35">
      <c r="A871" s="18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35">
      <c r="A872" s="18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35">
      <c r="A873" s="18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35">
      <c r="A874" s="18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35">
      <c r="A875" s="18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35">
      <c r="A876" s="18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35">
      <c r="A877" s="18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35">
      <c r="A878" s="18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35">
      <c r="A879" s="18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35">
      <c r="A880" s="18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35">
      <c r="A881" s="18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35">
      <c r="A882" s="18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35">
      <c r="A883" s="18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35">
      <c r="A884" s="18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35">
      <c r="A885" s="18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35">
      <c r="A886" s="18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35">
      <c r="A887" s="18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35">
      <c r="A888" s="18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35">
      <c r="A889" s="18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35">
      <c r="A890" s="18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35">
      <c r="A891" s="18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35">
      <c r="A892" s="18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35">
      <c r="A893" s="18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35">
      <c r="A894" s="18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35">
      <c r="A895" s="18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35">
      <c r="A896" s="18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35">
      <c r="A897" s="18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35">
      <c r="A898" s="18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35">
      <c r="A899" s="18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35">
      <c r="A900" s="18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35">
      <c r="A901" s="18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35">
      <c r="A902" s="18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35">
      <c r="A903" s="18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35">
      <c r="A904" s="18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35">
      <c r="A905" s="18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35">
      <c r="A906" s="18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35">
      <c r="A907" s="18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35">
      <c r="A908" s="18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35">
      <c r="A909" s="18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35">
      <c r="A910" s="18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35">
      <c r="A911" s="18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35">
      <c r="A912" s="18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35">
      <c r="A913" s="18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35">
      <c r="A914" s="18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35">
      <c r="A915" s="18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35">
      <c r="A916" s="18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35">
      <c r="A917" s="18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35">
      <c r="A918" s="18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35">
      <c r="A919" s="18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35">
      <c r="A920" s="18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35">
      <c r="A921" s="18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35">
      <c r="A922" s="18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35">
      <c r="A923" s="18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35">
      <c r="A924" s="18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35">
      <c r="A925" s="18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35">
      <c r="A926" s="18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35">
      <c r="A927" s="18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35">
      <c r="A928" s="18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35">
      <c r="A929" s="18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35">
      <c r="A930" s="18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35">
      <c r="A931" s="18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35">
      <c r="A932" s="18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35">
      <c r="A933" s="18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35">
      <c r="A934" s="18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35">
      <c r="A935" s="18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35">
      <c r="A936" s="18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35">
      <c r="A937" s="18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35">
      <c r="A938" s="18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35">
      <c r="A939" s="18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35">
      <c r="A940" s="18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35">
      <c r="A941" s="18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35">
      <c r="A942" s="18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35">
      <c r="A943" s="18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35">
      <c r="A944" s="18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35">
      <c r="A945" s="18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35">
      <c r="A946" s="18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35">
      <c r="A947" s="18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35">
      <c r="A948" s="18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35">
      <c r="A949" s="18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35">
      <c r="A950" s="18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35">
      <c r="A951" s="18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35">
      <c r="A952" s="18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35">
      <c r="A953" s="18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35">
      <c r="A954" s="18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35">
      <c r="A955" s="18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35">
      <c r="A956" s="18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35">
      <c r="A957" s="18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35">
      <c r="A958" s="18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35">
      <c r="A959" s="18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35">
      <c r="A960" s="18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35">
      <c r="A961" s="18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35">
      <c r="A962" s="18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35">
      <c r="A963" s="18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35">
      <c r="A964" s="18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35">
      <c r="A965" s="18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35">
      <c r="A966" s="18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35">
      <c r="A967" s="18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35">
      <c r="A968" s="18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35">
      <c r="A969" s="18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35">
      <c r="A970" s="18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35">
      <c r="A971" s="18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35">
      <c r="A972" s="18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35">
      <c r="A973" s="18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35">
      <c r="A974" s="18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35">
      <c r="A975" s="18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35">
      <c r="A976" s="18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35">
      <c r="A977" s="18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35">
      <c r="A978" s="18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35">
      <c r="A979" s="18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35">
      <c r="A980" s="18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35">
      <c r="A981" s="18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35">
      <c r="A982" s="18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35">
      <c r="A983" s="18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35">
      <c r="A984" s="18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35">
      <c r="A985" s="18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35">
      <c r="A986" s="18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35">
      <c r="A987" s="18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35">
      <c r="A988" s="18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35">
      <c r="A989" s="18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35">
      <c r="A990" s="18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35">
      <c r="A991" s="18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35">
      <c r="A992" s="18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</sheetData>
  <mergeCells count="6">
    <mergeCell ref="G32:H32"/>
    <mergeCell ref="B2:D2"/>
    <mergeCell ref="E2:J2"/>
    <mergeCell ref="K2:M2"/>
    <mergeCell ref="B3:M3"/>
    <mergeCell ref="B4:M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Indizado PPR</vt:lpstr>
      <vt:lpstr>Allianz</vt:lpstr>
      <vt:lpstr>Indizado FIRE</vt:lpstr>
      <vt:lpstr>Analisis de Indizados</vt:lpstr>
      <vt:lpstr>Patrimonial</vt:lpstr>
      <vt:lpstr>AportacionesAcumuladas</vt:lpstr>
      <vt:lpstr>DDComprometidoUnidades</vt:lpstr>
      <vt:lpstr>DDComprometidoValorUnitario</vt:lpstr>
      <vt:lpstr>DDInicialUnidades</vt:lpstr>
      <vt:lpstr>DDInicialValorUnitario</vt:lpstr>
      <vt:lpstr>DDPonderacion</vt:lpstr>
      <vt:lpstr>Fecha</vt:lpstr>
      <vt:lpstr>NasdaqComprometidoUnidades</vt:lpstr>
      <vt:lpstr>NasdaqComprometidoValorUnitario</vt:lpstr>
      <vt:lpstr>NasdaqInicialUnidades</vt:lpstr>
      <vt:lpstr>NasdaqInicialValorUnitario</vt:lpstr>
      <vt:lpstr>NasdaqPonderacion</vt:lpstr>
      <vt:lpstr>'Indizado FIRE'!RendimientoPromedio</vt:lpstr>
      <vt:lpstr>RendimientoPromedio</vt:lpstr>
      <vt:lpstr>ValorDDComprometido</vt:lpstr>
      <vt:lpstr>ValorDDInicial</vt:lpstr>
      <vt:lpstr>'Indizado FIRE'!ValorlTotalPortafolio</vt:lpstr>
      <vt:lpstr>ValorlTotalPortafolio</vt:lpstr>
      <vt:lpstr>ValorNasdaqComprometido</vt:lpstr>
      <vt:lpstr>ValorNasdaqInicial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Josué Ramos</cp:lastModifiedBy>
  <dcterms:modified xsi:type="dcterms:W3CDTF">2025-04-09T22:56:15Z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f47cd8-41fa-4235-8c80-86b50baa48d7_Enabled">
    <vt:lpwstr>true</vt:lpwstr>
  </property>
  <property fmtid="{D5CDD505-2E9C-101B-9397-08002B2CF9AE}" pid="3" name="MSIP_Label_66f47cd8-41fa-4235-8c80-86b50baa48d7_SetDate">
    <vt:lpwstr>2025-02-02T04:47:44Z</vt:lpwstr>
  </property>
  <property fmtid="{D5CDD505-2E9C-101B-9397-08002B2CF9AE}" pid="4" name="MSIP_Label_66f47cd8-41fa-4235-8c80-86b50baa48d7_Method">
    <vt:lpwstr>Standard</vt:lpwstr>
  </property>
  <property fmtid="{D5CDD505-2E9C-101B-9397-08002B2CF9AE}" pid="5" name="MSIP_Label_66f47cd8-41fa-4235-8c80-86b50baa48d7_Name">
    <vt:lpwstr>Kroger Internal</vt:lpwstr>
  </property>
  <property fmtid="{D5CDD505-2E9C-101B-9397-08002B2CF9AE}" pid="6" name="MSIP_Label_66f47cd8-41fa-4235-8c80-86b50baa48d7_SiteId">
    <vt:lpwstr>8331e14a-9134-4288-bf5a-5e2c8412f074</vt:lpwstr>
  </property>
  <property fmtid="{D5CDD505-2E9C-101B-9397-08002B2CF9AE}" pid="7" name="MSIP_Label_66f47cd8-41fa-4235-8c80-86b50baa48d7_ActionId">
    <vt:lpwstr>c15807d1-f13e-468e-81a5-c8e256b2e7ab</vt:lpwstr>
  </property>
  <property fmtid="{D5CDD505-2E9C-101B-9397-08002B2CF9AE}" pid="8" name="MSIP_Label_66f47cd8-41fa-4235-8c80-86b50baa48d7_ContentBits">
    <vt:lpwstr>0</vt:lpwstr>
  </property>
</Properties>
</file>