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josue\Documents\MarketStocksTracker\tracker-poetry\src\tracker_poetry\"/>
    </mc:Choice>
  </mc:AlternateContent>
  <xr:revisionPtr revIDLastSave="0" documentId="13_ncr:1_{8EE6187C-EABE-49DC-8D75-8C5DD2255976}" xr6:coauthVersionLast="47" xr6:coauthVersionMax="47" xr10:uidLastSave="{00000000-0000-0000-0000-000000000000}"/>
  <bookViews>
    <workbookView xWindow="45960" yWindow="-120" windowWidth="29040" windowHeight="15840" xr2:uid="{00000000-000D-0000-FFFF-FFFF00000000}"/>
  </bookViews>
  <sheets>
    <sheet name="Indizado PPR" sheetId="1" r:id="rId1"/>
    <sheet name="Indizado FIRE" sheetId="5" r:id="rId2"/>
    <sheet name="Allianz" sheetId="4" r:id="rId3"/>
    <sheet name="Analisis de Indizados" sheetId="3" r:id="rId4"/>
    <sheet name="Patrimonial" sheetId="2" r:id="rId5"/>
  </sheets>
  <definedNames>
    <definedName name="AportacionesAcumuladas" comment="Total de dinero dosificado al plan de retiro">Allianz!$B$2</definedName>
    <definedName name="DDComprometidoUnidades">Allianz!$B$8</definedName>
    <definedName name="DDComprometidoValorUnitario">Allianz!$C$8</definedName>
    <definedName name="DDInicialUnidades">Allianz!$B$7</definedName>
    <definedName name="DDInicialValorUnitario">Allianz!$C$7</definedName>
    <definedName name="DDPonderacion">Allianz!$E$8</definedName>
    <definedName name="Fecha">Allianz!$B$1</definedName>
    <definedName name="NasdaqComprometidoUnidades">Allianz!$B$6</definedName>
    <definedName name="NasdaqComprometidoValorUnitario">Allianz!$C$6</definedName>
    <definedName name="NasdaqInicialUnidades">Allianz!$B$5</definedName>
    <definedName name="NasdaqInicialValorUnitario">Allianz!$C$5</definedName>
    <definedName name="NasdaqPonderacion">Allianz!$E$6</definedName>
    <definedName name="RendimientoPromedio" localSheetId="1">PortafolioIndizado[[#Totals],[Ganancia / Pérdida %]]</definedName>
    <definedName name="RendimientoPromedio">PortafolioPPR[[#Totals],[Balance %]]</definedName>
    <definedName name="ValorlTotalPortafolio" localSheetId="1">PortafolioIndizado[[#Totals],[Valor Actual]]</definedName>
    <definedName name="ValorlTotalPortafolio">PortafolioPPR[[#Totals],[Market Value]]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A7" i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H17" i="5"/>
  <c r="I17" i="5" s="1"/>
  <c r="G17" i="5"/>
  <c r="G6" i="5"/>
  <c r="G7" i="5"/>
  <c r="G8" i="5"/>
  <c r="G9" i="5"/>
  <c r="G10" i="5"/>
  <c r="G11" i="5"/>
  <c r="G12" i="5"/>
  <c r="G13" i="5"/>
  <c r="G14" i="5"/>
  <c r="G15" i="5"/>
  <c r="F2" i="3"/>
  <c r="F30" i="3"/>
  <c r="N15" i="3"/>
  <c r="N12" i="3"/>
  <c r="N27" i="3"/>
  <c r="N14" i="3"/>
  <c r="N29" i="3"/>
  <c r="N13" i="3"/>
  <c r="N16" i="3"/>
  <c r="N22" i="3"/>
  <c r="N23" i="3"/>
  <c r="N11" i="3"/>
  <c r="N28" i="3"/>
  <c r="N21" i="3"/>
  <c r="N6" i="3"/>
  <c r="N25" i="3"/>
  <c r="N20" i="3"/>
  <c r="N8" i="3"/>
  <c r="N24" i="3"/>
  <c r="N9" i="3"/>
  <c r="N18" i="3"/>
  <c r="N4" i="3"/>
  <c r="N10" i="3"/>
  <c r="N5" i="3"/>
  <c r="N26" i="3"/>
  <c r="N7" i="3"/>
  <c r="N19" i="3"/>
  <c r="N17" i="3"/>
  <c r="W2" i="3"/>
  <c r="S2" i="3"/>
  <c r="P2" i="3"/>
  <c r="O2" i="3"/>
  <c r="K2" i="3"/>
  <c r="I2" i="3"/>
  <c r="H2" i="3"/>
  <c r="G2" i="3"/>
  <c r="E2" i="3"/>
  <c r="F18" i="4"/>
  <c r="F17" i="4"/>
  <c r="D11" i="4"/>
  <c r="D10" i="4"/>
  <c r="J17" i="5" l="1"/>
  <c r="J15" i="5"/>
  <c r="J14" i="5"/>
  <c r="J13" i="5"/>
  <c r="J12" i="5"/>
  <c r="J11" i="5"/>
  <c r="J10" i="5"/>
  <c r="J9" i="5"/>
  <c r="J8" i="5"/>
  <c r="J7" i="5"/>
  <c r="N30" i="3"/>
  <c r="N2" i="3"/>
  <c r="C19" i="4"/>
  <c r="C17" i="4"/>
  <c r="C16" i="4"/>
  <c r="C15" i="4"/>
  <c r="C21" i="3"/>
  <c r="J7" i="3"/>
  <c r="C7" i="3"/>
  <c r="D7" i="3" s="1"/>
  <c r="C18" i="3"/>
  <c r="C26" i="3"/>
  <c r="C16" i="3"/>
  <c r="J16" i="3" s="1"/>
  <c r="J2" i="3" s="1"/>
  <c r="C27" i="3"/>
  <c r="C24" i="3"/>
  <c r="L18" i="5"/>
  <c r="G16" i="5"/>
  <c r="I16" i="5" s="1"/>
  <c r="A7" i="5"/>
  <c r="A8" i="5" s="1"/>
  <c r="A9" i="5" s="1"/>
  <c r="A10" i="5" s="1"/>
  <c r="A11" i="5" s="1"/>
  <c r="A12" i="5" s="1"/>
  <c r="A15" i="5" s="1"/>
  <c r="A16" i="5" s="1"/>
  <c r="J16" i="5" l="1"/>
  <c r="D30" i="3"/>
  <c r="D2" i="3"/>
  <c r="G18" i="5"/>
  <c r="H6" i="5"/>
  <c r="J6" i="5" s="1"/>
  <c r="L8" i="1"/>
  <c r="G7" i="1"/>
  <c r="F7" i="1"/>
  <c r="F6" i="1"/>
  <c r="E7" i="1"/>
  <c r="E6" i="1"/>
  <c r="D7" i="1"/>
  <c r="D6" i="1"/>
  <c r="D5" i="4"/>
  <c r="D6" i="4"/>
  <c r="D7" i="4"/>
  <c r="D8" i="4"/>
  <c r="C8" i="4"/>
  <c r="C6" i="4"/>
  <c r="K30" i="2"/>
  <c r="J30" i="2"/>
  <c r="I30" i="2"/>
  <c r="L30" i="2" s="1"/>
  <c r="H30" i="2"/>
  <c r="K29" i="2"/>
  <c r="J29" i="2"/>
  <c r="I29" i="2"/>
  <c r="L29" i="2" s="1"/>
  <c r="H29" i="2"/>
  <c r="K28" i="2"/>
  <c r="J28" i="2"/>
  <c r="I28" i="2"/>
  <c r="L28" i="2" s="1"/>
  <c r="H28" i="2"/>
  <c r="K27" i="2"/>
  <c r="J27" i="2"/>
  <c r="I27" i="2"/>
  <c r="L27" i="2" s="1"/>
  <c r="H27" i="2"/>
  <c r="K26" i="2"/>
  <c r="J26" i="2"/>
  <c r="I26" i="2"/>
  <c r="L26" i="2" s="1"/>
  <c r="H26" i="2"/>
  <c r="L25" i="2"/>
  <c r="K25" i="2"/>
  <c r="J25" i="2"/>
  <c r="I25" i="2"/>
  <c r="H25" i="2"/>
  <c r="L24" i="2"/>
  <c r="K24" i="2"/>
  <c r="J24" i="2"/>
  <c r="I24" i="2"/>
  <c r="H24" i="2"/>
  <c r="K23" i="2"/>
  <c r="J23" i="2"/>
  <c r="I23" i="2"/>
  <c r="L23" i="2" s="1"/>
  <c r="H23" i="2"/>
  <c r="L22" i="2"/>
  <c r="K22" i="2"/>
  <c r="J22" i="2"/>
  <c r="I22" i="2"/>
  <c r="H22" i="2"/>
  <c r="L21" i="2"/>
  <c r="K21" i="2"/>
  <c r="J21" i="2"/>
  <c r="I21" i="2"/>
  <c r="H21" i="2"/>
  <c r="L20" i="2"/>
  <c r="K20" i="2"/>
  <c r="J20" i="2"/>
  <c r="I20" i="2"/>
  <c r="H20" i="2"/>
  <c r="K19" i="2"/>
  <c r="J19" i="2"/>
  <c r="I19" i="2"/>
  <c r="L19" i="2" s="1"/>
  <c r="H19" i="2"/>
  <c r="K18" i="2"/>
  <c r="J18" i="2"/>
  <c r="I18" i="2"/>
  <c r="L18" i="2" s="1"/>
  <c r="H18" i="2"/>
  <c r="L17" i="2"/>
  <c r="K17" i="2"/>
  <c r="J17" i="2"/>
  <c r="I17" i="2"/>
  <c r="H17" i="2"/>
  <c r="L16" i="2"/>
  <c r="K16" i="2"/>
  <c r="J16" i="2"/>
  <c r="I16" i="2"/>
  <c r="H16" i="2"/>
  <c r="K15" i="2"/>
  <c r="J15" i="2"/>
  <c r="I15" i="2"/>
  <c r="L15" i="2" s="1"/>
  <c r="H15" i="2"/>
  <c r="K14" i="2"/>
  <c r="J14" i="2"/>
  <c r="I14" i="2"/>
  <c r="L14" i="2" s="1"/>
  <c r="H14" i="2"/>
  <c r="L13" i="2"/>
  <c r="K13" i="2"/>
  <c r="J13" i="2"/>
  <c r="I13" i="2"/>
  <c r="H13" i="2"/>
  <c r="L12" i="2"/>
  <c r="K12" i="2"/>
  <c r="J12" i="2"/>
  <c r="I12" i="2"/>
  <c r="H12" i="2"/>
  <c r="K11" i="2"/>
  <c r="J11" i="2"/>
  <c r="I11" i="2"/>
  <c r="L11" i="2" s="1"/>
  <c r="H11" i="2"/>
  <c r="L10" i="2"/>
  <c r="K10" i="2"/>
  <c r="J10" i="2"/>
  <c r="I10" i="2"/>
  <c r="H10" i="2"/>
  <c r="L9" i="2"/>
  <c r="K9" i="2"/>
  <c r="J9" i="2"/>
  <c r="I9" i="2"/>
  <c r="H9" i="2"/>
  <c r="L8" i="2"/>
  <c r="K8" i="2"/>
  <c r="J8" i="2"/>
  <c r="I8" i="2"/>
  <c r="H8" i="2"/>
  <c r="I7" i="2"/>
  <c r="J7" i="2" s="1"/>
  <c r="H7" i="2"/>
  <c r="K7" i="2" s="1"/>
  <c r="H18" i="5" l="1"/>
  <c r="I6" i="5"/>
  <c r="I18" i="5" s="1"/>
  <c r="J18" i="5"/>
  <c r="H7" i="1"/>
  <c r="I7" i="1" s="1"/>
  <c r="H6" i="1"/>
  <c r="I6" i="1" s="1"/>
  <c r="G8" i="1"/>
  <c r="I32" i="2"/>
  <c r="L7" i="2" s="1"/>
  <c r="K6" i="2"/>
  <c r="J6" i="2"/>
  <c r="K6" i="5" l="1"/>
  <c r="K7" i="5"/>
  <c r="K8" i="5"/>
  <c r="K9" i="5"/>
  <c r="K10" i="5"/>
  <c r="K11" i="5"/>
  <c r="K12" i="5"/>
  <c r="K13" i="5"/>
  <c r="K16" i="5"/>
  <c r="K15" i="5"/>
  <c r="K14" i="5"/>
  <c r="K17" i="5"/>
  <c r="J7" i="1"/>
  <c r="J6" i="1"/>
  <c r="J8" i="1" s="1"/>
  <c r="H8" i="1"/>
  <c r="I8" i="1"/>
  <c r="L6" i="2"/>
  <c r="K18" i="5" l="1"/>
  <c r="K7" i="1"/>
  <c r="K6" i="1"/>
  <c r="W30" i="3"/>
  <c r="I30" i="3"/>
  <c r="O30" i="3"/>
  <c r="G30" i="3"/>
  <c r="P30" i="3"/>
  <c r="K30" i="3"/>
  <c r="J30" i="3"/>
  <c r="H30" i="3"/>
  <c r="S30" i="3"/>
  <c r="E30" i="3"/>
  <c r="K8" i="1" l="1"/>
</calcChain>
</file>

<file path=xl/sharedStrings.xml><?xml version="1.0" encoding="utf-8"?>
<sst xmlns="http://schemas.openxmlformats.org/spreadsheetml/2006/main" count="223" uniqueCount="187">
  <si>
    <t>Ejemplo de Monitoreo y Diseñador de Portafolio - InvestorHouse México</t>
  </si>
  <si>
    <t>Aprende a Invertir® www.investorhouse.com.mx</t>
  </si>
  <si>
    <t>Material para uso exclusivo con fines educativos para estudiantes de InvestorHouse México®. No representa asesoría financiera, consejos de inversión ni recomendaciones de compra o promoción de valores.</t>
  </si>
  <si>
    <t>Portafolio Indizado</t>
  </si>
  <si>
    <t>Número de Acciones      (Títulos)</t>
  </si>
  <si>
    <t>Costo Promedio Unitario a la Compra</t>
  </si>
  <si>
    <t>Precio                 Actual</t>
  </si>
  <si>
    <t>Valor a la Compra</t>
  </si>
  <si>
    <t>Valor              Actual</t>
  </si>
  <si>
    <t>Ganancia / Pérdida $</t>
  </si>
  <si>
    <t>Ganancia / Pérdida %</t>
  </si>
  <si>
    <t>Peso %    Actual</t>
  </si>
  <si>
    <t>Peso % Objetivo</t>
  </si>
  <si>
    <t>Valor Total del Portafolio:</t>
  </si>
  <si>
    <t>Portafolio Patrimonial</t>
  </si>
  <si>
    <t>Nombre        (Empresa/Sector)</t>
  </si>
  <si>
    <t>Símbolo        (Ticker)</t>
  </si>
  <si>
    <t>`</t>
  </si>
  <si>
    <t>Alemania</t>
  </si>
  <si>
    <t>UK</t>
  </si>
  <si>
    <t>Francia</t>
  </si>
  <si>
    <t>España</t>
  </si>
  <si>
    <t>Noruega</t>
  </si>
  <si>
    <t>Suecia</t>
  </si>
  <si>
    <t>Suiza</t>
  </si>
  <si>
    <t>USA</t>
  </si>
  <si>
    <t>Mexico</t>
  </si>
  <si>
    <t>Brasil</t>
  </si>
  <si>
    <t>China</t>
  </si>
  <si>
    <t>Australia</t>
  </si>
  <si>
    <t>Singapur</t>
  </si>
  <si>
    <t>India</t>
  </si>
  <si>
    <t>Corea del Sur</t>
  </si>
  <si>
    <t>Japon</t>
  </si>
  <si>
    <t>Quatar</t>
  </si>
  <si>
    <t>Emiratos Arabes</t>
  </si>
  <si>
    <t>Italia</t>
  </si>
  <si>
    <t>Tailandia</t>
  </si>
  <si>
    <t>Holanda</t>
  </si>
  <si>
    <t>Pais/Region</t>
  </si>
  <si>
    <t>Instrumento</t>
  </si>
  <si>
    <t>151NQ</t>
  </si>
  <si>
    <t>151DD</t>
  </si>
  <si>
    <t>Valor Actual</t>
  </si>
  <si>
    <t>Numero</t>
  </si>
  <si>
    <t>Nombre</t>
  </si>
  <si>
    <t>Ticker</t>
  </si>
  <si>
    <t>Titulos</t>
  </si>
  <si>
    <t>Costo Promedio Unitario</t>
  </si>
  <si>
    <t>Valor a Compra</t>
  </si>
  <si>
    <t>Total</t>
  </si>
  <si>
    <t>Precio Actual Mercado</t>
  </si>
  <si>
    <t>Unidades Acumuladas</t>
  </si>
  <si>
    <t>Aportaciones Acumuladas</t>
  </si>
  <si>
    <t>Portafolio</t>
  </si>
  <si>
    <t>Valor por unidad</t>
  </si>
  <si>
    <t>Monto en Moneda</t>
  </si>
  <si>
    <t>151NQO Allianz Nasdaq Inicial</t>
  </si>
  <si>
    <t>151NQC Allianz Nasdaq Comprometido</t>
  </si>
  <si>
    <t>151DDO Dinámico Dólares Inicial</t>
  </si>
  <si>
    <t>151DDC Dinámico Dólares Comprometido</t>
  </si>
  <si>
    <t xml:space="preserve">Fecha </t>
  </si>
  <si>
    <t>Ponderación</t>
  </si>
  <si>
    <t>Último Análisis</t>
  </si>
  <si>
    <t>Notas</t>
  </si>
  <si>
    <t>Fortalezas</t>
  </si>
  <si>
    <t>Debilidades</t>
  </si>
  <si>
    <t>EWG</t>
  </si>
  <si>
    <t>EWU</t>
  </si>
  <si>
    <t>EWS</t>
  </si>
  <si>
    <t>EWQ</t>
  </si>
  <si>
    <t>EWP</t>
  </si>
  <si>
    <t>ENOR</t>
  </si>
  <si>
    <t>EWD</t>
  </si>
  <si>
    <t>EWN</t>
  </si>
  <si>
    <t>EWI</t>
  </si>
  <si>
    <t>EWL</t>
  </si>
  <si>
    <t>EWC</t>
  </si>
  <si>
    <t>SPLG</t>
  </si>
  <si>
    <t>NAFTRAC</t>
  </si>
  <si>
    <t>EWZ</t>
  </si>
  <si>
    <t>MCHI</t>
  </si>
  <si>
    <t>EWA</t>
  </si>
  <si>
    <t>Taiwan</t>
  </si>
  <si>
    <t>THD</t>
  </si>
  <si>
    <t>INDA</t>
  </si>
  <si>
    <t>EWY</t>
  </si>
  <si>
    <t>EWJ</t>
  </si>
  <si>
    <t>QAT</t>
  </si>
  <si>
    <t>UAE</t>
  </si>
  <si>
    <t>Resumen</t>
  </si>
  <si>
    <t>Luxemburgo</t>
  </si>
  <si>
    <t>Irlanda</t>
  </si>
  <si>
    <t>EIRL</t>
  </si>
  <si>
    <t>Canada</t>
  </si>
  <si>
    <t>Inflation rate</t>
  </si>
  <si>
    <t>Debt to GDP</t>
  </si>
  <si>
    <t>Unemployment</t>
  </si>
  <si>
    <t>Economic Freedom</t>
  </si>
  <si>
    <t>GDP (USD billion)</t>
  </si>
  <si>
    <t>Interest Rate</t>
  </si>
  <si>
    <t>Balance Trade (USD Million)</t>
  </si>
  <si>
    <t>Business Confidence</t>
  </si>
  <si>
    <t>Consumer Confidence</t>
  </si>
  <si>
    <t>Foreign Exchange Reserves (USD Million)</t>
  </si>
  <si>
    <t>Currency (to USD)</t>
  </si>
  <si>
    <t>Foreign Direct Investment (USD Million)</t>
  </si>
  <si>
    <t>GDP per capita PPP (USD)</t>
  </si>
  <si>
    <t>Estados Unidos</t>
  </si>
  <si>
    <t>Full Year GDP  Growth</t>
  </si>
  <si>
    <t>Balance Trade %</t>
  </si>
  <si>
    <t>Deficit comercial amplio, Deficit presupuestario dado al alto endeudamiento nacional</t>
  </si>
  <si>
    <t>2da mayor economia, gobierno apoya empresas nacionales para lograr autonomia tecnologica</t>
  </si>
  <si>
    <t>Sector inmobiliario devastado, envejecimiento poblacional, alto endeudamineto de empresas privadas, tensiones politicas con Occidente</t>
  </si>
  <si>
    <t>Crecimiento sosteniado desde la pandemia, se ha despegado de otras potencias mundiales, dolar fortalecido</t>
  </si>
  <si>
    <t>Fuerte base industrial y servicios su principal sector economico</t>
  </si>
  <si>
    <t>Mayor economia europea, posicion geofrafica favorable para trading en la region, gestion fiscal prudente, mano de obra cualificada</t>
  </si>
  <si>
    <t>Envejecimiento poblacional, rezago en tecnologia e industria automotriz respecto a China, desde 2018 su crecimineto economico se ha quedado muy por debajo de la media del G7</t>
  </si>
  <si>
    <t>Al parecer, esta limitado su crecimineto a menos del 1% en los proximos años, Ha perdido relevancia desde los años 90</t>
  </si>
  <si>
    <t>Su economia se basa fuertemente en el sector manufacturero de la electronica, los vehiculos de motor y la robotica, orientada a la exportacion</t>
  </si>
  <si>
    <t>Superavits comerciales y fuerte sector de servicios bancarios y financieros</t>
  </si>
  <si>
    <t>Crecimiento debil del PIB, importante reto demografico de rapido envejecimiento y baja tasa de natalidad, Importa mucha materia prima del exterior</t>
  </si>
  <si>
    <t>Se espera un crecimineto fuerte de este pais, ha duplicado con creces su tamaño en la última década</t>
  </si>
  <si>
    <t>TI especialmente fuerte, la famaceutica en medicamentos genericos, gran parte de la poblacion se dedica al sector agricola, vasto mercado interior y estabilidad politica</t>
  </si>
  <si>
    <t>Alta desigualdad socioeqonomica, deficiencia en infraestructura sobre todo en zonas rurales, trabas burocraticas</t>
  </si>
  <si>
    <t>Se. mantendrá en rapido crecimiento en los proximos años, aunqeu significativamente inferiorres al ritmo que crecia Chinacuando tenia un PIB per capita similar</t>
  </si>
  <si>
    <t>Proximos años con crecimiento económico alrededor del 0.5% menos que en la decada anterior a la pandemia, osea desacelaracion en su crecimiento dado el golpe duradero que representa el Brexit</t>
  </si>
  <si>
    <t>Economia orientada a servicios, seguros, finanzas y sector inmobiliario, City de Londres es un conglomerado empresarial muy influyente</t>
  </si>
  <si>
    <t>Mercado flexible, industria creativa, enseñanza superior y sistema educativo eficaz son puntos fuertes</t>
  </si>
  <si>
    <t>Retos en comercio y movilidad laboral dado el Brexit, exportaciones e inversion obstaculizadas. Crecientes demandas de gasto publico en un entorno de bajo crecimiento de PIB</t>
  </si>
  <si>
    <t>La ruputra en las cadenas de suministros desde China, ha sido un factor que ha perjudicado a la propia China y ha fortalecido la industria estadounidense, con miras en realocar sus cadenas de valor (nearshoring) en el mismo pais y en otros mas cercanos.</t>
  </si>
  <si>
    <t>Crecimiento superior a Alemania e Italia, acercandose a la media de la Union Europea</t>
  </si>
  <si>
    <t>Inestabilidad politica interna, deficit fiscal importante del estado, protestas publicas</t>
  </si>
  <si>
    <t>Economia diversificada, principales marcas de consumo discrecional , sector aeroespacial con Airbus, sectro agricola mas fuerte de la UE: lacteos, cereales y vino. Paris nuevo centro financiero de la UE desde el brexit</t>
  </si>
  <si>
    <t>Norte muy industrializado (Milan), Sur subdesarrollado</t>
  </si>
  <si>
    <t>Economia fuerte en servicios y en fabricacion de arituclos de lujo, maquinari y motor de lujo (Ferrari, Fiat) , 3er productor agricola de la UE</t>
  </si>
  <si>
    <t>Mucha deuda, Inestaiblidad politica que lleva mucho tiempo, esta recibiendo apoyo de los fondos de recuperacion de la UE</t>
  </si>
  <si>
    <t>Inestabilidad politica en ultimas decadas y sobreendeudamiento hacen preveer un crecimiento por debajo del 1% dentro de los siguientes años, futuro menguado</t>
  </si>
  <si>
    <t>Indonesia</t>
  </si>
  <si>
    <t>EIDO</t>
  </si>
  <si>
    <t>Exports (USD Million)</t>
  </si>
  <si>
    <t>Imports (USD Million)</t>
  </si>
  <si>
    <t>Fondo Inicial</t>
  </si>
  <si>
    <t>Cargo Adm. 0.9%</t>
  </si>
  <si>
    <t>Cargo Gest 0.01%</t>
  </si>
  <si>
    <t xml:space="preserve">Aportacion Actual </t>
  </si>
  <si>
    <t>Aportacion Ajustada</t>
  </si>
  <si>
    <t>Allianz</t>
  </si>
  <si>
    <t>Budget</t>
  </si>
  <si>
    <t>Infonavit</t>
  </si>
  <si>
    <t>Inversion</t>
  </si>
  <si>
    <t>Bono Fidelidad</t>
  </si>
  <si>
    <t>Valor Portafolio</t>
  </si>
  <si>
    <t>Saldo Del fondo (Portafolio + Bono)</t>
  </si>
  <si>
    <t>Averages</t>
  </si>
  <si>
    <t>Crecimineto sostenido del GDP promedio 5%, potencial de crecimineto si resuleve sus temas gubernamentales y carencias de economia emergente, tiene un buen balance trade arriba del promedio, deuda debajo del promedio, tiene mucha poblacion para mano de obra</t>
  </si>
  <si>
    <t>Corrupcion, pobreza, poco acceso a la educacion, infraestructura ineficiente. Tambien exposicion a clima extremo como huracanes, tormentas tropicales y tsunamis, trae un desempleo importante de 4.9%, la mano de obra no es cualificada</t>
  </si>
  <si>
    <t>Su eonomia se basa en sus ricos recursos naturales, aunque el gobierno ha querido dejar de depender de esto y ahora insentiva inversion en infraestructura para procesos manufactoureros para mover la cadena de valor, expecteatiba de crecimiento notable arriba del promeido Asia-ex Japon hacia 2028. Su turismo se esta incrementando. SE PUEDE CONSIDERAR UNA PEQUEÑA PORCION DEL PORTFOLIO POR SU CRECIMIENTO SOSTENIDO Y POTENCIAL FUTURO</t>
  </si>
  <si>
    <t xml:space="preserve">Economia Emergente, trae una tasa de interes relativamente alta respecto a su inflacion, esta por debajo del promedio de econmomic freedom, deuda debajo del promedio, su corrupcion promedio </t>
  </si>
  <si>
    <t>Trae un crecimiento de pib decreciente desde pandemia, no termina de repuntar, sigue estando propenso a inflacion moderada alta, tasa de interes alta para los empresarios, subempleo, infraestructura tambaleante, violencia relacionada a las drogas, alta corrupcion</t>
  </si>
  <si>
    <t xml:space="preserve">Desempleo bajo historicamente, cercania con Estados Unidos, gran polacion empleable, la segunda economia en latinoamerica, cuarta en el continente,  </t>
  </si>
  <si>
    <t>Su inversion extranjera directa se ve mermada comparada con otros paises, en 2023 se convirtió en el mayor partner de USA, su Economic Feedom Index esta por debajo del promedio</t>
  </si>
  <si>
    <t>Rico en recursos naturales como petroleo, forestacion y mnieria. Fuerte presencia de servicios financieros y tecnologicos, Gobernanza limpia, arriba del promedio de Economic Freedom</t>
  </si>
  <si>
    <t>Tuvo que recortar las cuotas de migracion debido al alza de desempleo y altos costos de vivienda que se vienen generando, muy fuerte dependencia a Estados Unidos (con Donald Trump y sus aranceles , esto es especialmente riesgoso) y la fluctuacion de precios internacionales de materias primas, trae un endeudamiento fuerte</t>
  </si>
  <si>
    <t>Hub manufacturero, economia emergente, no se espera un crecimineto en los siguientes años, simplemente seguir con un crecimiento promedio latinoamericano, debido a multiples retos, muy alta corrupcion respecto a otros paises con 26/100 y alta delincuencia, economicos. SU CRECIMIENTO SE PRONOSTICA ESTABLE PERO BAJO, Y MIENTRAS NO HAYA CAMBIO DE GOBIERNO, DIFICILMENTE LAS COSAS VAN A CAMBIAR.</t>
  </si>
  <si>
    <t>PIB dominado por servicios, fuerte crecimiento en los ultimos años dada la alta demanda de Estados Unidos, su principal socio comercial, y al aumento poblacional de 10% en los ultimos 5 años. Mantiene la segunda reserva de petroleo mas grande del mundo, y conserva gran industria minera, GPD ppp muy superior al promedio alto estandar de vida</t>
  </si>
  <si>
    <t>Crecimiento promedio de 1.9% annual en la ultima decada, economia desarrolladase espera un crecimiento un poco arriba del G7 promedio , trae un desempleo ligeramente arriba del historico , 75/100 de corrupcion, ha tenido mejores años, pero mejor que muchos paises emergentes</t>
  </si>
  <si>
    <t>Su crecimiento se ve volatil en los ultimos años, muy atractivo algunos años arriba del 10% otros pesimo incluso negativo pero 9.1% muy arriba del promedio de euro zona de 1.4%. Desempleo promedio, 77/100 de corrupcion , nivel sano</t>
  </si>
  <si>
    <t>Muchas firmas internacionales</t>
  </si>
  <si>
    <t>Poco que exportar de commodities, politica basada en atraccion de firmas extranjeras</t>
  </si>
  <si>
    <t>Euro Zona</t>
  </si>
  <si>
    <t>VGK</t>
  </si>
  <si>
    <t>Buena libertad economica, altos estandares de vida, abundantes recursos naturales</t>
  </si>
  <si>
    <t>Sobre dependencia de China</t>
  </si>
  <si>
    <t>Allianz Nasdaq</t>
  </si>
  <si>
    <t>Allianz Dinamico Dolares</t>
  </si>
  <si>
    <t>Number</t>
  </si>
  <si>
    <t>Name</t>
  </si>
  <si>
    <t>Shares</t>
  </si>
  <si>
    <t>Balance</t>
  </si>
  <si>
    <t>Balance %</t>
  </si>
  <si>
    <t>Current Weight %</t>
  </si>
  <si>
    <t>Target Weight %</t>
  </si>
  <si>
    <t>Average Unit Cost</t>
  </si>
  <si>
    <t>Current Unit Cost</t>
  </si>
  <si>
    <t>Purchased Value</t>
  </si>
  <si>
    <t>Market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</si>
</sst>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164" formatCode="&quot;$&quot;#,##0.00"/>
    <numFmt numFmtId="165" formatCode="dd/mm/yyyy"/>
    <numFmt numFmtId="166" formatCode="0.0000"/>
    <numFmt numFmtId="167" formatCode="_(&quot;$&quot;* #,##0.0000_);_(&quot;$&quot;* \(#,##0.0000\);_(&quot;$&quot;* &quot;-&quot;??_);_(@_)"/>
    <numFmt numFmtId="168" formatCode="0.0%"/>
    <numFmt numFmtId="169" formatCode="_(&quot;$&quot;* #,##0_);_(&quot;$&quot;* \(#,##0\);_(&quot;$&quot;* &quot;-&quot;??_);_(@_)"/>
    <numFmt numFmtId="170" formatCode="0.0"/>
    <numFmt numFmtId="171" formatCode="0.000"/>
    <numFmt numFmtId="172" formatCode="0.00000"/>
    <numFmt numFmtId="173" formatCode="0.0000000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8"/>
      <color rgb="FF99999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8D8D8"/>
        <bgColor rgb="FFD8D8D8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EF1CC"/>
        <bgColor rgb="FFFEF1CC"/>
      </patternFill>
    </fill>
    <fill>
      <patternFill patternType="solid">
        <fgColor rgb="FFF4CCCC"/>
        <bgColor rgb="FFF4CCCC"/>
      </patternFill>
    </fill>
    <fill>
      <patternFill patternType="solid">
        <fgColor rgb="FF004080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41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164" fontId="1" fillId="7" borderId="6" xfId="0" applyNumberFormat="1" applyFont="1" applyFill="1" applyBorder="1" applyAlignment="1">
      <alignment horizontal="center" vertical="center" wrapText="1"/>
    </xf>
    <xf numFmtId="10" fontId="6" fillId="7" borderId="3" xfId="0" applyNumberFormat="1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164" fontId="1" fillId="9" borderId="6" xfId="0" applyNumberFormat="1" applyFont="1" applyFill="1" applyBorder="1" applyAlignment="1">
      <alignment horizontal="center" vertical="center" wrapText="1"/>
    </xf>
    <xf numFmtId="164" fontId="7" fillId="0" borderId="6" xfId="0" applyNumberFormat="1" applyFont="1" applyBorder="1" applyAlignment="1">
      <alignment horizontal="center" vertical="center" wrapText="1"/>
    </xf>
    <xf numFmtId="10" fontId="7" fillId="0" borderId="6" xfId="0" applyNumberFormat="1" applyFont="1" applyBorder="1" applyAlignment="1">
      <alignment horizontal="center" vertical="center" wrapText="1"/>
    </xf>
    <xf numFmtId="10" fontId="7" fillId="2" borderId="6" xfId="0" applyNumberFormat="1" applyFont="1" applyFill="1" applyBorder="1" applyAlignment="1">
      <alignment horizontal="center" vertical="center" wrapText="1"/>
    </xf>
    <xf numFmtId="10" fontId="7" fillId="6" borderId="6" xfId="0" applyNumberFormat="1" applyFont="1" applyFill="1" applyBorder="1" applyAlignment="1">
      <alignment horizontal="center" vertical="center" wrapText="1"/>
    </xf>
    <xf numFmtId="10" fontId="7" fillId="0" borderId="0" xfId="0" applyNumberFormat="1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7" fillId="10" borderId="9" xfId="0" applyNumberFormat="1" applyFont="1" applyFill="1" applyBorder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8" fillId="0" borderId="0" xfId="0" applyFont="1"/>
    <xf numFmtId="0" fontId="1" fillId="8" borderId="3" xfId="0" applyFont="1" applyFill="1" applyBorder="1" applyAlignment="1">
      <alignment horizontal="center" vertical="center" wrapText="1"/>
    </xf>
    <xf numFmtId="10" fontId="7" fillId="6" borderId="1" xfId="0" applyNumberFormat="1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10" fontId="6" fillId="7" borderId="4" xfId="0" applyNumberFormat="1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164" fontId="1" fillId="9" borderId="12" xfId="0" applyNumberFormat="1" applyFont="1" applyFill="1" applyBorder="1" applyAlignment="1">
      <alignment horizontal="center" vertical="center" wrapText="1"/>
    </xf>
    <xf numFmtId="164" fontId="7" fillId="0" borderId="12" xfId="0" applyNumberFormat="1" applyFont="1" applyBorder="1" applyAlignment="1">
      <alignment horizontal="center" vertical="center" wrapText="1"/>
    </xf>
    <xf numFmtId="10" fontId="7" fillId="0" borderId="12" xfId="0" applyNumberFormat="1" applyFont="1" applyBorder="1" applyAlignment="1">
      <alignment horizontal="center" vertical="center" wrapText="1"/>
    </xf>
    <xf numFmtId="10" fontId="7" fillId="2" borderId="12" xfId="0" applyNumberFormat="1" applyFont="1" applyFill="1" applyBorder="1" applyAlignment="1">
      <alignment horizontal="center" vertical="center" wrapText="1"/>
    </xf>
    <xf numFmtId="10" fontId="7" fillId="6" borderId="13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0" fontId="8" fillId="0" borderId="0" xfId="0" applyFont="1" applyAlignment="1">
      <alignment horizontal="center" wrapText="1"/>
    </xf>
    <xf numFmtId="0" fontId="9" fillId="12" borderId="0" xfId="0" applyFont="1" applyFill="1" applyAlignment="1">
      <alignment horizontal="left" vertical="center" wrapText="1"/>
    </xf>
    <xf numFmtId="44" fontId="0" fillId="0" borderId="0" xfId="1" applyFont="1"/>
    <xf numFmtId="166" fontId="0" fillId="0" borderId="0" xfId="0" applyNumberFormat="1"/>
    <xf numFmtId="165" fontId="8" fillId="0" borderId="0" xfId="0" applyNumberFormat="1" applyFont="1" applyAlignment="1">
      <alignment horizontal="right" vertical="center" wrapText="1"/>
    </xf>
    <xf numFmtId="167" fontId="0" fillId="0" borderId="0" xfId="1" applyNumberFormat="1" applyFont="1"/>
    <xf numFmtId="9" fontId="0" fillId="0" borderId="0" xfId="2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/>
    </xf>
    <xf numFmtId="10" fontId="0" fillId="0" borderId="0" xfId="2" applyNumberFormat="1" applyFont="1"/>
    <xf numFmtId="168" fontId="8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left" vertical="top"/>
    </xf>
    <xf numFmtId="10" fontId="8" fillId="0" borderId="0" xfId="2" applyNumberFormat="1" applyFont="1" applyAlignment="1">
      <alignment horizontal="center" vertical="center"/>
    </xf>
    <xf numFmtId="10" fontId="8" fillId="0" borderId="0" xfId="2" applyNumberFormat="1" applyFont="1" applyAlignment="1">
      <alignment horizontal="left" vertical="top"/>
    </xf>
    <xf numFmtId="44" fontId="0" fillId="0" borderId="0" xfId="1" applyFont="1" applyAlignment="1">
      <alignment horizontal="left" vertical="top"/>
    </xf>
    <xf numFmtId="169" fontId="0" fillId="0" borderId="0" xfId="1" applyNumberFormat="1" applyFont="1" applyAlignment="1">
      <alignment horizontal="left" vertical="top"/>
    </xf>
    <xf numFmtId="169" fontId="8" fillId="0" borderId="0" xfId="1" applyNumberFormat="1" applyFont="1" applyAlignment="1">
      <alignment horizontal="center" vertical="center"/>
    </xf>
    <xf numFmtId="169" fontId="0" fillId="0" borderId="0" xfId="1" applyNumberFormat="1" applyFont="1"/>
    <xf numFmtId="169" fontId="8" fillId="0" borderId="0" xfId="1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0" fontId="8" fillId="0" borderId="0" xfId="2" applyNumberFormat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0" borderId="0" xfId="1" applyFont="1" applyAlignment="1">
      <alignment horizontal="center" vertical="center" wrapText="1"/>
    </xf>
    <xf numFmtId="169" fontId="0" fillId="0" borderId="0" xfId="1" applyNumberFormat="1" applyFont="1" applyAlignment="1">
      <alignment horizontal="center" vertical="center"/>
    </xf>
    <xf numFmtId="169" fontId="4" fillId="0" borderId="0" xfId="1" applyNumberFormat="1" applyFont="1" applyAlignment="1">
      <alignment horizontal="center" vertical="center" wrapText="1"/>
    </xf>
    <xf numFmtId="13" fontId="0" fillId="0" borderId="0" xfId="2" applyNumberFormat="1" applyFont="1"/>
    <xf numFmtId="170" fontId="0" fillId="0" borderId="0" xfId="2" applyNumberFormat="1" applyFont="1" applyAlignment="1">
      <alignment horizontal="left" vertical="top"/>
    </xf>
    <xf numFmtId="170" fontId="8" fillId="0" borderId="0" xfId="2" applyNumberFormat="1" applyFont="1" applyAlignment="1">
      <alignment horizontal="center" vertical="center" wrapText="1"/>
    </xf>
    <xf numFmtId="170" fontId="0" fillId="0" borderId="0" xfId="2" applyNumberFormat="1" applyFont="1"/>
    <xf numFmtId="173" fontId="0" fillId="0" borderId="0" xfId="2" applyNumberFormat="1" applyFont="1"/>
    <xf numFmtId="172" fontId="4" fillId="0" borderId="0" xfId="0" applyNumberFormat="1" applyFont="1" applyAlignment="1">
      <alignment horizontal="center" vertical="center" wrapText="1"/>
    </xf>
    <xf numFmtId="171" fontId="4" fillId="0" borderId="0" xfId="0" applyNumberFormat="1" applyFont="1" applyAlignment="1">
      <alignment horizontal="center" vertical="center" wrapText="1"/>
    </xf>
    <xf numFmtId="171" fontId="0" fillId="0" borderId="0" xfId="0" applyNumberFormat="1" applyAlignment="1">
      <alignment horizontal="center" vertical="center"/>
    </xf>
    <xf numFmtId="171" fontId="8" fillId="0" borderId="0" xfId="0" applyNumberFormat="1" applyFont="1" applyAlignment="1">
      <alignment horizontal="center" vertical="center" wrapText="1"/>
    </xf>
    <xf numFmtId="171" fontId="0" fillId="0" borderId="0" xfId="0" applyNumberFormat="1"/>
    <xf numFmtId="44" fontId="8" fillId="0" borderId="0" xfId="1" applyFont="1" applyAlignment="1">
      <alignment horizontal="left" vertical="top"/>
    </xf>
    <xf numFmtId="4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0" fontId="8" fillId="0" borderId="0" xfId="0" applyNumberFormat="1" applyFont="1" applyAlignment="1">
      <alignment horizontal="center"/>
    </xf>
    <xf numFmtId="169" fontId="8" fillId="0" borderId="0" xfId="0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168" fontId="0" fillId="0" borderId="0" xfId="2" applyNumberFormat="1" applyFont="1" applyAlignment="1">
      <alignment horizontal="center" vertical="center"/>
    </xf>
    <xf numFmtId="169" fontId="0" fillId="0" borderId="0" xfId="1" applyNumberFormat="1" applyFont="1" applyAlignment="1">
      <alignment vertical="center"/>
    </xf>
    <xf numFmtId="170" fontId="0" fillId="0" borderId="0" xfId="2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9" fontId="0" fillId="0" borderId="0" xfId="2" applyFont="1" applyAlignment="1">
      <alignment horizontal="center" vertical="center"/>
    </xf>
    <xf numFmtId="169" fontId="8" fillId="0" borderId="0" xfId="1" applyNumberFormat="1" applyFont="1"/>
    <xf numFmtId="44" fontId="0" fillId="0" borderId="0" xfId="0" applyNumberFormat="1"/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10" fontId="11" fillId="0" borderId="15" xfId="0" applyNumberFormat="1" applyFont="1" applyBorder="1" applyAlignment="1">
      <alignment horizontal="center"/>
    </xf>
    <xf numFmtId="44" fontId="11" fillId="0" borderId="15" xfId="0" applyNumberFormat="1" applyFont="1" applyBorder="1" applyAlignment="1">
      <alignment horizontal="center"/>
    </xf>
    <xf numFmtId="168" fontId="11" fillId="0" borderId="15" xfId="0" applyNumberFormat="1" applyFont="1" applyBorder="1" applyAlignment="1">
      <alignment horizontal="center"/>
    </xf>
    <xf numFmtId="169" fontId="11" fillId="0" borderId="15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5" xfId="0" applyFont="1" applyBorder="1" applyAlignment="1">
      <alignment wrapText="1"/>
    </xf>
    <xf numFmtId="0" fontId="11" fillId="0" borderId="15" xfId="0" applyFont="1" applyBorder="1" applyAlignment="1">
      <alignment horizontal="left" vertical="top" wrapText="1"/>
    </xf>
    <xf numFmtId="0" fontId="11" fillId="0" borderId="16" xfId="0" applyFont="1" applyBorder="1" applyAlignment="1">
      <alignment horizontal="left" vertical="top" wrapText="1"/>
    </xf>
    <xf numFmtId="169" fontId="4" fillId="0" borderId="0" xfId="0" applyNumberFormat="1" applyFont="1" applyAlignment="1">
      <alignment horizontal="center" vertical="center" wrapText="1"/>
    </xf>
    <xf numFmtId="169" fontId="11" fillId="0" borderId="15" xfId="0" applyNumberFormat="1" applyFont="1" applyBorder="1" applyAlignment="1">
      <alignment horizontal="center" vertical="center" wrapText="1"/>
    </xf>
    <xf numFmtId="9" fontId="8" fillId="0" borderId="0" xfId="0" applyNumberFormat="1" applyFont="1" applyAlignment="1">
      <alignment horizontal="center"/>
    </xf>
    <xf numFmtId="9" fontId="11" fillId="0" borderId="15" xfId="0" applyNumberFormat="1" applyFont="1" applyBorder="1" applyAlignment="1">
      <alignment horizontal="center"/>
    </xf>
    <xf numFmtId="169" fontId="4" fillId="0" borderId="0" xfId="1" applyNumberFormat="1" applyFont="1" applyFill="1" applyAlignment="1">
      <alignment horizontal="center" vertical="center" wrapText="1"/>
    </xf>
    <xf numFmtId="10" fontId="0" fillId="0" borderId="0" xfId="2" applyNumberFormat="1" applyFont="1" applyFill="1" applyAlignment="1">
      <alignment horizontal="center" vertical="center"/>
    </xf>
    <xf numFmtId="44" fontId="8" fillId="0" borderId="0" xfId="1" applyFont="1" applyFill="1" applyAlignment="1">
      <alignment horizontal="center" vertical="center"/>
    </xf>
    <xf numFmtId="168" fontId="0" fillId="0" borderId="0" xfId="2" applyNumberFormat="1" applyFont="1" applyFill="1" applyAlignment="1">
      <alignment horizontal="center" vertical="center"/>
    </xf>
    <xf numFmtId="10" fontId="8" fillId="0" borderId="0" xfId="2" applyNumberFormat="1" applyFont="1" applyFill="1" applyAlignment="1">
      <alignment horizontal="center" vertical="center"/>
    </xf>
    <xf numFmtId="169" fontId="8" fillId="0" borderId="0" xfId="1" applyNumberFormat="1" applyFont="1" applyFill="1" applyAlignment="1">
      <alignment horizontal="center" vertical="center"/>
    </xf>
    <xf numFmtId="9" fontId="8" fillId="0" borderId="0" xfId="2" applyFont="1" applyFill="1" applyAlignment="1">
      <alignment horizontal="center" vertical="center"/>
    </xf>
    <xf numFmtId="170" fontId="8" fillId="0" borderId="0" xfId="2" applyNumberFormat="1" applyFont="1" applyFill="1" applyAlignment="1">
      <alignment horizontal="center" vertical="center"/>
    </xf>
    <xf numFmtId="44" fontId="0" fillId="0" borderId="0" xfId="1" applyFont="1" applyFill="1" applyAlignment="1">
      <alignment horizontal="center" vertical="center"/>
    </xf>
    <xf numFmtId="169" fontId="0" fillId="0" borderId="0" xfId="1" applyNumberFormat="1" applyFont="1" applyFill="1" applyAlignment="1">
      <alignment horizontal="center" vertical="center"/>
    </xf>
    <xf numFmtId="9" fontId="0" fillId="0" borderId="0" xfId="2" applyFont="1" applyFill="1" applyAlignment="1">
      <alignment horizontal="center" vertical="center"/>
    </xf>
    <xf numFmtId="170" fontId="0" fillId="0" borderId="0" xfId="2" applyNumberFormat="1" applyFont="1" applyFill="1" applyAlignment="1">
      <alignment horizontal="center" vertical="center"/>
    </xf>
    <xf numFmtId="0" fontId="0" fillId="13" borderId="0" xfId="0" applyFill="1"/>
    <xf numFmtId="0" fontId="12" fillId="0" borderId="0" xfId="0" applyFont="1" applyAlignment="1">
      <alignment horizontal="center" vertical="center" wrapText="1"/>
    </xf>
    <xf numFmtId="0" fontId="13" fillId="0" borderId="0" xfId="0" applyFont="1"/>
    <xf numFmtId="10" fontId="1" fillId="7" borderId="4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5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1" fillId="6" borderId="1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1" fillId="11" borderId="1" xfId="0" applyFont="1" applyFill="1" applyBorder="1" applyAlignment="1">
      <alignment horizontal="center" vertical="center" wrapText="1"/>
    </xf>
  </cellXfs>
  <cellStyles count="3">
    <cellStyle name="Moneda" xfId="1" builtinId="4"/>
    <cellStyle name="Normal" xfId="0" builtinId="0"/>
    <cellStyle name="Porcentaje" xfId="2" builtinId="5"/>
  </cellStyles>
  <dxfs count="104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70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70" formatCode="0.0"/>
      <alignment horizontal="center" vertical="center" textRotation="0" wrapText="0" indent="0" justifyLastLine="0" shrinkToFit="0" readingOrder="0"/>
    </dxf>
    <dxf>
      <numFmt numFmtId="168" formatCode="0.0%"/>
      <alignment horizontal="center" vertical="bottom" textRotation="0" wrapText="0" indent="0" justifyLastLine="0" shrinkToFit="0" readingOrder="0"/>
    </dxf>
    <dxf>
      <numFmt numFmtId="168" formatCode="0.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9" formatCode="_(&quot;$&quot;* #,##0_);_(&quot;$&quot;* \(#,##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68" formatCode="0.0%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69" formatCode="_(&quot;$&quot;* #,##0_);_(&quot;$&quot;* \(#,##0\);_(&quot;$&quot;* &quot;-&quot;??_);_(@_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71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/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D9EAD3"/>
          <bgColor rgb="FFD9EAD3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fill>
        <patternFill patternType="solid">
          <fgColor rgb="FFFFFFFF"/>
          <bgColor rgb="FFFFFFFF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4" formatCode="0.00%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$&quot;#,##0.00"/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CE5CD"/>
          <bgColor rgb="FFFCE5CD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FFF2CC"/>
          <bgColor rgb="FFFFF2CC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</dxfs>
  <tableStyles count="0" defaultTableStyle="TableStyleMedium2" defaultPivotStyle="PivotStyleLight16"/>
  <colors>
    <mruColors>
      <color rgb="FF004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7DC9744D-C6B1-0B4C-AFDA-03E3ED37DB5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1375" y="12700"/>
          <a:ext cx="2000250" cy="4857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104775</xdr:colOff>
      <xdr:row>1</xdr:row>
      <xdr:rowOff>0</xdr:rowOff>
    </xdr:from>
    <xdr:ext cx="2000250" cy="4857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E7D05C-1BEA-AD47-92E6-C3CB2B09A194}" name="PortafolioPPR" displayName="PortafolioPPR" ref="A5:L8" totalsRowCount="1" dataDxfId="102" headerRowBorderDxfId="103" tableBorderDxfId="101" totalsRowBorderDxfId="100">
  <autoFilter ref="A5:L7" xr:uid="{B2E7D05C-1BEA-AD47-92E6-C3CB2B09A194}"/>
  <tableColumns count="12">
    <tableColumn id="1" xr3:uid="{99DAF86F-C0B2-F643-BB81-F37D6D1A1F3A}" name="Number" totalsRowLabel="Total" dataDxfId="99" totalsRowDxfId="98"/>
    <tableColumn id="2" xr3:uid="{17B66D0B-5207-2442-A00C-88E6E2BF7FB9}" name="Name" dataDxfId="97" totalsRowDxfId="96"/>
    <tableColumn id="3" xr3:uid="{18487A8A-6987-A140-B232-8DA643C88388}" name="Ticker" dataDxfId="95" totalsRowDxfId="94"/>
    <tableColumn id="4" xr3:uid="{C07234CC-369B-A84C-B926-494D7F3A1500}" name="Shares" dataDxfId="93" totalsRowDxfId="92"/>
    <tableColumn id="5" xr3:uid="{C2DEBF3E-5FD1-074F-BC1D-E38A6F812833}" name="Average Unit Cost" dataDxfId="91" totalsRowDxfId="90"/>
    <tableColumn id="6" xr3:uid="{90B66C6B-6407-F246-B90D-371FDC2687D5}" name="Current Unit Cost" dataDxfId="89" totalsRowDxfId="88"/>
    <tableColumn id="7" xr3:uid="{EDC496C8-679D-E84E-971B-07C9627E4D21}" name="Purchased Value" totalsRowFunction="sum" dataDxfId="87" totalsRowDxfId="86">
      <calculatedColumnFormula>IF(F6="","",D6*E6)</calculatedColumnFormula>
    </tableColumn>
    <tableColumn id="8" xr3:uid="{49E4EDC3-92B8-484D-899D-3A7EE78101C7}" name="Market Value" totalsRowFunction="sum" dataDxfId="85" totalsRowDxfId="84">
      <calculatedColumnFormula>PortafolioPPR[[#This Row],[Shares]] * PortafolioPPR[[#This Row],[Current Unit Cost]]</calculatedColumnFormula>
    </tableColumn>
    <tableColumn id="9" xr3:uid="{ED672FAF-FB04-6447-9237-AD5941085916}" name="Balance" totalsRowFunction="sum" dataDxfId="83" totalsRowDxfId="82">
      <calculatedColumnFormula>IFERROR(PortafolioPPR[[#This Row],[Market Value]] - PortafolioPPR[[#This Row],[Purchased Value]], 0)</calculatedColumnFormula>
    </tableColumn>
    <tableColumn id="10" xr3:uid="{8165854C-9CCA-BA41-A40E-4E7596341DB4}" name="Balance %" totalsRowFunction="average" dataDxfId="81" totalsRowDxfId="80">
      <calculatedColumnFormula>IFERROR(PortafolioPPR[[#This Row],[Market Value]] / PortafolioPPR[[#This Row],[Purchased Value]] - 1, 0)</calculatedColumnFormula>
    </tableColumn>
    <tableColumn id="11" xr3:uid="{3914D248-815D-0B4A-BD64-B2EF4EA3B2F2}" name="Current Weight %" totalsRowFunction="sum" dataDxfId="79" totalsRowDxfId="78">
      <calculatedColumnFormula>IFERROR(PortafolioPPR[[#This Row],[Market Value]] / PortafolioPPR[[#Totals],[Market Value]], "")</calculatedColumnFormula>
    </tableColumn>
    <tableColumn id="12" xr3:uid="{C10D9C99-F7CF-E546-A3AC-2ADB182840DD}" name="Target Weight %" totalsRowFunction="sum" dataDxfId="77" totalsRowDxfId="7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D12D3B-A8AF-8546-B2E3-8A13CE840178}" name="PortafolioIndizado" displayName="PortafolioIndizado" ref="A5:L18" totalsRowCount="1" dataDxfId="74" headerRowBorderDxfId="75" tableBorderDxfId="73" totalsRowBorderDxfId="72">
  <autoFilter ref="A5:L17" xr:uid="{B2E7D05C-1BEA-AD47-92E6-C3CB2B09A194}"/>
  <tableColumns count="12">
    <tableColumn id="1" xr3:uid="{C8814CEB-E8F7-8D41-A31B-1BD2ACD64E50}" name="Numero" totalsRowLabel="Total" dataDxfId="71" totalsRowDxfId="70"/>
    <tableColumn id="2" xr3:uid="{8A548F2D-B426-FF41-B7E0-DACBC870F5AF}" name="Nombre" dataDxfId="69" totalsRowDxfId="68"/>
    <tableColumn id="3" xr3:uid="{1D152614-BF6B-B348-8EB1-A629331F7174}" name="Ticker" dataDxfId="67" totalsRowDxfId="66"/>
    <tableColumn id="4" xr3:uid="{B4514CB4-1F57-7E48-9ECA-00A1D59DA77D}" name="Titulos" dataDxfId="65" totalsRowDxfId="64"/>
    <tableColumn id="5" xr3:uid="{5CAFE9C1-EC03-EF41-84CF-7A1483B7FC7B}" name="Costo Promedio Unitario" dataDxfId="63" totalsRowDxfId="62"/>
    <tableColumn id="6" xr3:uid="{AFEC35C0-656A-A142-90AA-D56911A0FCDB}" name="Precio Actual Mercado" dataDxfId="61" totalsRowDxfId="60"/>
    <tableColumn id="7" xr3:uid="{6DF47CB1-8739-9741-9F2B-0D4DE4421709}" name="Valor a Compra" totalsRowFunction="sum" dataDxfId="59" totalsRowDxfId="58">
      <calculatedColumnFormula>IF(F6="","",D6*E6)</calculatedColumnFormula>
    </tableColumn>
    <tableColumn id="8" xr3:uid="{95763DD0-3A2D-EC41-B582-A0E84F6F2332}" name="Valor Actual" totalsRowFunction="sum" dataDxfId="57" totalsRowDxfId="56">
      <calculatedColumnFormula>PortafolioIndizado[[#This Row],[Titulos]] * PortafolioIndizado[[#This Row],[Precio Actual Mercado]]</calculatedColumnFormula>
    </tableColumn>
    <tableColumn id="9" xr3:uid="{2E419918-A923-5544-BD89-029B3EE46672}" name="Ganancia / Pérdida $" totalsRowFunction="sum" dataDxfId="55" totalsRowDxfId="54">
      <calculatedColumnFormula>IFERROR(PortafolioIndizado[[#This Row],[Valor Actual]] - PortafolioIndizado[[#This Row],[Valor a Compra]], 0)</calculatedColumnFormula>
    </tableColumn>
    <tableColumn id="10" xr3:uid="{F409479A-F869-1F40-A6F4-F5C82C49A70B}" name="Ganancia / Pérdida %" totalsRowFunction="average" dataDxfId="53" totalsRowDxfId="52">
      <calculatedColumnFormula>IFERROR(PortafolioIndizado[[#This Row],[Valor Actual]] / PortafolioIndizado[[#This Row],[Valor a Compra]] - 1, 0)</calculatedColumnFormula>
    </tableColumn>
    <tableColumn id="11" xr3:uid="{A5067A91-D2CD-754E-8C53-1D48AC940F6F}" name="Peso %    Actual" totalsRowFunction="sum" dataDxfId="51" totalsRowDxfId="50">
      <calculatedColumnFormula>IFERROR(PortafolioIndizado[[#This Row],[Valor Actual]] / PortafolioIndizado[[#Totals],[Valor Actual]], "")</calculatedColumnFormula>
    </tableColumn>
    <tableColumn id="12" xr3:uid="{C39CA399-11BC-2941-8D40-27C203C6B766}" name="Peso % Objetivo" totalsRowFunction="sum" dataDxfId="49" totalsRow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1888E-CC61-F646-8044-B791D97D4489}" name="Table2" displayName="Table2" ref="A3:W30" totalsRowCount="1" headerRowDxfId="47" totalsRowDxfId="46">
  <autoFilter ref="A3:W29" xr:uid="{BD21888E-CC61-F646-8044-B791D97D4489}"/>
  <sortState xmlns:xlrd2="http://schemas.microsoft.com/office/spreadsheetml/2017/richdata2" ref="A4:W29">
    <sortCondition descending="1" ref="S3:S29"/>
  </sortState>
  <tableColumns count="23">
    <tableColumn id="1" xr3:uid="{739ADA7C-3F6F-2841-8A11-F9A07B970711}" name="Pais/Region" totalsRowLabel="Averages" dataDxfId="45" totalsRowDxfId="44"/>
    <tableColumn id="12" xr3:uid="{2CA46C66-DB6F-C347-81A5-19A179DA5045}" name="Instrumento" dataDxfId="43" totalsRowDxfId="42"/>
    <tableColumn id="25" xr3:uid="{13A658C2-8560-0D44-9968-C5967AE34276}" name="Currency (to USD)" dataDxfId="41" totalsRowDxfId="40"/>
    <tableColumn id="15" xr3:uid="{EAA46AA9-AB63-574B-890E-FBEE90ED6E6A}" name="GDP (USD billion)" totalsRowFunction="average" dataDxfId="39" totalsRowDxfId="38"/>
    <tableColumn id="3" xr3:uid="{E2D7B28C-9F29-564F-A34A-0DAB2984AECE}" name="Full Year GDP  Growth" totalsRowFunction="average" dataDxfId="37" totalsRowDxfId="36"/>
    <tableColumn id="27" xr3:uid="{CBA2B5C0-7883-804C-9DC5-47656F70CC0F}" name="GDP per capita PPP (USD)" totalsRowFunction="average" dataDxfId="35" totalsRowDxfId="34"/>
    <tableColumn id="11" xr3:uid="{F0B52934-F4F9-F24C-AB5F-0BCE31FDF3A5}" name="Unemployment" totalsRowFunction="average" dataDxfId="33" totalsRowDxfId="32"/>
    <tableColumn id="4" xr3:uid="{E56F852F-2693-394D-BAF8-77F7FC359DD2}" name="Inflation rate" totalsRowFunction="average" dataDxfId="31" totalsRowDxfId="30"/>
    <tableColumn id="18" xr3:uid="{67C307D8-D24B-B846-92E5-33B81E122F97}" name="Interest Rate" totalsRowFunction="average" dataDxfId="29" totalsRowDxfId="28"/>
    <tableColumn id="19" xr3:uid="{A6D02B5D-41AB-DB4C-9D4F-435149E0F881}" name="Foreign Exchange Reserves (USD Million)" totalsRowFunction="average" dataDxfId="27" totalsRowDxfId="26"/>
    <tableColumn id="24" xr3:uid="{BEF03C62-542E-864B-8B55-8F6899B168DB}" name="Balance Trade (USD Million)" totalsRowFunction="average" dataDxfId="25" totalsRowDxfId="24"/>
    <tableColumn id="30" xr3:uid="{3F99F235-4249-2D4E-82AE-570C90BBA2D2}" name="Exports (USD Million)" dataDxfId="23" totalsRowDxfId="22"/>
    <tableColumn id="31" xr3:uid="{7FEE0F96-FA6B-2047-9BCE-FF793DA3330A}" name="Imports (USD Million)" dataDxfId="21" totalsRowDxfId="20"/>
    <tableColumn id="29" xr3:uid="{1E8DD1B2-05A9-D94E-B831-B24FAA229BF7}" name="Balance Trade %" totalsRowFunction="average" dataDxfId="19" totalsRowDxfId="18">
      <calculatedColumnFormula>IFERROR(  (Table2[[#This Row],[Exports (USD Million)]] / Table2[[#This Row],[Imports (USD Million)]] ) - 1,  0)</calculatedColumnFormula>
    </tableColumn>
    <tableColumn id="26" xr3:uid="{4C55EA2A-7719-B347-8371-488048970D31}" name="Foreign Direct Investment (USD Million)" totalsRowFunction="average" dataDxfId="17" totalsRowDxfId="16"/>
    <tableColumn id="14" xr3:uid="{8A51E0B4-0C14-3849-A979-EBA0F153CCC7}" name="Debt to GDP" totalsRowFunction="average" dataDxfId="15" totalsRowDxfId="14"/>
    <tableColumn id="16" xr3:uid="{59E689EF-08B8-DA4A-9221-59F6B80F9B50}" name="Business Confidence" dataDxfId="13" totalsRowDxfId="12"/>
    <tableColumn id="17" xr3:uid="{A642E396-4E1F-894B-A0CD-42C1052B1C45}" name="Consumer Confidence" dataDxfId="11" totalsRowDxfId="10"/>
    <tableColumn id="7" xr3:uid="{622F34A1-A765-014C-9BC0-655F28BF1634}" name="Economic Freedom" totalsRowFunction="average" dataDxfId="9" totalsRowDxfId="8"/>
    <tableColumn id="13" xr3:uid="{128CEF61-4F83-534A-9ECC-9DE8E21D3429}" name="Resumen" dataDxfId="7" totalsRowDxfId="6"/>
    <tableColumn id="8" xr3:uid="{D45E3999-1ECD-3345-AAA3-EB533122E44D}" name="Notas" dataDxfId="5" totalsRowDxfId="4"/>
    <tableColumn id="9" xr3:uid="{C802BDFB-BF6E-9049-B799-422F5F90A600}" name="Fortalezas" dataDxfId="3" totalsRowDxfId="2"/>
    <tableColumn id="10" xr3:uid="{44D49588-6919-4049-B764-44C08A706E60}" name="Debilidades" totalsRowFunction="coun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B6D7A8"/>
    <outlinePr summaryBelow="0" summaryRight="0"/>
  </sheetPr>
  <dimension ref="A1:Z967"/>
  <sheetViews>
    <sheetView tabSelected="1" zoomScale="150" zoomScaleNormal="150" workbookViewId="0">
      <selection activeCell="D16" sqref="D16"/>
    </sheetView>
  </sheetViews>
  <sheetFormatPr baseColWidth="10" defaultColWidth="12.6640625" defaultRowHeight="15" customHeight="1" x14ac:dyDescent="0.35"/>
  <cols>
    <col min="1" max="1" width="9.33203125" customWidth="1"/>
    <col min="2" max="2" width="24.796875" customWidth="1"/>
    <col min="3" max="3" width="11.1328125" customWidth="1"/>
    <col min="4" max="4" width="11.796875" customWidth="1"/>
    <col min="5" max="5" width="11.46484375" customWidth="1"/>
    <col min="6" max="6" width="8.46484375" customWidth="1"/>
    <col min="7" max="7" width="16.1328125" customWidth="1"/>
    <col min="8" max="8" width="17.6640625" customWidth="1"/>
    <col min="9" max="9" width="18.33203125" customWidth="1"/>
    <col min="10" max="10" width="18.796875" customWidth="1"/>
    <col min="11" max="11" width="14.796875" customWidth="1"/>
    <col min="12" max="12" width="15.1328125" customWidth="1"/>
    <col min="13" max="26" width="12.46484375" customWidth="1"/>
  </cols>
  <sheetData>
    <row r="1" spans="1:26" ht="1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39" customHeight="1" x14ac:dyDescent="0.35">
      <c r="A2" s="128"/>
      <c r="B2" s="129"/>
      <c r="C2" s="129"/>
      <c r="D2" s="130" t="s">
        <v>0</v>
      </c>
      <c r="E2" s="131"/>
      <c r="F2" s="131"/>
      <c r="G2" s="131"/>
      <c r="H2" s="131"/>
      <c r="I2" s="132"/>
      <c r="J2" s="133" t="s">
        <v>1</v>
      </c>
      <c r="K2" s="131"/>
      <c r="L2" s="13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x14ac:dyDescent="0.35">
      <c r="A3" s="134" t="s">
        <v>2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5">
      <c r="A4" s="137" t="s">
        <v>3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6.5" customHeight="1" x14ac:dyDescent="0.35">
      <c r="A5" s="27" t="s">
        <v>176</v>
      </c>
      <c r="B5" s="41" t="s">
        <v>177</v>
      </c>
      <c r="C5" s="27" t="s">
        <v>46</v>
      </c>
      <c r="D5" s="27" t="s">
        <v>178</v>
      </c>
      <c r="E5" s="27" t="s">
        <v>183</v>
      </c>
      <c r="F5" s="29" t="s">
        <v>184</v>
      </c>
      <c r="G5" s="30" t="s">
        <v>185</v>
      </c>
      <c r="H5" s="30" t="s">
        <v>186</v>
      </c>
      <c r="I5" s="30" t="s">
        <v>179</v>
      </c>
      <c r="J5" s="27" t="s">
        <v>180</v>
      </c>
      <c r="K5" s="27" t="s">
        <v>181</v>
      </c>
      <c r="L5" s="127" t="s">
        <v>182</v>
      </c>
      <c r="M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15" x14ac:dyDescent="0.35">
      <c r="A6" s="25">
        <v>1</v>
      </c>
      <c r="B6" s="23" t="s">
        <v>174</v>
      </c>
      <c r="C6" s="10" t="s">
        <v>41</v>
      </c>
      <c r="D6" s="11">
        <f>NasdaqInicialUnidades+NasdaqComprometidoUnidades</f>
        <v>366.58710000000002</v>
      </c>
      <c r="E6" s="12">
        <f>NasdaqComprometidoValorUnitario</f>
        <v>163.6018</v>
      </c>
      <c r="F6" s="12">
        <f>NasdaqComprometidoValorUnitario</f>
        <v>163.6018</v>
      </c>
      <c r="G6" s="13">
        <f>AportacionesAcumuladas*NasdaqPonderacion</f>
        <v>45985.8</v>
      </c>
      <c r="H6" s="13">
        <f>PortafolioPPR[[#This Row],[Shares]] * PortafolioPPR[[#This Row],[Current Unit Cost]]</f>
        <v>59974.309416780001</v>
      </c>
      <c r="I6" s="13">
        <f>IFERROR(PortafolioPPR[[#This Row],[Market Value]] - PortafolioPPR[[#This Row],[Purchased Value]], 0)</f>
        <v>13988.509416779998</v>
      </c>
      <c r="J6" s="14">
        <f>IFERROR(PortafolioPPR[[#This Row],[Market Value]] / PortafolioPPR[[#This Row],[Purchased Value]] - 1, 0)</f>
        <v>0.30419193352687124</v>
      </c>
      <c r="K6" s="15">
        <f>IFERROR(PortafolioPPR[[#This Row],[Market Value]] / PortafolioPPR[[#Totals],[Market Value]], "")</f>
        <v>0.20234589454147589</v>
      </c>
      <c r="L6" s="26">
        <v>0.2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15" x14ac:dyDescent="0.35">
      <c r="A7" s="25">
        <f>A6 + 1</f>
        <v>2</v>
      </c>
      <c r="B7" s="23" t="s">
        <v>175</v>
      </c>
      <c r="C7" s="10" t="s">
        <v>42</v>
      </c>
      <c r="D7" s="11">
        <f>DDInicialUnidades+DDComprometidoUnidades</f>
        <v>432.40390000000002</v>
      </c>
      <c r="E7" s="12">
        <f>DDComprometidoValorUnitario</f>
        <v>546.75890000000004</v>
      </c>
      <c r="F7" s="12">
        <f>DDComprometidoValorUnitario</f>
        <v>546.75890000000004</v>
      </c>
      <c r="G7" s="13">
        <f>AportacionesAcumuladas*DDPonderacion</f>
        <v>183943.2</v>
      </c>
      <c r="H7" s="13">
        <f>PortafolioPPR[[#This Row],[Shares]] * PortafolioPPR[[#This Row],[Current Unit Cost]]</f>
        <v>236420.68071971004</v>
      </c>
      <c r="I7" s="13">
        <f>IFERROR(PortafolioPPR[[#This Row],[Market Value]] - PortafolioPPR[[#This Row],[Purchased Value]], 0)</f>
        <v>52477.480719710031</v>
      </c>
      <c r="J7" s="14">
        <f>IFERROR(PortafolioPPR[[#This Row],[Market Value]] / PortafolioPPR[[#This Row],[Purchased Value]] - 1, 0)</f>
        <v>0.28529176789199062</v>
      </c>
      <c r="K7" s="15">
        <f>IFERROR(PortafolioPPR[[#This Row],[Market Value]] / PortafolioPPR[[#Totals],[Market Value]], "")</f>
        <v>0.79765410545852411</v>
      </c>
      <c r="L7" s="26">
        <v>0.8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5">
      <c r="A8" s="32" t="s">
        <v>50</v>
      </c>
      <c r="B8" s="33"/>
      <c r="C8" s="34"/>
      <c r="D8" s="35"/>
      <c r="E8" s="35"/>
      <c r="F8" s="35"/>
      <c r="G8" s="37">
        <f>SUBTOTAL(109,PortafolioPPR[Purchased Value])</f>
        <v>229929</v>
      </c>
      <c r="H8" s="37">
        <f>SUBTOTAL(109,PortafolioPPR[Market Value])</f>
        <v>296394.99013649003</v>
      </c>
      <c r="I8" s="37">
        <f>SUBTOTAL(109,PortafolioPPR[Balance])</f>
        <v>66465.990136490029</v>
      </c>
      <c r="J8" s="38">
        <f>SUBTOTAL(101,PortafolioPPR[Balance %])</f>
        <v>0.29474185070943093</v>
      </c>
      <c r="K8" s="39">
        <f>SUBTOTAL(109,PortafolioPPR[Current Weight %])</f>
        <v>1</v>
      </c>
      <c r="L8" s="40">
        <f>SUBTOTAL(109,PortafolioPPR[Target Weight %])</f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5">
      <c r="A9" s="3"/>
      <c r="B9" s="3"/>
      <c r="C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x14ac:dyDescent="0.35"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35">
      <c r="A11" s="125"/>
      <c r="B11" s="12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5">
      <c r="A12" s="3"/>
      <c r="D12" s="126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35">
      <c r="A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35">
      <c r="A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35">
      <c r="A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5">
      <c r="A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35">
      <c r="A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5">
      <c r="A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5">
      <c r="A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5">
      <c r="A20" s="3"/>
      <c r="B20" s="3"/>
      <c r="C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3"/>
      <c r="B21" s="3"/>
      <c r="C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3"/>
      <c r="B22" s="3"/>
      <c r="C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3"/>
      <c r="B23" s="3"/>
      <c r="C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3"/>
      <c r="B24" s="3"/>
      <c r="C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3"/>
      <c r="B25" s="3"/>
      <c r="C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3"/>
      <c r="B26" s="3"/>
      <c r="C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3"/>
      <c r="B27" s="3"/>
      <c r="C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3"/>
      <c r="B28" s="3"/>
      <c r="C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3"/>
      <c r="B29" s="3"/>
      <c r="C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3"/>
      <c r="B30" s="3"/>
      <c r="C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3"/>
      <c r="B31" s="3"/>
      <c r="C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3"/>
      <c r="B32" s="3"/>
      <c r="C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3"/>
      <c r="B33" s="3"/>
      <c r="C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26" ht="1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26" ht="1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26" ht="1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26" ht="1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26" ht="1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</sheetData>
  <mergeCells count="5">
    <mergeCell ref="A2:C2"/>
    <mergeCell ref="D2:I2"/>
    <mergeCell ref="J2:L2"/>
    <mergeCell ref="A3:L3"/>
    <mergeCell ref="A4:L4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D2F32-DCA7-4843-9F7C-D135F1E9C3FC}">
  <sheetPr>
    <tabColor rgb="FFB6D7A8"/>
    <outlinePr summaryBelow="0" summaryRight="0"/>
  </sheetPr>
  <dimension ref="A1:Z978"/>
  <sheetViews>
    <sheetView zoomScale="150" zoomScaleNormal="150" workbookViewId="0">
      <selection activeCell="G11" sqref="G11"/>
    </sheetView>
  </sheetViews>
  <sheetFormatPr baseColWidth="10" defaultColWidth="12.6640625" defaultRowHeight="15" customHeight="1" x14ac:dyDescent="0.35"/>
  <cols>
    <col min="1" max="1" width="9.33203125" customWidth="1"/>
    <col min="2" max="2" width="24.796875" customWidth="1"/>
    <col min="3" max="3" width="11.1328125" customWidth="1"/>
    <col min="4" max="4" width="11.796875" customWidth="1"/>
    <col min="5" max="5" width="11.46484375" customWidth="1"/>
    <col min="6" max="6" width="8.46484375" customWidth="1"/>
    <col min="7" max="7" width="16.1328125" customWidth="1"/>
    <col min="8" max="8" width="17.6640625" customWidth="1"/>
    <col min="9" max="9" width="18.33203125" customWidth="1"/>
    <col min="10" max="10" width="18.796875" customWidth="1"/>
    <col min="11" max="11" width="14.796875" customWidth="1"/>
    <col min="12" max="12" width="15.1328125" customWidth="1"/>
    <col min="13" max="26" width="12.46484375" customWidth="1"/>
  </cols>
  <sheetData>
    <row r="1" spans="1:26" ht="1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spans="1:26" ht="39" customHeight="1" x14ac:dyDescent="0.35">
      <c r="A2" s="128"/>
      <c r="B2" s="129"/>
      <c r="C2" s="129"/>
      <c r="D2" s="130" t="s">
        <v>0</v>
      </c>
      <c r="E2" s="131"/>
      <c r="F2" s="131"/>
      <c r="G2" s="131"/>
      <c r="H2" s="131"/>
      <c r="I2" s="132"/>
      <c r="J2" s="133" t="s">
        <v>1</v>
      </c>
      <c r="K2" s="131"/>
      <c r="L2" s="13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x14ac:dyDescent="0.35">
      <c r="A3" s="134" t="s">
        <v>2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6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35">
      <c r="A4" s="137" t="s">
        <v>3</v>
      </c>
      <c r="B4" s="131"/>
      <c r="C4" s="131"/>
      <c r="D4" s="131"/>
      <c r="E4" s="131"/>
      <c r="F4" s="131"/>
      <c r="G4" s="131"/>
      <c r="H4" s="131"/>
      <c r="I4" s="131"/>
      <c r="J4" s="131"/>
      <c r="K4" s="131"/>
      <c r="L4" s="132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6.5" customHeight="1" x14ac:dyDescent="0.35">
      <c r="A5" s="27" t="s">
        <v>44</v>
      </c>
      <c r="B5" s="41" t="s">
        <v>45</v>
      </c>
      <c r="C5" s="27" t="s">
        <v>46</v>
      </c>
      <c r="D5" s="27" t="s">
        <v>47</v>
      </c>
      <c r="E5" s="27" t="s">
        <v>48</v>
      </c>
      <c r="F5" s="29" t="s">
        <v>51</v>
      </c>
      <c r="G5" s="30" t="s">
        <v>49</v>
      </c>
      <c r="H5" s="30" t="s">
        <v>43</v>
      </c>
      <c r="I5" s="30" t="s">
        <v>9</v>
      </c>
      <c r="J5" s="28" t="s">
        <v>10</v>
      </c>
      <c r="K5" s="28" t="s">
        <v>11</v>
      </c>
      <c r="L5" s="31" t="s">
        <v>12</v>
      </c>
      <c r="M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15" x14ac:dyDescent="0.35">
      <c r="A6" s="25">
        <v>1</v>
      </c>
      <c r="B6" s="23" t="s">
        <v>108</v>
      </c>
      <c r="C6" s="10" t="s">
        <v>78</v>
      </c>
      <c r="D6" s="11"/>
      <c r="E6" s="12"/>
      <c r="F6" s="12">
        <v>1371</v>
      </c>
      <c r="G6" s="13">
        <f>PortafolioIndizado[[#This Row],[Titulos]] * PortafolioIndizado[[#This Row],[Costo Promedio Unitario]]</f>
        <v>0</v>
      </c>
      <c r="H6" s="13">
        <f>PortafolioIndizado[[#This Row],[Titulos]] * PortafolioIndizado[[#This Row],[Precio Actual Mercado]]</f>
        <v>0</v>
      </c>
      <c r="I6" s="13">
        <f>IFERROR(PortafolioIndizado[[#This Row],[Valor Actual]] - PortafolioIndizado[[#This Row],[Valor a Compra]], 0)</f>
        <v>0</v>
      </c>
      <c r="J6" s="14">
        <f>IFERROR(PortafolioIndizado[[#This Row],[Valor Actual]] / PortafolioIndizado[[#This Row],[Valor a Compra]] - 1, 0)</f>
        <v>0</v>
      </c>
      <c r="K6" s="15" t="str">
        <f>IFERROR(PortafolioIndizado[[#This Row],[Valor Actual]] / PortafolioIndizado[[#Totals],[Valor Actual]], "")</f>
        <v/>
      </c>
      <c r="L6" s="26">
        <v>0.4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15" x14ac:dyDescent="0.35">
      <c r="A7" s="25">
        <f>A6 + 1</f>
        <v>2</v>
      </c>
      <c r="B7" s="23" t="s">
        <v>94</v>
      </c>
      <c r="C7" s="10" t="s">
        <v>77</v>
      </c>
      <c r="D7" s="11"/>
      <c r="E7" s="12"/>
      <c r="F7" s="12">
        <v>820</v>
      </c>
      <c r="G7" s="13">
        <f>PortafolioIndizado[[#This Row],[Titulos]] * PortafolioIndizado[[#This Row],[Costo Promedio Unitario]]</f>
        <v>0</v>
      </c>
      <c r="H7" s="13">
        <f>PortafolioIndizado[[#This Row],[Titulos]] * PortafolioIndizado[[#This Row],[Precio Actual Mercado]]</f>
        <v>0</v>
      </c>
      <c r="I7" s="13">
        <f>IFERROR(PortafolioIndizado[[#This Row],[Valor Actual]] - PortafolioIndizado[[#This Row],[Valor a Compra]], 0)</f>
        <v>0</v>
      </c>
      <c r="J7" s="14">
        <f>IFERROR(PortafolioIndizado[[#This Row],[Valor Actual]] / PortafolioIndizado[[#This Row],[Valor a Compra]] - 1, 0)</f>
        <v>0</v>
      </c>
      <c r="K7" s="15" t="str">
        <f>IFERROR(PortafolioIndizado[[#This Row],[Valor Actual]] / PortafolioIndizado[[#Totals],[Valor Actual]], "")</f>
        <v/>
      </c>
      <c r="L7" s="26">
        <v>0.05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35">
      <c r="A8" s="25">
        <f t="shared" ref="A8:A16" si="0">A7 + 1</f>
        <v>3</v>
      </c>
      <c r="B8" s="23" t="s">
        <v>26</v>
      </c>
      <c r="C8" s="10" t="s">
        <v>79</v>
      </c>
      <c r="D8" s="11"/>
      <c r="E8" s="12"/>
      <c r="F8" s="12">
        <v>52.85</v>
      </c>
      <c r="G8" s="13">
        <f>PortafolioIndizado[[#This Row],[Titulos]] * PortafolioIndizado[[#This Row],[Costo Promedio Unitario]]</f>
        <v>0</v>
      </c>
      <c r="H8" s="13">
        <f>PortafolioIndizado[[#This Row],[Titulos]] * PortafolioIndizado[[#This Row],[Precio Actual Mercado]]</f>
        <v>0</v>
      </c>
      <c r="I8" s="13">
        <f>IFERROR(PortafolioIndizado[[#This Row],[Valor Actual]] - PortafolioIndizado[[#This Row],[Valor a Compra]], 0)</f>
        <v>0</v>
      </c>
      <c r="J8" s="14">
        <f>IFERROR(PortafolioIndizado[[#This Row],[Valor Actual]] / PortafolioIndizado[[#This Row],[Valor a Compra]] - 1, 0)</f>
        <v>0</v>
      </c>
      <c r="K8" s="15" t="str">
        <f>IFERROR(PortafolioIndizado[[#This Row],[Valor Actual]] / PortafolioIndizado[[#Totals],[Valor Actual]], "")</f>
        <v/>
      </c>
      <c r="L8" s="26">
        <v>2.5000000000000001E-2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35">
      <c r="A9" s="25">
        <f>A8 + 1</f>
        <v>4</v>
      </c>
      <c r="B9" s="23" t="s">
        <v>27</v>
      </c>
      <c r="C9" s="10" t="s">
        <v>80</v>
      </c>
      <c r="D9" s="11"/>
      <c r="E9" s="12"/>
      <c r="F9" s="12">
        <v>501.39</v>
      </c>
      <c r="G9" s="13">
        <f>PortafolioIndizado[[#This Row],[Titulos]] * PortafolioIndizado[[#This Row],[Costo Promedio Unitario]]</f>
        <v>0</v>
      </c>
      <c r="H9" s="13">
        <f>PortafolioIndizado[[#This Row],[Titulos]] * PortafolioIndizado[[#This Row],[Precio Actual Mercado]]</f>
        <v>0</v>
      </c>
      <c r="I9" s="13">
        <f>IFERROR(PortafolioIndizado[[#This Row],[Valor Actual]] - PortafolioIndizado[[#This Row],[Valor a Compra]], 0)</f>
        <v>0</v>
      </c>
      <c r="J9" s="14">
        <f>IFERROR(PortafolioIndizado[[#This Row],[Valor Actual]] / PortafolioIndizado[[#This Row],[Valor a Compra]] - 1, 0)</f>
        <v>0</v>
      </c>
      <c r="K9" s="15" t="str">
        <f>IFERROR(PortafolioIndizado[[#This Row],[Valor Actual]] / PortafolioIndizado[[#Totals],[Valor Actual]], "")</f>
        <v/>
      </c>
      <c r="L9" s="26">
        <v>2.5000000000000001E-2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35">
      <c r="A10" s="25">
        <f t="shared" si="0"/>
        <v>5</v>
      </c>
      <c r="B10" s="23" t="s">
        <v>170</v>
      </c>
      <c r="C10" s="10" t="s">
        <v>171</v>
      </c>
      <c r="D10" s="11"/>
      <c r="E10" s="12"/>
      <c r="F10" s="12">
        <v>1481.76</v>
      </c>
      <c r="G10" s="13">
        <f>PortafolioIndizado[[#This Row],[Titulos]] * PortafolioIndizado[[#This Row],[Costo Promedio Unitario]]</f>
        <v>0</v>
      </c>
      <c r="H10" s="13">
        <f>PortafolioIndizado[[#This Row],[Titulos]] * PortafolioIndizado[[#This Row],[Precio Actual Mercado]]</f>
        <v>0</v>
      </c>
      <c r="I10" s="13">
        <f>IFERROR(PortafolioIndizado[[#This Row],[Valor Actual]] - PortafolioIndizado[[#This Row],[Valor a Compra]], 0)</f>
        <v>0</v>
      </c>
      <c r="J10" s="14">
        <f>IFERROR(PortafolioIndizado[[#This Row],[Valor Actual]] / PortafolioIndizado[[#This Row],[Valor a Compra]] - 1, 0)</f>
        <v>0</v>
      </c>
      <c r="K10" s="15" t="str">
        <f>IFERROR(PortafolioIndizado[[#This Row],[Valor Actual]] / PortafolioIndizado[[#Totals],[Valor Actual]], "")</f>
        <v/>
      </c>
      <c r="L10" s="26">
        <v>0.2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9" customHeight="1" x14ac:dyDescent="0.35">
      <c r="A11" s="25">
        <f t="shared" si="0"/>
        <v>6</v>
      </c>
      <c r="B11" s="23" t="s">
        <v>92</v>
      </c>
      <c r="C11" s="10" t="s">
        <v>93</v>
      </c>
      <c r="D11" s="11"/>
      <c r="E11" s="12"/>
      <c r="F11" s="12">
        <v>1250</v>
      </c>
      <c r="G11" s="13">
        <f>PortafolioIndizado[[#This Row],[Titulos]] * PortafolioIndizado[[#This Row],[Costo Promedio Unitario]]</f>
        <v>0</v>
      </c>
      <c r="H11" s="13">
        <f>PortafolioIndizado[[#This Row],[Titulos]] * PortafolioIndizado[[#This Row],[Precio Actual Mercado]]</f>
        <v>0</v>
      </c>
      <c r="I11" s="13">
        <f>IFERROR(PortafolioIndizado[[#This Row],[Valor Actual]] - PortafolioIndizado[[#This Row],[Valor a Compra]], 0)</f>
        <v>0</v>
      </c>
      <c r="J11" s="14">
        <f>IFERROR(PortafolioIndizado[[#This Row],[Valor Actual]] / PortafolioIndizado[[#This Row],[Valor a Compra]] - 1, 0)</f>
        <v>0</v>
      </c>
      <c r="K11" s="15" t="str">
        <f>IFERROR(PortafolioIndizado[[#This Row],[Valor Actual]] / PortafolioIndizado[[#Totals],[Valor Actual]], "")</f>
        <v/>
      </c>
      <c r="L11" s="26">
        <v>0.02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15" x14ac:dyDescent="0.35">
      <c r="A12" s="25">
        <f t="shared" si="0"/>
        <v>7</v>
      </c>
      <c r="B12" s="33" t="s">
        <v>24</v>
      </c>
      <c r="C12" s="34" t="s">
        <v>76</v>
      </c>
      <c r="D12" s="35"/>
      <c r="E12" s="36"/>
      <c r="F12" s="36">
        <v>1077.1500000000001</v>
      </c>
      <c r="G12" s="13">
        <f>PortafolioIndizado[[#This Row],[Titulos]] * PortafolioIndizado[[#This Row],[Costo Promedio Unitario]]</f>
        <v>0</v>
      </c>
      <c r="H12" s="13">
        <f>PortafolioIndizado[[#This Row],[Titulos]] * PortafolioIndizado[[#This Row],[Precio Actual Mercado]]</f>
        <v>0</v>
      </c>
      <c r="I12" s="13">
        <f>IFERROR(PortafolioIndizado[[#This Row],[Valor Actual]] - PortafolioIndizado[[#This Row],[Valor a Compra]], 0)</f>
        <v>0</v>
      </c>
      <c r="J12" s="14">
        <f>IFERROR(PortafolioIndizado[[#This Row],[Valor Actual]] / PortafolioIndizado[[#This Row],[Valor a Compra]] - 1, 0)</f>
        <v>0</v>
      </c>
      <c r="K12" s="15" t="str">
        <f>IFERROR(PortafolioIndizado[[#This Row],[Valor Actual]] / PortafolioIndizado[[#Totals],[Valor Actual]], "")</f>
        <v/>
      </c>
      <c r="L12" s="40">
        <v>0.03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15" x14ac:dyDescent="0.35">
      <c r="A13" s="25">
        <v>8</v>
      </c>
      <c r="B13" s="23" t="s">
        <v>28</v>
      </c>
      <c r="C13" s="10" t="s">
        <v>81</v>
      </c>
      <c r="D13" s="11"/>
      <c r="E13" s="12"/>
      <c r="F13" s="12">
        <v>1146</v>
      </c>
      <c r="G13" s="13">
        <f>PortafolioIndizado[[#This Row],[Titulos]] * PortafolioIndizado[[#This Row],[Costo Promedio Unitario]]</f>
        <v>0</v>
      </c>
      <c r="H13" s="13">
        <f>PortafolioIndizado[[#This Row],[Titulos]] * PortafolioIndizado[[#This Row],[Precio Actual Mercado]]</f>
        <v>0</v>
      </c>
      <c r="I13" s="13">
        <f>IFERROR(PortafolioIndizado[[#This Row],[Valor Actual]] - PortafolioIndizado[[#This Row],[Valor a Compra]], 0)</f>
        <v>0</v>
      </c>
      <c r="J13" s="14">
        <f>IFERROR(PortafolioIndizado[[#This Row],[Valor Actual]] / PortafolioIndizado[[#This Row],[Valor a Compra]] - 1, 0)</f>
        <v>0</v>
      </c>
      <c r="K13" s="15" t="str">
        <f>IFERROR(PortafolioIndizado[[#This Row],[Valor Actual]] / PortafolioIndizado[[#Totals],[Valor Actual]], "")</f>
        <v/>
      </c>
      <c r="L13" s="26">
        <v>0.1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15" x14ac:dyDescent="0.35">
      <c r="A14" s="25">
        <v>9</v>
      </c>
      <c r="B14" s="23" t="s">
        <v>32</v>
      </c>
      <c r="C14" s="10" t="s">
        <v>86</v>
      </c>
      <c r="D14" s="11"/>
      <c r="E14" s="12"/>
      <c r="F14" s="12">
        <v>1125.23</v>
      </c>
      <c r="G14" s="13">
        <f>PortafolioIndizado[[#This Row],[Titulos]] * PortafolioIndizado[[#This Row],[Costo Promedio Unitario]]</f>
        <v>0</v>
      </c>
      <c r="H14" s="13">
        <f>PortafolioIndizado[[#This Row],[Titulos]] * PortafolioIndizado[[#This Row],[Precio Actual Mercado]]</f>
        <v>0</v>
      </c>
      <c r="I14" s="13">
        <f>IFERROR(PortafolioIndizado[[#This Row],[Valor Actual]] - PortafolioIndizado[[#This Row],[Valor a Compra]], 0)</f>
        <v>0</v>
      </c>
      <c r="J14" s="14">
        <f>IFERROR(PortafolioIndizado[[#This Row],[Valor Actual]] / PortafolioIndizado[[#This Row],[Valor a Compra]] - 1, 0)</f>
        <v>0</v>
      </c>
      <c r="K14" s="15" t="str">
        <f>IFERROR(PortafolioIndizado[[#This Row],[Valor Actual]] / PortafolioIndizado[[#Totals],[Valor Actual]], "")</f>
        <v/>
      </c>
      <c r="L14" s="26">
        <v>0.04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15" x14ac:dyDescent="0.35">
      <c r="A15" s="25">
        <f t="shared" si="0"/>
        <v>10</v>
      </c>
      <c r="B15" s="23" t="s">
        <v>31</v>
      </c>
      <c r="C15" s="10" t="s">
        <v>85</v>
      </c>
      <c r="D15" s="11"/>
      <c r="E15" s="12"/>
      <c r="F15" s="12">
        <v>990.01</v>
      </c>
      <c r="G15" s="13">
        <f>PortafolioIndizado[[#This Row],[Titulos]] * PortafolioIndizado[[#This Row],[Costo Promedio Unitario]]</f>
        <v>0</v>
      </c>
      <c r="H15" s="13">
        <f>PortafolioIndizado[[#This Row],[Titulos]] * PortafolioIndizado[[#This Row],[Precio Actual Mercado]]</f>
        <v>0</v>
      </c>
      <c r="I15" s="13">
        <f>IFERROR(PortafolioIndizado[[#This Row],[Valor Actual]] - PortafolioIndizado[[#This Row],[Valor a Compra]], 0)</f>
        <v>0</v>
      </c>
      <c r="J15" s="14">
        <f>IFERROR(PortafolioIndizado[[#This Row],[Valor Actual]] / PortafolioIndizado[[#This Row],[Valor a Compra]] - 1, 0)</f>
        <v>0</v>
      </c>
      <c r="K15" s="15" t="str">
        <f>IFERROR(PortafolioIndizado[[#This Row],[Valor Actual]] / PortafolioIndizado[[#Totals],[Valor Actual]], "")</f>
        <v/>
      </c>
      <c r="L15" s="26">
        <v>0.03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35">
      <c r="A16" s="25">
        <f t="shared" si="0"/>
        <v>11</v>
      </c>
      <c r="B16" s="23" t="s">
        <v>29</v>
      </c>
      <c r="C16" s="10" t="s">
        <v>82</v>
      </c>
      <c r="D16" s="11"/>
      <c r="E16" s="12"/>
      <c r="F16" s="12">
        <v>483</v>
      </c>
      <c r="G16" s="13">
        <f>PortafolioIndizado[[#This Row],[Titulos]] * PortafolioIndizado[[#This Row],[Costo Promedio Unitario]]</f>
        <v>0</v>
      </c>
      <c r="H16" s="13">
        <f>PortafolioIndizado[[#This Row],[Titulos]] * PortafolioIndizado[[#This Row],[Precio Actual Mercado]]</f>
        <v>0</v>
      </c>
      <c r="I16" s="13">
        <f>IFERROR(PortafolioIndizado[[#This Row],[Valor Actual]] - PortafolioIndizado[[#This Row],[Valor a Compra]], 0)</f>
        <v>0</v>
      </c>
      <c r="J16" s="14">
        <f>IFERROR(PortafolioIndizado[[#This Row],[Valor Actual]] / PortafolioIndizado[[#This Row],[Valor a Compra]] - 1, 0)</f>
        <v>0</v>
      </c>
      <c r="K16" s="15" t="str">
        <f>IFERROR(PortafolioIndizado[[#This Row],[Valor Actual]] / PortafolioIndizado[[#Totals],[Valor Actual]], "")</f>
        <v/>
      </c>
      <c r="L16" s="26">
        <v>0.05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9" customHeight="1" x14ac:dyDescent="0.35">
      <c r="A17" s="25">
        <v>12</v>
      </c>
      <c r="B17" s="23" t="s">
        <v>30</v>
      </c>
      <c r="C17" s="10" t="s">
        <v>69</v>
      </c>
      <c r="D17" s="11"/>
      <c r="E17" s="12"/>
      <c r="F17" s="12">
        <v>481</v>
      </c>
      <c r="G17" s="13">
        <f>PortafolioIndizado[[#This Row],[Titulos]] * PortafolioIndizado[[#This Row],[Costo Promedio Unitario]]</f>
        <v>0</v>
      </c>
      <c r="H17" s="13">
        <f>PortafolioIndizado[[#This Row],[Titulos]] * PortafolioIndizado[[#This Row],[Precio Actual Mercado]]</f>
        <v>0</v>
      </c>
      <c r="I17" s="13">
        <f>IFERROR(PortafolioIndizado[[#This Row],[Valor Actual]] - PortafolioIndizado[[#This Row],[Valor a Compra]], 0)</f>
        <v>0</v>
      </c>
      <c r="J17" s="14">
        <f>IFERROR(PortafolioIndizado[[#This Row],[Valor Actual]] / PortafolioIndizado[[#This Row],[Valor a Compra]] - 1, 0)</f>
        <v>0</v>
      </c>
      <c r="K17" s="15" t="str">
        <f>IFERROR(PortafolioIndizado[[#This Row],[Valor Actual]] / PortafolioIndizado[[#Totals],[Valor Actual]], "")</f>
        <v/>
      </c>
      <c r="L17" s="26">
        <v>0.03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35">
      <c r="A18" s="32" t="s">
        <v>50</v>
      </c>
      <c r="B18" s="33"/>
      <c r="C18" s="34"/>
      <c r="D18" s="35"/>
      <c r="E18" s="35"/>
      <c r="F18" s="35"/>
      <c r="G18" s="37">
        <f>SUBTOTAL(109,PortafolioIndizado[Valor a Compra])</f>
        <v>0</v>
      </c>
      <c r="H18" s="37">
        <f>SUBTOTAL(109,PortafolioIndizado[Valor Actual])</f>
        <v>0</v>
      </c>
      <c r="I18" s="37">
        <f>SUBTOTAL(109,PortafolioIndizado[Ganancia / Pérdida $])</f>
        <v>0</v>
      </c>
      <c r="J18" s="38">
        <f>SUBTOTAL(101,PortafolioIndizado[Ganancia / Pérdida %])</f>
        <v>0</v>
      </c>
      <c r="K18" s="39">
        <f>SUBTOTAL(109,PortafolioIndizado[Peso %    Actual])</f>
        <v>0</v>
      </c>
      <c r="L18" s="40">
        <f>SUBTOTAL(109,PortafolioIndizado[Peso % Objetivo])</f>
        <v>1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35">
      <c r="A19" s="3"/>
      <c r="B19" s="3"/>
      <c r="C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35">
      <c r="A20" s="3"/>
      <c r="B20" s="3"/>
      <c r="C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5">
      <c r="A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5">
      <c r="A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5">
      <c r="A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5">
      <c r="A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5">
      <c r="A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5">
      <c r="A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5">
      <c r="A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5">
      <c r="A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5">
      <c r="A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5">
      <c r="A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5">
      <c r="A31" s="3"/>
      <c r="B31" s="3"/>
      <c r="C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5">
      <c r="A32" s="3"/>
      <c r="B32" s="3"/>
      <c r="C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5">
      <c r="A33" s="3"/>
      <c r="B33" s="3"/>
      <c r="C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5">
      <c r="A34" s="3"/>
      <c r="B34" s="3"/>
      <c r="C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5">
      <c r="A35" s="3"/>
      <c r="B35" s="3"/>
      <c r="C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5">
      <c r="A36" s="3"/>
      <c r="B36" s="3"/>
      <c r="C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5">
      <c r="A37" s="3"/>
      <c r="B37" s="3"/>
      <c r="C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5">
      <c r="A38" s="3"/>
      <c r="B38" s="3"/>
      <c r="C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5">
      <c r="A39" s="3"/>
      <c r="B39" s="3"/>
      <c r="C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5">
      <c r="A40" s="3"/>
      <c r="B40" s="3"/>
      <c r="C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5">
      <c r="A41" s="3"/>
      <c r="B41" s="3"/>
      <c r="C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5">
      <c r="A42" s="3"/>
      <c r="B42" s="3"/>
      <c r="C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5">
      <c r="A43" s="3"/>
      <c r="B43" s="3"/>
      <c r="C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5">
      <c r="A44" s="3"/>
      <c r="B44" s="3"/>
      <c r="C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spans="1:26" ht="1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spans="1:26" ht="1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spans="1:26" ht="1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spans="1:12" ht="1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spans="1:12" ht="1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</sheetData>
  <mergeCells count="5">
    <mergeCell ref="A2:C2"/>
    <mergeCell ref="D2:I2"/>
    <mergeCell ref="J2:L2"/>
    <mergeCell ref="A3:L3"/>
    <mergeCell ref="A4:L4"/>
  </mergeCells>
  <pageMargins left="0.7" right="0.7" top="0.75" bottom="0.75" header="0" footer="0"/>
  <pageSetup orientation="portrait"/>
  <ignoredErrors>
    <ignoredError sqref="G11 G9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3BBA-EAA0-104A-88FC-A4E2427B1AFA}">
  <dimension ref="A1:F25"/>
  <sheetViews>
    <sheetView zoomScale="200" zoomScaleNormal="200" workbookViewId="0">
      <selection activeCell="C6" sqref="C6"/>
    </sheetView>
  </sheetViews>
  <sheetFormatPr baseColWidth="10" defaultRowHeight="12.75" x14ac:dyDescent="0.35"/>
  <cols>
    <col min="1" max="1" width="33.6640625" customWidth="1"/>
    <col min="2" max="2" width="17.3984375" customWidth="1"/>
    <col min="3" max="4" width="12.1328125" bestFit="1" customWidth="1"/>
  </cols>
  <sheetData>
    <row r="1" spans="1:5" x14ac:dyDescent="0.35">
      <c r="A1" s="43" t="s">
        <v>61</v>
      </c>
      <c r="B1" s="46">
        <v>45657</v>
      </c>
      <c r="C1" s="42"/>
      <c r="D1" s="24"/>
      <c r="E1" s="24"/>
    </row>
    <row r="2" spans="1:5" x14ac:dyDescent="0.35">
      <c r="A2" s="43" t="s">
        <v>53</v>
      </c>
      <c r="B2" s="44">
        <v>229929</v>
      </c>
    </row>
    <row r="3" spans="1:5" x14ac:dyDescent="0.35">
      <c r="A3" s="24"/>
    </row>
    <row r="4" spans="1:5" ht="25.5" x14ac:dyDescent="0.35">
      <c r="A4" s="43" t="s">
        <v>54</v>
      </c>
      <c r="B4" s="43" t="s">
        <v>52</v>
      </c>
      <c r="C4" s="43" t="s">
        <v>55</v>
      </c>
      <c r="D4" s="43" t="s">
        <v>56</v>
      </c>
      <c r="E4" s="43" t="s">
        <v>62</v>
      </c>
    </row>
    <row r="5" spans="1:5" x14ac:dyDescent="0.35">
      <c r="A5" s="24" t="s">
        <v>57</v>
      </c>
      <c r="B5" s="45">
        <v>286.04840000000002</v>
      </c>
      <c r="C5" s="47">
        <v>163.6018</v>
      </c>
      <c r="D5" s="44">
        <f>B5*C5</f>
        <v>46798.033127120005</v>
      </c>
      <c r="E5" s="48"/>
    </row>
    <row r="6" spans="1:5" x14ac:dyDescent="0.35">
      <c r="A6" s="24" t="s">
        <v>58</v>
      </c>
      <c r="B6" s="45">
        <v>80.538700000000006</v>
      </c>
      <c r="C6" s="47">
        <f>C5</f>
        <v>163.6018</v>
      </c>
      <c r="D6" s="44">
        <f t="shared" ref="D6:D8" si="0">B6*C6</f>
        <v>13176.276289660002</v>
      </c>
      <c r="E6" s="48">
        <v>0.2</v>
      </c>
    </row>
    <row r="7" spans="1:5" x14ac:dyDescent="0.35">
      <c r="A7" s="24" t="s">
        <v>59</v>
      </c>
      <c r="B7" s="45">
        <v>338.77350000000001</v>
      </c>
      <c r="C7" s="47">
        <v>546.75890000000004</v>
      </c>
      <c r="D7" s="44">
        <f t="shared" si="0"/>
        <v>185227.42620915003</v>
      </c>
      <c r="E7" s="48"/>
    </row>
    <row r="8" spans="1:5" x14ac:dyDescent="0.35">
      <c r="A8" s="24" t="s">
        <v>60</v>
      </c>
      <c r="B8" s="45">
        <v>93.630399999999995</v>
      </c>
      <c r="C8" s="47">
        <f>C7</f>
        <v>546.75890000000004</v>
      </c>
      <c r="D8" s="44">
        <f t="shared" si="0"/>
        <v>51193.25451056</v>
      </c>
      <c r="E8" s="48">
        <v>0.8</v>
      </c>
    </row>
    <row r="9" spans="1:5" x14ac:dyDescent="0.35">
      <c r="A9" s="24" t="s">
        <v>151</v>
      </c>
      <c r="D9" s="97">
        <v>114798.57</v>
      </c>
    </row>
    <row r="10" spans="1:5" x14ac:dyDescent="0.35">
      <c r="A10" s="24" t="s">
        <v>152</v>
      </c>
      <c r="D10" s="97">
        <f>SUM(D5:D8)</f>
        <v>296394.99013649003</v>
      </c>
    </row>
    <row r="11" spans="1:5" x14ac:dyDescent="0.35">
      <c r="A11" s="24" t="s">
        <v>153</v>
      </c>
      <c r="D11" s="97">
        <f>D9+D10</f>
        <v>411193.56013649004</v>
      </c>
    </row>
    <row r="15" spans="1:5" x14ac:dyDescent="0.35">
      <c r="B15" s="24" t="s">
        <v>142</v>
      </c>
      <c r="C15" s="97">
        <f>D7+D5</f>
        <v>232025.45933627003</v>
      </c>
    </row>
    <row r="16" spans="1:5" x14ac:dyDescent="0.35">
      <c r="B16" s="24" t="s">
        <v>143</v>
      </c>
      <c r="C16" s="97">
        <f>C15*0.009</f>
        <v>2088.2291340264301</v>
      </c>
    </row>
    <row r="17" spans="2:6" x14ac:dyDescent="0.35">
      <c r="B17" s="24" t="s">
        <v>144</v>
      </c>
      <c r="C17" s="97">
        <f>C15*0.001</f>
        <v>232.02545933627002</v>
      </c>
      <c r="F17">
        <f>1041.15/0.009</f>
        <v>115683.33333333336</v>
      </c>
    </row>
    <row r="18" spans="2:6" x14ac:dyDescent="0.35">
      <c r="B18" s="24" t="s">
        <v>145</v>
      </c>
      <c r="C18" s="44">
        <v>10254</v>
      </c>
      <c r="F18">
        <f>115974*0.001</f>
        <v>115.974</v>
      </c>
    </row>
    <row r="19" spans="2:6" x14ac:dyDescent="0.35">
      <c r="B19" s="24" t="s">
        <v>146</v>
      </c>
      <c r="C19" s="97">
        <f>C18-8300</f>
        <v>1954</v>
      </c>
    </row>
    <row r="21" spans="2:6" x14ac:dyDescent="0.35">
      <c r="B21" s="24"/>
    </row>
    <row r="22" spans="2:6" x14ac:dyDescent="0.35">
      <c r="E22" s="24" t="s">
        <v>147</v>
      </c>
      <c r="F22">
        <v>10254</v>
      </c>
    </row>
    <row r="23" spans="2:6" x14ac:dyDescent="0.35">
      <c r="E23" s="24" t="s">
        <v>148</v>
      </c>
      <c r="F23">
        <v>24000</v>
      </c>
    </row>
    <row r="24" spans="2:6" x14ac:dyDescent="0.35">
      <c r="E24" s="24" t="s">
        <v>149</v>
      </c>
      <c r="F24">
        <v>20407</v>
      </c>
    </row>
    <row r="25" spans="2:6" x14ac:dyDescent="0.35">
      <c r="E25" s="24" t="s">
        <v>150</v>
      </c>
      <c r="F25">
        <v>15000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6999-557F-F94A-BF29-C328F704D33A}">
  <dimension ref="A1:W37"/>
  <sheetViews>
    <sheetView zoomScale="170" zoomScaleNormal="170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K3" sqref="K3"/>
    </sheetView>
  </sheetViews>
  <sheetFormatPr baseColWidth="10" defaultRowHeight="12.75" x14ac:dyDescent="0.35"/>
  <cols>
    <col min="1" max="1" width="13.33203125" customWidth="1"/>
    <col min="2" max="2" width="11.33203125" customWidth="1"/>
    <col min="3" max="3" width="16.1328125" style="79" bestFit="1" customWidth="1"/>
    <col min="4" max="4" width="11.33203125" style="62" customWidth="1"/>
    <col min="5" max="5" width="12.33203125" style="54" customWidth="1"/>
    <col min="6" max="6" width="15.46484375" style="44" customWidth="1"/>
    <col min="7" max="7" width="15" customWidth="1"/>
    <col min="8" max="9" width="12.33203125" style="54" customWidth="1"/>
    <col min="10" max="10" width="12.33203125" style="62" customWidth="1"/>
    <col min="11" max="11" width="13" style="62" customWidth="1"/>
    <col min="12" max="12" width="10.46484375" style="44" customWidth="1"/>
    <col min="13" max="13" width="11.1328125" style="44" customWidth="1"/>
    <col min="14" max="14" width="12.796875" style="62" customWidth="1"/>
    <col min="15" max="15" width="16.46484375" style="73" bestFit="1" customWidth="1"/>
    <col min="16" max="16" width="13" style="73" customWidth="1"/>
    <col min="17" max="17" width="15.33203125" bestFit="1" customWidth="1"/>
    <col min="18" max="18" width="14.33203125" style="51" customWidth="1"/>
    <col min="19" max="19" width="14.33203125" style="53" bestFit="1" customWidth="1"/>
    <col min="20" max="20" width="43.33203125" style="53" customWidth="1"/>
    <col min="21" max="21" width="40.1328125" customWidth="1"/>
    <col min="22" max="22" width="25.796875" customWidth="1"/>
    <col min="23" max="23" width="30.6640625" customWidth="1"/>
  </cols>
  <sheetData>
    <row r="1" spans="1:23" ht="13.15" thickBot="1" x14ac:dyDescent="0.4">
      <c r="A1" s="24" t="s">
        <v>63</v>
      </c>
      <c r="B1" s="52">
        <v>45702</v>
      </c>
      <c r="C1" s="77"/>
      <c r="D1" s="68"/>
      <c r="E1" s="58"/>
      <c r="F1" s="80"/>
      <c r="G1" s="53"/>
      <c r="H1" s="56"/>
      <c r="I1" s="56"/>
      <c r="J1" s="60"/>
      <c r="K1" s="60"/>
      <c r="L1" s="59"/>
      <c r="M1" s="59"/>
      <c r="N1" s="60"/>
      <c r="O1" s="71"/>
      <c r="P1" s="71"/>
      <c r="Q1" s="53"/>
      <c r="R1" s="93"/>
    </row>
    <row r="2" spans="1:23" ht="13.5" thickTop="1" x14ac:dyDescent="0.4">
      <c r="A2" s="98" t="s">
        <v>154</v>
      </c>
      <c r="B2" s="99"/>
      <c r="C2" s="99"/>
      <c r="D2" s="109">
        <f>SUBTOTAL(101,Table2[GDP (USD billion)])</f>
        <v>3235.6482501467999</v>
      </c>
      <c r="E2" s="100">
        <f>SUBTOTAL(101,Table2[Full Year GDP  Growth])</f>
        <v>1.9500000000000003E-2</v>
      </c>
      <c r="F2" s="101">
        <f>SUBTOTAL(101,Table2[GDP per capita PPP (USD)])</f>
        <v>59009.24</v>
      </c>
      <c r="G2" s="102">
        <f>SUBTOTAL(101,Table2[Unemployment])</f>
        <v>4.6900000000000004E-2</v>
      </c>
      <c r="H2" s="100">
        <f>SUBTOTAL(101,Table2[Inflation rate])</f>
        <v>2.1873076923076922E-2</v>
      </c>
      <c r="I2" s="100">
        <f>SUBTOTAL(101,Table2[Interest Rate])</f>
        <v>3.8953846153846151E-2</v>
      </c>
      <c r="J2" s="103">
        <f>SUBTOTAL(101,Table2[Foreign Exchange Reserves (USD Million)])</f>
        <v>424954.63569691894</v>
      </c>
      <c r="K2" s="103">
        <f>SUBTOTAL(101,Table2[Balance Trade (USD Million)])</f>
        <v>1439.23108</v>
      </c>
      <c r="L2" s="101"/>
      <c r="M2" s="101"/>
      <c r="N2" s="111">
        <f>SUBTOTAL(101,Table2[Balance Trade %])</f>
        <v>0.13770282226298447</v>
      </c>
      <c r="O2" s="103">
        <f>SUBTOTAL(101,Table2[Foreign Direct Investment (USD Million)])</f>
        <v>49478.041199999992</v>
      </c>
      <c r="P2" s="102">
        <f>SUBTOTAL(101,Table2[Debt to GDP])</f>
        <v>0.78894799999999987</v>
      </c>
      <c r="Q2" s="104"/>
      <c r="R2" s="104"/>
      <c r="S2" s="104">
        <f>SUBTOTAL(101,Table2[Economic Freedom])</f>
        <v>69.442307692307679</v>
      </c>
      <c r="T2" s="105"/>
      <c r="U2" s="106"/>
      <c r="V2" s="106"/>
      <c r="W2" s="107">
        <f>SUBTOTAL(103,Table2[Debilidades])</f>
        <v>13</v>
      </c>
    </row>
    <row r="3" spans="1:23" ht="51" x14ac:dyDescent="0.35">
      <c r="A3" s="49" t="s">
        <v>39</v>
      </c>
      <c r="B3" s="49" t="s">
        <v>40</v>
      </c>
      <c r="C3" s="78" t="s">
        <v>105</v>
      </c>
      <c r="D3" s="63" t="s">
        <v>99</v>
      </c>
      <c r="E3" s="65" t="s">
        <v>109</v>
      </c>
      <c r="F3" s="67" t="s">
        <v>107</v>
      </c>
      <c r="G3" s="49" t="s">
        <v>97</v>
      </c>
      <c r="H3" s="57" t="s">
        <v>95</v>
      </c>
      <c r="I3" s="57" t="s">
        <v>100</v>
      </c>
      <c r="J3" s="63" t="s">
        <v>104</v>
      </c>
      <c r="K3" s="63" t="s">
        <v>101</v>
      </c>
      <c r="L3" s="67" t="s">
        <v>140</v>
      </c>
      <c r="M3" s="67" t="s">
        <v>141</v>
      </c>
      <c r="N3" s="63" t="s">
        <v>110</v>
      </c>
      <c r="O3" s="63" t="s">
        <v>106</v>
      </c>
      <c r="P3" s="55" t="s">
        <v>96</v>
      </c>
      <c r="Q3" s="72" t="s">
        <v>102</v>
      </c>
      <c r="R3" s="72" t="s">
        <v>103</v>
      </c>
      <c r="S3" s="50" t="s">
        <v>98</v>
      </c>
      <c r="T3" s="50" t="s">
        <v>90</v>
      </c>
      <c r="U3" s="49" t="s">
        <v>64</v>
      </c>
      <c r="V3" s="49" t="s">
        <v>65</v>
      </c>
      <c r="W3" s="49" t="s">
        <v>66</v>
      </c>
    </row>
    <row r="4" spans="1:23" x14ac:dyDescent="0.35">
      <c r="A4" s="3" t="s">
        <v>30</v>
      </c>
      <c r="B4" s="3" t="s">
        <v>69</v>
      </c>
      <c r="C4" s="76">
        <v>0.74</v>
      </c>
      <c r="D4" s="69">
        <v>501</v>
      </c>
      <c r="E4" s="87">
        <v>1.0999999999999999E-2</v>
      </c>
      <c r="F4" s="66">
        <v>127544</v>
      </c>
      <c r="G4" s="88">
        <v>1.9E-2</v>
      </c>
      <c r="H4" s="87">
        <v>1.6E-2</v>
      </c>
      <c r="I4" s="87">
        <v>2.53E-2</v>
      </c>
      <c r="J4" s="68">
        <v>380039.21</v>
      </c>
      <c r="K4" s="68">
        <v>2185.44</v>
      </c>
      <c r="L4" s="68">
        <v>44084.78</v>
      </c>
      <c r="M4" s="68">
        <v>41885.86</v>
      </c>
      <c r="N4" s="95">
        <f>IFERROR(  (Table2[[#This Row],[Exports (USD Million)]] / Table2[[#This Row],[Imports (USD Million)]] ) - 1,  0)</f>
        <v>5.2497907408371125E-2</v>
      </c>
      <c r="O4" s="68">
        <v>45252.95</v>
      </c>
      <c r="P4" s="88">
        <v>1.71</v>
      </c>
      <c r="Q4" s="90">
        <v>16</v>
      </c>
      <c r="R4" s="90"/>
      <c r="S4" s="91">
        <v>83.5</v>
      </c>
      <c r="T4" s="93"/>
      <c r="U4" s="93"/>
      <c r="V4" s="93"/>
      <c r="W4" s="93"/>
    </row>
    <row r="5" spans="1:23" x14ac:dyDescent="0.35">
      <c r="A5" s="3" t="s">
        <v>24</v>
      </c>
      <c r="B5" s="3" t="s">
        <v>76</v>
      </c>
      <c r="C5" s="76">
        <v>1.1100000000000001</v>
      </c>
      <c r="D5" s="112">
        <v>885</v>
      </c>
      <c r="E5" s="113">
        <v>7.1999999999999998E-3</v>
      </c>
      <c r="F5" s="120">
        <v>82914</v>
      </c>
      <c r="G5" s="115">
        <v>0.03</v>
      </c>
      <c r="H5" s="116">
        <v>4.0000000000000001E-3</v>
      </c>
      <c r="I5" s="116">
        <v>5.0000000000000001E-3</v>
      </c>
      <c r="J5" s="117">
        <v>813887.68</v>
      </c>
      <c r="K5" s="121">
        <v>4336</v>
      </c>
      <c r="L5" s="121">
        <v>25324.14</v>
      </c>
      <c r="M5" s="121">
        <v>20837.29</v>
      </c>
      <c r="N5" s="122">
        <f>IFERROR(  (Table2[[#This Row],[Exports (USD Million)]] / Table2[[#This Row],[Imports (USD Million)]] ) - 1,  0)</f>
        <v>0.21532790492429665</v>
      </c>
      <c r="O5" s="121">
        <v>1028222.98</v>
      </c>
      <c r="P5" s="115">
        <v>0.38300000000000001</v>
      </c>
      <c r="Q5" s="123">
        <v>102</v>
      </c>
      <c r="R5" s="123">
        <v>-29</v>
      </c>
      <c r="S5" s="92">
        <v>83</v>
      </c>
      <c r="T5" s="93"/>
      <c r="U5" s="93"/>
      <c r="V5" s="93"/>
      <c r="W5" s="93"/>
    </row>
    <row r="6" spans="1:23" ht="76.5" x14ac:dyDescent="0.35">
      <c r="A6" s="3" t="s">
        <v>92</v>
      </c>
      <c r="B6" s="3" t="s">
        <v>93</v>
      </c>
      <c r="C6" s="76">
        <v>1.04</v>
      </c>
      <c r="D6" s="112">
        <v>546</v>
      </c>
      <c r="E6" s="113">
        <v>3.0000000000000001E-3</v>
      </c>
      <c r="F6" s="120">
        <v>115625</v>
      </c>
      <c r="G6" s="115">
        <v>0.04</v>
      </c>
      <c r="H6" s="113">
        <v>1.4E-2</v>
      </c>
      <c r="I6" s="113">
        <v>2.9000000000000001E-2</v>
      </c>
      <c r="J6" s="121">
        <v>12123</v>
      </c>
      <c r="K6" s="121">
        <v>4010.0569999999998</v>
      </c>
      <c r="L6" s="121">
        <v>16217.18</v>
      </c>
      <c r="M6" s="121">
        <v>12195.4</v>
      </c>
      <c r="N6" s="122">
        <f>IFERROR(  (Table2[[#This Row],[Exports (USD Million)]] / Table2[[#This Row],[Imports (USD Million)]] ) - 1,  0)</f>
        <v>0.32977844105154408</v>
      </c>
      <c r="O6" s="121">
        <v>11741.03</v>
      </c>
      <c r="P6" s="115">
        <v>0.437</v>
      </c>
      <c r="Q6" s="123"/>
      <c r="R6" s="123">
        <v>74.900000000000006</v>
      </c>
      <c r="S6" s="91">
        <v>82.6</v>
      </c>
      <c r="T6" s="93"/>
      <c r="U6" s="94" t="s">
        <v>167</v>
      </c>
      <c r="V6" s="94" t="s">
        <v>168</v>
      </c>
      <c r="W6" s="94" t="s">
        <v>169</v>
      </c>
    </row>
    <row r="7" spans="1:23" s="124" customFormat="1" x14ac:dyDescent="0.35">
      <c r="A7" s="3" t="s">
        <v>83</v>
      </c>
      <c r="B7" s="3" t="s">
        <v>69</v>
      </c>
      <c r="C7" s="76">
        <f>1/32.75</f>
        <v>3.0534351145038167E-2</v>
      </c>
      <c r="D7" s="69">
        <f>6127.345*Table2[[#This Row],[Currency (to USD)]]</f>
        <v>187.09450381679389</v>
      </c>
      <c r="E7" s="87">
        <v>4.2999999999999997E-2</v>
      </c>
      <c r="F7" s="66"/>
      <c r="G7" s="88">
        <v>3.39E-2</v>
      </c>
      <c r="H7" s="87">
        <v>2.6599999999999999E-2</v>
      </c>
      <c r="I7" s="87">
        <v>0.02</v>
      </c>
      <c r="J7" s="61">
        <f>5776*100</f>
        <v>577600</v>
      </c>
      <c r="K7" s="68">
        <v>9970</v>
      </c>
      <c r="L7" s="68">
        <v>38711</v>
      </c>
      <c r="M7" s="68">
        <v>28738</v>
      </c>
      <c r="N7" s="95">
        <f>IFERROR(  (Table2[[#This Row],[Exports (USD Million)]] / Table2[[#This Row],[Imports (USD Million)]] ) - 1,  0)</f>
        <v>0.34703180457930261</v>
      </c>
      <c r="O7" s="68">
        <v>667</v>
      </c>
      <c r="P7" s="88"/>
      <c r="Q7" s="90"/>
      <c r="R7" s="90">
        <v>72.540000000000006</v>
      </c>
      <c r="S7" s="92">
        <v>80</v>
      </c>
      <c r="T7" s="93"/>
      <c r="U7" s="93"/>
      <c r="V7" s="93"/>
      <c r="W7" s="93"/>
    </row>
    <row r="8" spans="1:23" x14ac:dyDescent="0.35">
      <c r="A8" s="3" t="s">
        <v>91</v>
      </c>
      <c r="B8" s="3"/>
      <c r="C8" s="76">
        <v>1.04</v>
      </c>
      <c r="D8" s="69">
        <v>85.76</v>
      </c>
      <c r="E8" s="87">
        <v>-1.0999999999999999E-2</v>
      </c>
      <c r="F8" s="66">
        <v>132414</v>
      </c>
      <c r="G8" s="88">
        <v>5.8999999999999997E-2</v>
      </c>
      <c r="H8" s="87">
        <v>1.9400000000000001E-2</v>
      </c>
      <c r="I8" s="87">
        <v>2.9000000000000001E-2</v>
      </c>
      <c r="J8" s="68">
        <v>2832.9</v>
      </c>
      <c r="K8" s="68">
        <v>-770</v>
      </c>
      <c r="L8" s="68">
        <v>1308.06</v>
      </c>
      <c r="M8" s="68">
        <v>1988.25</v>
      </c>
      <c r="N8" s="95">
        <f>IFERROR(  (Table2[[#This Row],[Exports (USD Million)]] / Table2[[#This Row],[Imports (USD Million)]] ) - 1,  0)</f>
        <v>-0.34210486608826862</v>
      </c>
      <c r="O8" s="68">
        <v>-24444</v>
      </c>
      <c r="P8" s="88">
        <v>0.25700000000000001</v>
      </c>
      <c r="Q8" s="90">
        <v>98.1</v>
      </c>
      <c r="R8" s="90">
        <v>-7.8</v>
      </c>
      <c r="S8" s="91">
        <v>79.2</v>
      </c>
      <c r="T8" s="93"/>
      <c r="U8" s="93"/>
      <c r="V8" s="93"/>
      <c r="W8" s="93"/>
    </row>
    <row r="9" spans="1:23" ht="52.05" customHeight="1" x14ac:dyDescent="0.35">
      <c r="A9" s="3" t="s">
        <v>22</v>
      </c>
      <c r="B9" s="3" t="s">
        <v>72</v>
      </c>
      <c r="C9" s="76">
        <v>0.09</v>
      </c>
      <c r="D9" s="69">
        <v>486</v>
      </c>
      <c r="E9" s="87">
        <v>2.1000000000000001E-2</v>
      </c>
      <c r="F9" s="66">
        <v>90501</v>
      </c>
      <c r="G9" s="88">
        <v>4.2000000000000003E-2</v>
      </c>
      <c r="H9" s="87">
        <v>2.3E-2</v>
      </c>
      <c r="I9" s="87">
        <v>4.4999999999999998E-2</v>
      </c>
      <c r="J9" s="68">
        <v>85737.05</v>
      </c>
      <c r="K9" s="68">
        <v>8520.2900000000009</v>
      </c>
      <c r="L9" s="68">
        <v>15925.54</v>
      </c>
      <c r="M9" s="68">
        <v>7419.31</v>
      </c>
      <c r="N9" s="95">
        <f>IFERROR(  (Table2[[#This Row],[Exports (USD Million)]] / Table2[[#This Row],[Imports (USD Million)]] ) - 1,  0)</f>
        <v>1.1464987984057817</v>
      </c>
      <c r="O9" s="68">
        <v>-20031</v>
      </c>
      <c r="P9" s="88">
        <v>0.443</v>
      </c>
      <c r="Q9" s="90">
        <v>5.5</v>
      </c>
      <c r="R9" s="90">
        <v>-14.4</v>
      </c>
      <c r="S9" s="91">
        <v>77.5</v>
      </c>
      <c r="T9" s="93"/>
      <c r="U9" s="93"/>
      <c r="V9" s="93"/>
      <c r="W9" s="93"/>
    </row>
    <row r="10" spans="1:23" x14ac:dyDescent="0.35">
      <c r="A10" s="3" t="s">
        <v>23</v>
      </c>
      <c r="B10" s="3" t="s">
        <v>73</v>
      </c>
      <c r="C10" s="76">
        <v>9.2999999999999999E-2</v>
      </c>
      <c r="D10" s="69">
        <v>593</v>
      </c>
      <c r="E10" s="87">
        <v>6.0000000000000001E-3</v>
      </c>
      <c r="F10" s="66">
        <v>64191</v>
      </c>
      <c r="G10" s="88">
        <v>0.104</v>
      </c>
      <c r="H10" s="87">
        <v>8.9999999999999993E-3</v>
      </c>
      <c r="I10" s="87">
        <v>2.2499999999999999E-2</v>
      </c>
      <c r="J10" s="68">
        <v>67195.89</v>
      </c>
      <c r="K10" s="68">
        <v>577.82000000000005</v>
      </c>
      <c r="L10" s="68">
        <v>14898.47</v>
      </c>
      <c r="M10" s="68">
        <v>14316.43</v>
      </c>
      <c r="N10" s="95">
        <f>IFERROR(  (Table2[[#This Row],[Exports (USD Million)]] / Table2[[#This Row],[Imports (USD Million)]] ) - 1,  0)</f>
        <v>4.0655386852727959E-2</v>
      </c>
      <c r="O10" s="68">
        <v>5144.5</v>
      </c>
      <c r="P10" s="88">
        <v>0.315</v>
      </c>
      <c r="Q10" s="90">
        <v>101</v>
      </c>
      <c r="R10" s="90">
        <v>99.1</v>
      </c>
      <c r="S10" s="91">
        <v>77.5</v>
      </c>
      <c r="T10" s="93"/>
      <c r="U10" s="93"/>
      <c r="V10" s="93"/>
      <c r="W10" s="93"/>
    </row>
    <row r="11" spans="1:23" x14ac:dyDescent="0.35">
      <c r="A11" s="3" t="s">
        <v>38</v>
      </c>
      <c r="B11" s="3" t="s">
        <v>74</v>
      </c>
      <c r="C11" s="76">
        <v>1.04</v>
      </c>
      <c r="D11" s="69">
        <v>1118</v>
      </c>
      <c r="E11" s="87">
        <v>8.9999999999999993E-3</v>
      </c>
      <c r="F11" s="66">
        <v>9970</v>
      </c>
      <c r="G11" s="88">
        <v>3.6999999999999998E-2</v>
      </c>
      <c r="H11" s="87">
        <v>3.3000000000000002E-2</v>
      </c>
      <c r="I11" s="87">
        <v>2.9000000000000001E-2</v>
      </c>
      <c r="J11" s="68">
        <v>83071.06</v>
      </c>
      <c r="K11" s="68">
        <v>10717.13</v>
      </c>
      <c r="L11" s="68">
        <v>68942.22</v>
      </c>
      <c r="M11" s="68">
        <v>58177.39</v>
      </c>
      <c r="N11" s="95">
        <f>IFERROR(  (Table2[[#This Row],[Exports (USD Million)]] / Table2[[#This Row],[Imports (USD Million)]] ) - 1,  0)</f>
        <v>0.1850345984926447</v>
      </c>
      <c r="O11" s="68">
        <v>13833.2</v>
      </c>
      <c r="P11" s="88">
        <v>0.46800000000000003</v>
      </c>
      <c r="Q11" s="90">
        <v>-1.6</v>
      </c>
      <c r="R11" s="90">
        <v>-28</v>
      </c>
      <c r="S11" s="91">
        <v>77.3</v>
      </c>
      <c r="T11" s="93"/>
      <c r="U11" s="93"/>
      <c r="V11" s="93"/>
      <c r="W11" s="93"/>
    </row>
    <row r="12" spans="1:23" ht="51" x14ac:dyDescent="0.35">
      <c r="A12" s="3" t="s">
        <v>29</v>
      </c>
      <c r="B12" s="3" t="s">
        <v>82</v>
      </c>
      <c r="C12" s="76">
        <v>0.63</v>
      </c>
      <c r="D12" s="112">
        <v>1724</v>
      </c>
      <c r="E12" s="113">
        <v>1.4999999999999999E-2</v>
      </c>
      <c r="F12" s="120">
        <v>59456</v>
      </c>
      <c r="G12" s="115">
        <v>0.04</v>
      </c>
      <c r="H12" s="113">
        <v>2.4E-2</v>
      </c>
      <c r="I12" s="113">
        <v>4.1000000000000002E-2</v>
      </c>
      <c r="J12" s="121">
        <v>66075.509999999995</v>
      </c>
      <c r="K12" s="121">
        <v>3226.49</v>
      </c>
      <c r="L12" s="121">
        <v>27979.16</v>
      </c>
      <c r="M12" s="121">
        <v>24747.64</v>
      </c>
      <c r="N12" s="122">
        <f>IFERROR(  (Table2[[#This Row],[Exports (USD Million)]] / Table2[[#This Row],[Imports (USD Million)]] ) - 1,  0)</f>
        <v>0.13057891580772951</v>
      </c>
      <c r="O12" s="121">
        <v>28553.03</v>
      </c>
      <c r="P12" s="115">
        <v>0.438</v>
      </c>
      <c r="Q12" s="123">
        <v>4</v>
      </c>
      <c r="R12" s="123">
        <v>92.2</v>
      </c>
      <c r="S12" s="91">
        <v>76.2</v>
      </c>
      <c r="T12" s="93"/>
      <c r="U12" s="93"/>
      <c r="V12" s="94" t="s">
        <v>172</v>
      </c>
      <c r="W12" s="94" t="s">
        <v>173</v>
      </c>
    </row>
    <row r="13" spans="1:23" ht="113" customHeight="1" x14ac:dyDescent="0.35">
      <c r="A13" s="3" t="s">
        <v>32</v>
      </c>
      <c r="B13" s="3" t="s">
        <v>86</v>
      </c>
      <c r="C13" s="75">
        <v>6.8999999999999997E-4</v>
      </c>
      <c r="D13" s="69">
        <v>1713</v>
      </c>
      <c r="E13" s="87">
        <v>0.02</v>
      </c>
      <c r="F13" s="66">
        <v>50572</v>
      </c>
      <c r="G13" s="88">
        <v>2.9000000000000001E-2</v>
      </c>
      <c r="H13" s="87">
        <v>2.1999999999999999E-2</v>
      </c>
      <c r="I13" s="87">
        <v>0.03</v>
      </c>
      <c r="J13" s="68">
        <v>411000</v>
      </c>
      <c r="K13" s="68">
        <v>-1890</v>
      </c>
      <c r="L13" s="68">
        <v>49120</v>
      </c>
      <c r="M13" s="68">
        <v>51000</v>
      </c>
      <c r="N13" s="95">
        <f>IFERROR(  (Table2[[#This Row],[Exports (USD Million)]] / Table2[[#This Row],[Imports (USD Million)]] ) - 1,  0)</f>
        <v>-3.6862745098039218E-2</v>
      </c>
      <c r="O13" s="68">
        <v>9385</v>
      </c>
      <c r="P13" s="88">
        <v>0.51500000000000001</v>
      </c>
      <c r="Q13" s="90">
        <v>63</v>
      </c>
      <c r="R13" s="90">
        <v>91.2</v>
      </c>
      <c r="S13" s="91">
        <v>73.099999999999994</v>
      </c>
      <c r="T13" s="93"/>
      <c r="U13" s="93"/>
      <c r="V13" s="93"/>
      <c r="W13" s="93"/>
    </row>
    <row r="14" spans="1:23" ht="127.5" x14ac:dyDescent="0.35">
      <c r="A14" s="3" t="s">
        <v>94</v>
      </c>
      <c r="B14" s="3" t="s">
        <v>77</v>
      </c>
      <c r="C14" s="76">
        <v>0.7</v>
      </c>
      <c r="D14" s="112">
        <v>2140</v>
      </c>
      <c r="E14" s="113">
        <v>1.2500000000000001E-2</v>
      </c>
      <c r="F14" s="120">
        <v>55818</v>
      </c>
      <c r="G14" s="115">
        <v>6.6000000000000003E-2</v>
      </c>
      <c r="H14" s="113">
        <v>1.9E-2</v>
      </c>
      <c r="I14" s="113">
        <v>0.03</v>
      </c>
      <c r="J14" s="121">
        <v>117896</v>
      </c>
      <c r="K14" s="121">
        <v>499.02</v>
      </c>
      <c r="L14" s="121">
        <v>25180</v>
      </c>
      <c r="M14" s="121">
        <v>23016</v>
      </c>
      <c r="N14" s="122">
        <f>IFERROR(  (Table2[[#This Row],[Exports (USD Million)]] / Table2[[#This Row],[Imports (USD Million)]] ) - 1,  0)</f>
        <v>9.402155022592984E-2</v>
      </c>
      <c r="O14" s="121">
        <v>19052.150000000001</v>
      </c>
      <c r="P14" s="115">
        <v>1.08</v>
      </c>
      <c r="Q14" s="123">
        <v>47.1</v>
      </c>
      <c r="R14" s="123">
        <v>47.9</v>
      </c>
      <c r="S14" s="91">
        <v>72.400000000000006</v>
      </c>
      <c r="T14" s="94" t="s">
        <v>166</v>
      </c>
      <c r="U14" s="94" t="s">
        <v>165</v>
      </c>
      <c r="V14" s="94" t="s">
        <v>162</v>
      </c>
      <c r="W14" s="94" t="s">
        <v>163</v>
      </c>
    </row>
    <row r="15" spans="1:23" ht="76.5" x14ac:dyDescent="0.35">
      <c r="A15" s="3" t="s">
        <v>18</v>
      </c>
      <c r="B15" s="3" t="s">
        <v>67</v>
      </c>
      <c r="C15" s="76">
        <v>1.04</v>
      </c>
      <c r="D15" s="69">
        <v>4456</v>
      </c>
      <c r="E15" s="87">
        <v>-2E-3</v>
      </c>
      <c r="F15" s="66">
        <v>61909</v>
      </c>
      <c r="G15" s="88">
        <v>6.2E-2</v>
      </c>
      <c r="H15" s="87">
        <v>2.3E-2</v>
      </c>
      <c r="I15" s="87">
        <v>2.9000000000000001E-2</v>
      </c>
      <c r="J15" s="68">
        <v>401731.47</v>
      </c>
      <c r="K15" s="68">
        <v>21591.18</v>
      </c>
      <c r="L15" s="68">
        <v>138131.4</v>
      </c>
      <c r="M15" s="68">
        <v>116155.95</v>
      </c>
      <c r="N15" s="95">
        <f>IFERROR(  (Table2[[#This Row],[Exports (USD Million)]] / Table2[[#This Row],[Imports (USD Million)]] ) - 1,  0)</f>
        <v>0.18918918918918926</v>
      </c>
      <c r="O15" s="68">
        <v>-22221</v>
      </c>
      <c r="P15" s="88">
        <v>0.629</v>
      </c>
      <c r="Q15" s="90">
        <v>85.1</v>
      </c>
      <c r="R15" s="90">
        <v>-22.4</v>
      </c>
      <c r="S15" s="91">
        <v>72.099999999999994</v>
      </c>
      <c r="T15" s="93"/>
      <c r="U15" s="94" t="s">
        <v>115</v>
      </c>
      <c r="V15" s="94" t="s">
        <v>116</v>
      </c>
      <c r="W15" s="94" t="s">
        <v>117</v>
      </c>
    </row>
    <row r="16" spans="1:23" ht="25.5" x14ac:dyDescent="0.35">
      <c r="A16" s="3" t="s">
        <v>35</v>
      </c>
      <c r="B16" s="3" t="s">
        <v>89</v>
      </c>
      <c r="C16" s="76">
        <f>1/3.67</f>
        <v>0.27247956403269757</v>
      </c>
      <c r="D16" s="69">
        <v>504</v>
      </c>
      <c r="E16" s="87">
        <v>3.5999999999999997E-2</v>
      </c>
      <c r="F16" s="66">
        <v>75627</v>
      </c>
      <c r="G16" s="88">
        <v>2.9499999999999998E-2</v>
      </c>
      <c r="H16" s="87">
        <v>2.8899999999999999E-2</v>
      </c>
      <c r="I16" s="87">
        <v>4.3999999999999997E-2</v>
      </c>
      <c r="J16" s="68">
        <f>826*Table2[[#This Row],[Currency (to USD)]]</f>
        <v>225.06811989100819</v>
      </c>
      <c r="K16" s="68"/>
      <c r="L16" s="68"/>
      <c r="M16" s="68"/>
      <c r="N16" s="95">
        <f>IFERROR(  (Table2[[#This Row],[Exports (USD Million)]] / Table2[[#This Row],[Imports (USD Million)]] ) - 1,  0)</f>
        <v>0</v>
      </c>
      <c r="O16" s="68"/>
      <c r="P16" s="88">
        <v>0.32400000000000001</v>
      </c>
      <c r="Q16" s="90"/>
      <c r="R16" s="90"/>
      <c r="S16" s="91">
        <v>71.099999999999994</v>
      </c>
      <c r="T16" s="93"/>
      <c r="U16" s="93"/>
      <c r="V16" s="93"/>
      <c r="W16" s="93"/>
    </row>
    <row r="17" spans="1:23" ht="76.5" x14ac:dyDescent="0.35">
      <c r="A17" s="3" t="s">
        <v>25</v>
      </c>
      <c r="B17" s="3" t="s">
        <v>78</v>
      </c>
      <c r="C17" s="76">
        <v>1</v>
      </c>
      <c r="D17" s="69">
        <v>27361</v>
      </c>
      <c r="E17" s="87">
        <v>2.8000000000000001E-2</v>
      </c>
      <c r="F17" s="66">
        <v>73637</v>
      </c>
      <c r="G17" s="88">
        <v>0.04</v>
      </c>
      <c r="H17" s="87">
        <v>0.03</v>
      </c>
      <c r="I17" s="87">
        <v>4.4999999999999998E-2</v>
      </c>
      <c r="J17" s="61">
        <v>34865</v>
      </c>
      <c r="K17" s="68">
        <v>-98430</v>
      </c>
      <c r="L17" s="68">
        <v>267000</v>
      </c>
      <c r="M17" s="68">
        <v>365000</v>
      </c>
      <c r="N17" s="95">
        <f>IFERROR(  (Table2[[#This Row],[Exports (USD Million)]] / Table2[[#This Row],[Imports (USD Million)]] ) - 1,  0)</f>
        <v>-0.26849315068493151</v>
      </c>
      <c r="O17" s="89">
        <v>75589</v>
      </c>
      <c r="P17" s="88">
        <v>1.22</v>
      </c>
      <c r="Q17" s="90">
        <v>50.9</v>
      </c>
      <c r="R17" s="90">
        <v>67.8</v>
      </c>
      <c r="S17" s="91">
        <v>70.099999999999994</v>
      </c>
      <c r="T17" s="93"/>
      <c r="U17" s="94" t="s">
        <v>130</v>
      </c>
      <c r="V17" s="94" t="s">
        <v>114</v>
      </c>
      <c r="W17" s="94" t="s">
        <v>111</v>
      </c>
    </row>
    <row r="18" spans="1:23" x14ac:dyDescent="0.35">
      <c r="A18" s="3" t="s">
        <v>34</v>
      </c>
      <c r="B18" s="3" t="s">
        <v>88</v>
      </c>
      <c r="C18" s="76">
        <f>1/3.64</f>
        <v>0.27472527472527469</v>
      </c>
      <c r="D18" s="69">
        <v>213</v>
      </c>
      <c r="E18" s="87">
        <v>1.9E-2</v>
      </c>
      <c r="F18" s="66">
        <v>113157</v>
      </c>
      <c r="G18" s="88">
        <v>1E-3</v>
      </c>
      <c r="H18" s="87">
        <v>2.3999999999999998E-3</v>
      </c>
      <c r="I18" s="87">
        <v>5.0999999999999997E-2</v>
      </c>
      <c r="J18" s="68">
        <v>70031.990000000005</v>
      </c>
      <c r="K18" s="68">
        <v>5061.17</v>
      </c>
      <c r="L18" s="68">
        <v>8567.7800000000007</v>
      </c>
      <c r="M18" s="68">
        <v>3505.56</v>
      </c>
      <c r="N18" s="95">
        <f>IFERROR(  (Table2[[#This Row],[Exports (USD Million)]] / Table2[[#This Row],[Imports (USD Million)]] ) - 1,  0)</f>
        <v>1.4440545875694615</v>
      </c>
      <c r="O18" s="68">
        <v>218.88</v>
      </c>
      <c r="P18" s="88">
        <v>0.433</v>
      </c>
      <c r="Q18" s="90"/>
      <c r="R18" s="90"/>
      <c r="S18" s="91">
        <v>68.8</v>
      </c>
      <c r="T18" s="93"/>
      <c r="U18" s="93"/>
      <c r="V18" s="93"/>
      <c r="W18" s="93"/>
    </row>
    <row r="19" spans="1:23" ht="76.5" x14ac:dyDescent="0.35">
      <c r="A19" s="3" t="s">
        <v>19</v>
      </c>
      <c r="B19" s="3" t="s">
        <v>68</v>
      </c>
      <c r="C19" s="76">
        <v>1.26</v>
      </c>
      <c r="D19" s="69">
        <v>3340</v>
      </c>
      <c r="E19" s="87">
        <v>8.9999999999999993E-3</v>
      </c>
      <c r="F19" s="66">
        <v>54126</v>
      </c>
      <c r="G19" s="88">
        <v>4.3999999999999997E-2</v>
      </c>
      <c r="H19" s="87">
        <v>0.03</v>
      </c>
      <c r="I19" s="87">
        <v>4.4999999999999998E-2</v>
      </c>
      <c r="J19" s="68">
        <v>185835</v>
      </c>
      <c r="K19" s="68">
        <v>-3541.27</v>
      </c>
      <c r="L19" s="68">
        <v>87241.64</v>
      </c>
      <c r="M19" s="68">
        <v>90798.82</v>
      </c>
      <c r="N19" s="95">
        <f>IFERROR(  (Table2[[#This Row],[Exports (USD Million)]] / Table2[[#This Row],[Imports (USD Million)]] ) - 1,  0)</f>
        <v>-3.9176500311347784E-2</v>
      </c>
      <c r="O19" s="68">
        <v>-8299.85</v>
      </c>
      <c r="P19" s="88">
        <v>0.97599999999999998</v>
      </c>
      <c r="Q19" s="90">
        <v>-47</v>
      </c>
      <c r="R19" s="90">
        <v>-22</v>
      </c>
      <c r="S19" s="91">
        <v>68.599999999999994</v>
      </c>
      <c r="T19" s="94" t="s">
        <v>126</v>
      </c>
      <c r="U19" s="94" t="s">
        <v>127</v>
      </c>
      <c r="V19" s="94" t="s">
        <v>128</v>
      </c>
      <c r="W19" s="94" t="s">
        <v>129</v>
      </c>
    </row>
    <row r="20" spans="1:23" ht="63.75" x14ac:dyDescent="0.35">
      <c r="A20" s="3" t="s">
        <v>33</v>
      </c>
      <c r="B20" s="3" t="s">
        <v>87</v>
      </c>
      <c r="C20" s="76">
        <v>6.6E-3</v>
      </c>
      <c r="D20" s="69">
        <v>4213</v>
      </c>
      <c r="E20" s="87">
        <v>1E-3</v>
      </c>
      <c r="F20" s="66">
        <v>46268</v>
      </c>
      <c r="G20" s="88">
        <v>2.4E-2</v>
      </c>
      <c r="H20" s="87">
        <v>3.5999999999999997E-2</v>
      </c>
      <c r="I20" s="87">
        <v>5.0000000000000001E-3</v>
      </c>
      <c r="J20" s="68">
        <v>1240600</v>
      </c>
      <c r="K20" s="68">
        <v>-18216.45</v>
      </c>
      <c r="L20" s="68">
        <v>52698.944560000004</v>
      </c>
      <c r="M20" s="68">
        <v>71187.803669999994</v>
      </c>
      <c r="N20" s="95">
        <f>IFERROR(  (Table2[[#This Row],[Exports (USD Million)]] / Table2[[#This Row],[Imports (USD Million)]] ) - 1,  0)</f>
        <v>-0.25971947660736128</v>
      </c>
      <c r="O20" s="68">
        <v>20421.04</v>
      </c>
      <c r="P20" s="88">
        <v>2.5499999999999998</v>
      </c>
      <c r="Q20" s="90">
        <v>14</v>
      </c>
      <c r="R20" s="90">
        <v>35.200000000000003</v>
      </c>
      <c r="S20" s="91">
        <v>67.5</v>
      </c>
      <c r="T20" s="94" t="s">
        <v>119</v>
      </c>
      <c r="U20" s="94" t="s">
        <v>118</v>
      </c>
      <c r="V20" s="94" t="s">
        <v>120</v>
      </c>
      <c r="W20" s="94" t="s">
        <v>121</v>
      </c>
    </row>
    <row r="21" spans="1:23" ht="140.25" x14ac:dyDescent="0.35">
      <c r="A21" s="3" t="s">
        <v>138</v>
      </c>
      <c r="B21" s="3" t="s">
        <v>139</v>
      </c>
      <c r="C21" s="75">
        <f>1/16032</f>
        <v>6.2375249500997999E-5</v>
      </c>
      <c r="D21" s="112">
        <v>1371</v>
      </c>
      <c r="E21" s="113">
        <v>5.0299999999999997E-2</v>
      </c>
      <c r="F21" s="114">
        <v>13890</v>
      </c>
      <c r="G21" s="115">
        <v>4.9099999999999998E-2</v>
      </c>
      <c r="H21" s="116">
        <v>7.6E-3</v>
      </c>
      <c r="I21" s="116">
        <v>5.7500000000000002E-2</v>
      </c>
      <c r="J21" s="117">
        <v>156100</v>
      </c>
      <c r="K21" s="117">
        <v>3450</v>
      </c>
      <c r="L21" s="117">
        <v>21452</v>
      </c>
      <c r="M21" s="117">
        <v>18000</v>
      </c>
      <c r="N21" s="118">
        <f>IFERROR(  (Table2[[#This Row],[Exports (USD Million)]] / Table2[[#This Row],[Imports (USD Million)]] ) - 1,  0)</f>
        <v>0.19177777777777782</v>
      </c>
      <c r="O21" s="117">
        <v>15028</v>
      </c>
      <c r="P21" s="115">
        <v>0.39300000000000002</v>
      </c>
      <c r="Q21" s="119">
        <v>12.46</v>
      </c>
      <c r="R21" s="119">
        <v>127</v>
      </c>
      <c r="S21" s="91">
        <v>63.5</v>
      </c>
      <c r="T21" s="94" t="s">
        <v>157</v>
      </c>
      <c r="U21" s="94" t="s">
        <v>158</v>
      </c>
      <c r="V21" s="94" t="s">
        <v>155</v>
      </c>
      <c r="W21" s="94" t="s">
        <v>156</v>
      </c>
    </row>
    <row r="22" spans="1:23" x14ac:dyDescent="0.35">
      <c r="A22" s="3" t="s">
        <v>21</v>
      </c>
      <c r="B22" s="3" t="s">
        <v>71</v>
      </c>
      <c r="C22" s="76">
        <v>1.04</v>
      </c>
      <c r="D22" s="69">
        <v>1581</v>
      </c>
      <c r="E22" s="87">
        <v>3.2000000000000001E-2</v>
      </c>
      <c r="F22" s="66">
        <v>46357</v>
      </c>
      <c r="G22" s="88">
        <v>0.1061</v>
      </c>
      <c r="H22" s="87">
        <v>2.9000000000000001E-2</v>
      </c>
      <c r="I22" s="87">
        <v>2.9000000000000001E-2</v>
      </c>
      <c r="J22" s="68">
        <v>1079037.1000000001</v>
      </c>
      <c r="K22" s="68">
        <v>-4121.5</v>
      </c>
      <c r="L22" s="68">
        <v>31119.748680000001</v>
      </c>
      <c r="M22" s="68">
        <v>35432.58771</v>
      </c>
      <c r="N22" s="95">
        <f>IFERROR(  (Table2[[#This Row],[Exports (USD Million)]] / Table2[[#This Row],[Imports (USD Million)]] ) - 1,  0)</f>
        <v>-0.12171956124962346</v>
      </c>
      <c r="O22" s="68">
        <v>2474.9499999999998</v>
      </c>
      <c r="P22" s="88">
        <v>1.08</v>
      </c>
      <c r="Q22" s="90">
        <v>-5.0999999999999996</v>
      </c>
      <c r="R22" s="90">
        <v>85</v>
      </c>
      <c r="S22" s="91">
        <v>63.3</v>
      </c>
      <c r="T22" s="93"/>
      <c r="U22" s="93"/>
      <c r="V22" s="93"/>
      <c r="W22" s="93"/>
    </row>
    <row r="23" spans="1:23" ht="114.75" x14ac:dyDescent="0.35">
      <c r="A23" s="3" t="s">
        <v>20</v>
      </c>
      <c r="B23" s="3" t="s">
        <v>70</v>
      </c>
      <c r="C23" s="76">
        <v>1.04</v>
      </c>
      <c r="D23" s="69">
        <v>3031</v>
      </c>
      <c r="E23" s="87">
        <v>1.0999999999999999E-2</v>
      </c>
      <c r="F23" s="66">
        <v>55214</v>
      </c>
      <c r="G23" s="88">
        <v>7.2999999999999995E-2</v>
      </c>
      <c r="H23" s="57">
        <v>1.4E-2</v>
      </c>
      <c r="I23" s="57">
        <v>2.9000000000000001E-2</v>
      </c>
      <c r="J23" s="61">
        <v>305477.40000000002</v>
      </c>
      <c r="K23" s="68">
        <v>-3905</v>
      </c>
      <c r="L23" s="68">
        <v>54682.239999999998</v>
      </c>
      <c r="M23" s="68">
        <v>58768.63</v>
      </c>
      <c r="N23" s="95">
        <f>IFERROR(  (Table2[[#This Row],[Exports (USD Million)]] / Table2[[#This Row],[Imports (USD Million)]] ) - 1,  0)</f>
        <v>-6.9533524943494518E-2</v>
      </c>
      <c r="O23" s="68">
        <v>4819.87</v>
      </c>
      <c r="P23" s="88">
        <v>1.1100000000000001</v>
      </c>
      <c r="Q23" s="90">
        <v>95.3</v>
      </c>
      <c r="R23" s="90">
        <v>92</v>
      </c>
      <c r="S23" s="91">
        <v>62.5</v>
      </c>
      <c r="T23" s="94" t="s">
        <v>131</v>
      </c>
      <c r="U23" s="93"/>
      <c r="V23" s="94" t="s">
        <v>133</v>
      </c>
      <c r="W23" s="94" t="s">
        <v>132</v>
      </c>
    </row>
    <row r="24" spans="1:23" ht="114.75" x14ac:dyDescent="0.35">
      <c r="A24" s="3" t="s">
        <v>26</v>
      </c>
      <c r="B24" s="3" t="s">
        <v>79</v>
      </c>
      <c r="C24" s="76">
        <f>1/20.26</f>
        <v>4.9358341559723587E-2</v>
      </c>
      <c r="D24" s="112">
        <v>1789</v>
      </c>
      <c r="E24" s="113">
        <v>1.2999999999999999E-2</v>
      </c>
      <c r="F24" s="120">
        <v>22367</v>
      </c>
      <c r="G24" s="115">
        <v>2.4E-2</v>
      </c>
      <c r="H24" s="113">
        <v>3.5900000000000001E-2</v>
      </c>
      <c r="I24" s="113">
        <v>9.5000000000000001E-2</v>
      </c>
      <c r="J24" s="121">
        <v>232056</v>
      </c>
      <c r="K24" s="121">
        <v>2567</v>
      </c>
      <c r="L24" s="121">
        <v>51687</v>
      </c>
      <c r="M24" s="121">
        <v>49120</v>
      </c>
      <c r="N24" s="122">
        <f>IFERROR(  (Table2[[#This Row],[Exports (USD Million)]] / Table2[[#This Row],[Imports (USD Million)]] ) - 1,  0)</f>
        <v>5.2259771986970627E-2</v>
      </c>
      <c r="O24" s="121">
        <v>3217</v>
      </c>
      <c r="P24" s="115">
        <v>0.497</v>
      </c>
      <c r="Q24" s="123">
        <v>51.7</v>
      </c>
      <c r="R24" s="123">
        <v>46.7</v>
      </c>
      <c r="S24" s="92">
        <v>62</v>
      </c>
      <c r="T24" s="94" t="s">
        <v>164</v>
      </c>
      <c r="U24" s="94" t="s">
        <v>161</v>
      </c>
      <c r="V24" s="94" t="s">
        <v>160</v>
      </c>
      <c r="W24" s="94" t="s">
        <v>159</v>
      </c>
    </row>
    <row r="25" spans="1:23" ht="63.75" x14ac:dyDescent="0.35">
      <c r="A25" s="3" t="s">
        <v>36</v>
      </c>
      <c r="B25" s="3" t="s">
        <v>75</v>
      </c>
      <c r="C25" s="76">
        <v>1.04</v>
      </c>
      <c r="D25" s="69">
        <v>2255</v>
      </c>
      <c r="E25" s="87">
        <v>5.0000000000000001E-3</v>
      </c>
      <c r="F25" s="66">
        <v>52700</v>
      </c>
      <c r="G25" s="88">
        <v>6.2E-2</v>
      </c>
      <c r="H25" s="87">
        <v>1.4999999999999999E-2</v>
      </c>
      <c r="I25" s="87">
        <v>2.9000000000000001E-2</v>
      </c>
      <c r="J25" s="68">
        <v>306329.2</v>
      </c>
      <c r="K25" s="68">
        <v>5980</v>
      </c>
      <c r="L25" s="68">
        <v>51625.56</v>
      </c>
      <c r="M25" s="68">
        <v>45366.75</v>
      </c>
      <c r="N25" s="95">
        <f>IFERROR(  (Table2[[#This Row],[Exports (USD Million)]] / Table2[[#This Row],[Imports (USD Million)]] ) - 1,  0)</f>
        <v>0.13796029030071577</v>
      </c>
      <c r="O25" s="68">
        <v>4777.12</v>
      </c>
      <c r="P25" s="88">
        <v>1.35</v>
      </c>
      <c r="Q25" s="90">
        <v>86.8</v>
      </c>
      <c r="R25" s="90">
        <v>98.2</v>
      </c>
      <c r="S25" s="91">
        <v>60.1</v>
      </c>
      <c r="T25" s="94" t="s">
        <v>137</v>
      </c>
      <c r="U25" s="94" t="s">
        <v>134</v>
      </c>
      <c r="V25" s="94" t="s">
        <v>135</v>
      </c>
      <c r="W25" s="94" t="s">
        <v>136</v>
      </c>
    </row>
    <row r="26" spans="1:23" x14ac:dyDescent="0.35">
      <c r="A26" s="3" t="s">
        <v>37</v>
      </c>
      <c r="B26" s="3" t="s">
        <v>84</v>
      </c>
      <c r="C26" s="76">
        <f>1/33.77</f>
        <v>2.9612081729345572E-2</v>
      </c>
      <c r="D26" s="69">
        <v>515</v>
      </c>
      <c r="E26" s="87">
        <v>2.5000000000000001E-2</v>
      </c>
      <c r="F26" s="66">
        <v>21113</v>
      </c>
      <c r="G26" s="88">
        <v>8.8000000000000005E-3</v>
      </c>
      <c r="H26" s="57">
        <v>1.32E-2</v>
      </c>
      <c r="I26" s="57">
        <v>2.2499999999999999E-2</v>
      </c>
      <c r="J26" s="61">
        <v>242084</v>
      </c>
      <c r="K26" s="68">
        <v>-10.6</v>
      </c>
      <c r="L26" s="68">
        <v>24766</v>
      </c>
      <c r="M26" s="68">
        <v>24777</v>
      </c>
      <c r="N26" s="95">
        <f>IFERROR(  (Table2[[#This Row],[Exports (USD Million)]] / Table2[[#This Row],[Imports (USD Million)]] ) - 1,  0)</f>
        <v>-4.4396012430880649E-4</v>
      </c>
      <c r="O26" s="68">
        <v>1976.18</v>
      </c>
      <c r="P26" s="88">
        <v>0.61899999999999999</v>
      </c>
      <c r="Q26" s="90">
        <v>48.5</v>
      </c>
      <c r="R26" s="90">
        <v>59</v>
      </c>
      <c r="S26" s="91">
        <v>59</v>
      </c>
      <c r="T26" s="93"/>
      <c r="U26" s="93"/>
      <c r="V26" s="93"/>
      <c r="W26" s="93"/>
    </row>
    <row r="27" spans="1:23" x14ac:dyDescent="0.35">
      <c r="A27" s="3" t="s">
        <v>27</v>
      </c>
      <c r="B27" s="3" t="s">
        <v>80</v>
      </c>
      <c r="C27" s="76">
        <f>1/5.71</f>
        <v>0.17513134851138354</v>
      </c>
      <c r="D27" s="69">
        <v>2174</v>
      </c>
      <c r="E27" s="87">
        <v>2.9000000000000001E-2</v>
      </c>
      <c r="F27" s="66">
        <v>18554</v>
      </c>
      <c r="G27" s="88">
        <v>6.2E-2</v>
      </c>
      <c r="H27" s="87">
        <v>4.5600000000000002E-2</v>
      </c>
      <c r="I27" s="87">
        <v>0.13250000000000001</v>
      </c>
      <c r="J27" s="68">
        <v>329730</v>
      </c>
      <c r="K27" s="68">
        <v>2164</v>
      </c>
      <c r="L27" s="68">
        <v>25180</v>
      </c>
      <c r="M27" s="68">
        <v>23016</v>
      </c>
      <c r="N27" s="95">
        <f>IFERROR(  (Table2[[#This Row],[Exports (USD Million)]] / Table2[[#This Row],[Imports (USD Million)]] ) - 1,  0)</f>
        <v>9.402155022592984E-2</v>
      </c>
      <c r="O27" s="68">
        <v>2800</v>
      </c>
      <c r="P27" s="88">
        <v>0.8468</v>
      </c>
      <c r="Q27" s="90">
        <v>49.1</v>
      </c>
      <c r="R27" s="90"/>
      <c r="S27" s="91">
        <v>53.2</v>
      </c>
      <c r="T27" s="93"/>
      <c r="U27" s="94"/>
      <c r="V27" s="94"/>
      <c r="W27" s="94"/>
    </row>
    <row r="28" spans="1:23" ht="18" customHeight="1" x14ac:dyDescent="0.35">
      <c r="A28" s="3" t="s">
        <v>31</v>
      </c>
      <c r="B28" s="3" t="s">
        <v>85</v>
      </c>
      <c r="C28" s="76">
        <v>1.2E-2</v>
      </c>
      <c r="D28" s="69">
        <v>3550</v>
      </c>
      <c r="E28" s="87">
        <v>6.4000000000000001E-2</v>
      </c>
      <c r="F28" s="66">
        <v>9172</v>
      </c>
      <c r="G28" s="88">
        <v>8.3000000000000004E-2</v>
      </c>
      <c r="H28" s="87">
        <v>4.3099999999999999E-2</v>
      </c>
      <c r="I28" s="87">
        <v>6.25E-2</v>
      </c>
      <c r="J28" s="68">
        <v>638260</v>
      </c>
      <c r="K28" s="68">
        <v>-22990</v>
      </c>
      <c r="L28" s="68">
        <v>36430</v>
      </c>
      <c r="M28" s="68">
        <v>59420</v>
      </c>
      <c r="N28" s="95">
        <f>IFERROR(  (Table2[[#This Row],[Exports (USD Million)]] / Table2[[#This Row],[Imports (USD Million)]] ) - 1,  0)</f>
        <v>-0.3869067653988556</v>
      </c>
      <c r="O28" s="68">
        <v>5373</v>
      </c>
      <c r="P28" s="88">
        <v>0.81589999999999996</v>
      </c>
      <c r="Q28" s="90">
        <v>120</v>
      </c>
      <c r="R28" s="90">
        <v>93.7</v>
      </c>
      <c r="S28" s="91">
        <v>52.9</v>
      </c>
      <c r="T28" s="94" t="s">
        <v>125</v>
      </c>
      <c r="U28" s="94" t="s">
        <v>122</v>
      </c>
      <c r="V28" s="94" t="s">
        <v>123</v>
      </c>
      <c r="W28" s="94" t="s">
        <v>124</v>
      </c>
    </row>
    <row r="29" spans="1:23" ht="63.75" x14ac:dyDescent="0.35">
      <c r="A29" s="3" t="s">
        <v>28</v>
      </c>
      <c r="B29" s="3" t="s">
        <v>81</v>
      </c>
      <c r="C29" s="76">
        <v>0.14000000000000001</v>
      </c>
      <c r="D29" s="69">
        <v>17795</v>
      </c>
      <c r="E29" s="87">
        <v>0.05</v>
      </c>
      <c r="F29" s="66">
        <v>22135</v>
      </c>
      <c r="G29" s="88">
        <v>5.0999999999999997E-2</v>
      </c>
      <c r="H29" s="87">
        <v>5.0000000000000001E-3</v>
      </c>
      <c r="I29" s="57">
        <v>3.1E-2</v>
      </c>
      <c r="J29" s="61">
        <v>3209000</v>
      </c>
      <c r="K29" s="68">
        <v>105000</v>
      </c>
      <c r="L29" s="68">
        <v>336000</v>
      </c>
      <c r="M29" s="68">
        <v>231000</v>
      </c>
      <c r="N29" s="95">
        <f>IFERROR(  (Table2[[#This Row],[Exports (USD Million)]] / Table2[[#This Row],[Imports (USD Million)]] ) - 1,  0)</f>
        <v>0.45454545454545459</v>
      </c>
      <c r="O29" s="68">
        <v>13400</v>
      </c>
      <c r="P29" s="88">
        <v>0.83399999999999996</v>
      </c>
      <c r="Q29" s="90">
        <v>49.1</v>
      </c>
      <c r="R29" s="90">
        <v>86.4</v>
      </c>
      <c r="S29" s="91">
        <v>48.5</v>
      </c>
      <c r="T29" s="93"/>
      <c r="U29" s="93"/>
      <c r="V29" s="94" t="s">
        <v>112</v>
      </c>
      <c r="W29" s="94" t="s">
        <v>113</v>
      </c>
    </row>
    <row r="30" spans="1:23" ht="13.15" x14ac:dyDescent="0.35">
      <c r="A30" s="3" t="s">
        <v>154</v>
      </c>
      <c r="B30" s="3"/>
      <c r="C30" s="3"/>
      <c r="D30" s="108">
        <f>SUBTOTAL(101,Table2[GDP (USD billion)])</f>
        <v>3235.6482501467999</v>
      </c>
      <c r="E30" s="83">
        <f>SUBTOTAL(101,Table2[Full Year GDP  Growth])</f>
        <v>1.9500000000000003E-2</v>
      </c>
      <c r="F30" s="81">
        <f>SUBTOTAL(101,Table2[GDP per capita PPP (USD)])</f>
        <v>59009.24</v>
      </c>
      <c r="G30" s="84">
        <f>SUBTOTAL(101,Table2[Unemployment])</f>
        <v>4.6900000000000004E-2</v>
      </c>
      <c r="H30" s="83">
        <f>SUBTOTAL(101,Table2[Inflation rate])</f>
        <v>2.1873076923076922E-2</v>
      </c>
      <c r="I30" s="85">
        <f>SUBTOTAL(101,Table2[Interest Rate])</f>
        <v>3.8953846153846151E-2</v>
      </c>
      <c r="J30" s="86">
        <f>SUBTOTAL(101,Table2[Foreign Exchange Reserves (USD Million)])</f>
        <v>424954.63569691894</v>
      </c>
      <c r="K30" s="86">
        <f>SUBTOTAL(101,Table2[Balance Trade (USD Million)])</f>
        <v>1439.23108</v>
      </c>
      <c r="L30" s="81"/>
      <c r="M30" s="81"/>
      <c r="N30" s="110">
        <f>SUBTOTAL(101,Table2[Balance Trade %])</f>
        <v>0.13770282226298447</v>
      </c>
      <c r="O30" s="86">
        <f>SUBTOTAL(101,Table2[Foreign Direct Investment (USD Million)])</f>
        <v>49478.041199999992</v>
      </c>
      <c r="P30" s="84">
        <f>SUBTOTAL(101,Table2[Debt to GDP])</f>
        <v>0.78894799999999987</v>
      </c>
      <c r="Q30" s="82"/>
      <c r="R30" s="82"/>
      <c r="S30" s="64">
        <f>SUBTOTAL(101,Table2[Economic Freedom])</f>
        <v>69.442307692307679</v>
      </c>
      <c r="T30" s="51"/>
      <c r="U30" s="93"/>
      <c r="V30" s="93"/>
      <c r="W30" s="93">
        <f>SUBTOTAL(103,Table2[Debilidades])</f>
        <v>13</v>
      </c>
    </row>
    <row r="32" spans="1:23" x14ac:dyDescent="0.35">
      <c r="E32" s="70"/>
      <c r="O32" s="74"/>
    </row>
    <row r="37" spans="11:11" x14ac:dyDescent="0.35">
      <c r="K37" s="96"/>
    </row>
  </sheetData>
  <phoneticPr fontId="10" type="noConversion"/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A9999"/>
    <outlinePr summaryBelow="0" summaryRight="0"/>
  </sheetPr>
  <dimension ref="A1:AA992"/>
  <sheetViews>
    <sheetView zoomScale="160" zoomScaleNormal="160" workbookViewId="0">
      <selection activeCell="F19" sqref="F19"/>
    </sheetView>
  </sheetViews>
  <sheetFormatPr baseColWidth="10" defaultColWidth="12.6640625" defaultRowHeight="15" customHeight="1" x14ac:dyDescent="0.35"/>
  <cols>
    <col min="1" max="1" width="0.33203125" customWidth="1"/>
    <col min="2" max="2" width="2.796875" customWidth="1"/>
    <col min="3" max="3" width="23.33203125" customWidth="1"/>
    <col min="4" max="4" width="14.1328125" customWidth="1"/>
    <col min="5" max="5" width="15.796875" customWidth="1"/>
    <col min="6" max="6" width="17.1328125" customWidth="1"/>
    <col min="7" max="7" width="16.1328125" customWidth="1"/>
    <col min="8" max="10" width="14.1328125" customWidth="1"/>
    <col min="11" max="11" width="12.46484375" customWidth="1"/>
    <col min="12" max="13" width="13" customWidth="1"/>
    <col min="14" max="27" width="12.46484375" customWidth="1"/>
  </cols>
  <sheetData>
    <row r="1" spans="1:27" ht="1.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</row>
    <row r="2" spans="1:27" ht="39" customHeight="1" x14ac:dyDescent="0.35">
      <c r="A2" s="1"/>
      <c r="B2" s="128"/>
      <c r="C2" s="129"/>
      <c r="D2" s="129"/>
      <c r="E2" s="130" t="s">
        <v>0</v>
      </c>
      <c r="F2" s="131"/>
      <c r="G2" s="131"/>
      <c r="H2" s="131"/>
      <c r="I2" s="131"/>
      <c r="J2" s="132"/>
      <c r="K2" s="133" t="s">
        <v>1</v>
      </c>
      <c r="L2" s="131"/>
      <c r="M2" s="13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3.15" x14ac:dyDescent="0.35">
      <c r="A3" s="1"/>
      <c r="B3" s="134" t="s">
        <v>2</v>
      </c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6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75" customHeight="1" x14ac:dyDescent="0.35">
      <c r="A4" s="1"/>
      <c r="B4" s="140" t="s">
        <v>14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46.5" customHeight="1" x14ac:dyDescent="0.35">
      <c r="A5" s="1"/>
      <c r="B5" s="4"/>
      <c r="C5" s="4" t="s">
        <v>15</v>
      </c>
      <c r="D5" s="6" t="s">
        <v>16</v>
      </c>
      <c r="E5" s="6" t="s">
        <v>4</v>
      </c>
      <c r="F5" s="6" t="s">
        <v>5</v>
      </c>
      <c r="G5" s="7" t="s">
        <v>6</v>
      </c>
      <c r="H5" s="4" t="s">
        <v>7</v>
      </c>
      <c r="I5" s="4" t="s">
        <v>8</v>
      </c>
      <c r="J5" s="5" t="s">
        <v>9</v>
      </c>
      <c r="K5" s="6" t="s">
        <v>10</v>
      </c>
      <c r="L5" s="6" t="s">
        <v>11</v>
      </c>
      <c r="M5" s="8" t="s">
        <v>12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33" customHeight="1" x14ac:dyDescent="0.35">
      <c r="A6" s="1"/>
      <c r="B6" s="9">
        <v>1</v>
      </c>
      <c r="C6" s="10"/>
      <c r="D6" s="10" t="s">
        <v>17</v>
      </c>
      <c r="E6" s="11"/>
      <c r="F6" s="12"/>
      <c r="G6" s="12"/>
      <c r="H6" s="13"/>
      <c r="I6" s="13"/>
      <c r="J6" s="13" t="str">
        <f t="shared" ref="J6:J30" si="0">IF(G6="","",I6-H6)</f>
        <v/>
      </c>
      <c r="K6" s="14" t="str">
        <f t="shared" ref="K6:K30" si="1">IF(G6="","",IFERROR(I6/H6-1,"0%"))</f>
        <v/>
      </c>
      <c r="L6" s="15" t="str">
        <f t="shared" ref="L6:L30" si="2">IFERROR(IF(I6="","",I6/$I$32),"")</f>
        <v/>
      </c>
      <c r="M6" s="16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5.75" customHeight="1" x14ac:dyDescent="0.35">
      <c r="A7" s="1"/>
      <c r="B7" s="9">
        <v>2</v>
      </c>
      <c r="C7" s="10"/>
      <c r="D7" s="10"/>
      <c r="E7" s="11"/>
      <c r="F7" s="12"/>
      <c r="G7" s="12"/>
      <c r="H7" s="13" t="str">
        <f t="shared" ref="H7:H30" si="3">IF(G7="","",E7*F7)</f>
        <v/>
      </c>
      <c r="I7" s="13" t="str">
        <f t="shared" ref="I7:I30" si="4">IF(G7="","",E7*G7)</f>
        <v/>
      </c>
      <c r="J7" s="13" t="str">
        <f t="shared" si="0"/>
        <v/>
      </c>
      <c r="K7" s="14" t="str">
        <f t="shared" si="1"/>
        <v/>
      </c>
      <c r="L7" s="15" t="str">
        <f t="shared" si="2"/>
        <v/>
      </c>
      <c r="M7" s="16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5.75" customHeight="1" x14ac:dyDescent="0.35">
      <c r="A8" s="1"/>
      <c r="B8" s="9">
        <v>3</v>
      </c>
      <c r="C8" s="10"/>
      <c r="D8" s="10"/>
      <c r="E8" s="11"/>
      <c r="F8" s="12"/>
      <c r="G8" s="12"/>
      <c r="H8" s="13" t="str">
        <f t="shared" si="3"/>
        <v/>
      </c>
      <c r="I8" s="13" t="str">
        <f t="shared" si="4"/>
        <v/>
      </c>
      <c r="J8" s="13" t="str">
        <f t="shared" si="0"/>
        <v/>
      </c>
      <c r="K8" s="14" t="str">
        <f t="shared" si="1"/>
        <v/>
      </c>
      <c r="L8" s="15" t="str">
        <f t="shared" si="2"/>
        <v/>
      </c>
      <c r="M8" s="16"/>
      <c r="N8" s="17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5.75" customHeight="1" x14ac:dyDescent="0.35">
      <c r="A9" s="1"/>
      <c r="B9" s="9">
        <v>4</v>
      </c>
      <c r="C9" s="10"/>
      <c r="D9" s="10"/>
      <c r="E9" s="11"/>
      <c r="F9" s="12"/>
      <c r="G9" s="12"/>
      <c r="H9" s="13" t="str">
        <f t="shared" si="3"/>
        <v/>
      </c>
      <c r="I9" s="13" t="str">
        <f t="shared" si="4"/>
        <v/>
      </c>
      <c r="J9" s="13" t="str">
        <f t="shared" si="0"/>
        <v/>
      </c>
      <c r="K9" s="14" t="str">
        <f t="shared" si="1"/>
        <v/>
      </c>
      <c r="L9" s="15" t="str">
        <f t="shared" si="2"/>
        <v/>
      </c>
      <c r="M9" s="16"/>
      <c r="N9" s="17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5.75" customHeight="1" x14ac:dyDescent="0.35">
      <c r="A10" s="1"/>
      <c r="B10" s="9">
        <v>5</v>
      </c>
      <c r="C10" s="10"/>
      <c r="D10" s="10"/>
      <c r="E10" s="11"/>
      <c r="F10" s="12"/>
      <c r="G10" s="12"/>
      <c r="H10" s="13" t="str">
        <f t="shared" si="3"/>
        <v/>
      </c>
      <c r="I10" s="13" t="str">
        <f t="shared" si="4"/>
        <v/>
      </c>
      <c r="J10" s="13" t="str">
        <f t="shared" si="0"/>
        <v/>
      </c>
      <c r="K10" s="14" t="str">
        <f t="shared" si="1"/>
        <v/>
      </c>
      <c r="L10" s="15" t="str">
        <f t="shared" si="2"/>
        <v/>
      </c>
      <c r="M10" s="16"/>
      <c r="N10" s="17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5.75" customHeight="1" x14ac:dyDescent="0.35">
      <c r="A11" s="1"/>
      <c r="B11" s="9">
        <v>6</v>
      </c>
      <c r="C11" s="10"/>
      <c r="D11" s="10"/>
      <c r="E11" s="11"/>
      <c r="F11" s="12"/>
      <c r="G11" s="12"/>
      <c r="H11" s="13" t="str">
        <f t="shared" si="3"/>
        <v/>
      </c>
      <c r="I11" s="13" t="str">
        <f t="shared" si="4"/>
        <v/>
      </c>
      <c r="J11" s="13" t="str">
        <f t="shared" si="0"/>
        <v/>
      </c>
      <c r="K11" s="14" t="str">
        <f t="shared" si="1"/>
        <v/>
      </c>
      <c r="L11" s="15" t="str">
        <f t="shared" si="2"/>
        <v/>
      </c>
      <c r="M11" s="16"/>
      <c r="N11" s="17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5.75" customHeight="1" x14ac:dyDescent="0.35">
      <c r="A12" s="1"/>
      <c r="B12" s="9">
        <v>7</v>
      </c>
      <c r="C12" s="10"/>
      <c r="D12" s="10"/>
      <c r="E12" s="11"/>
      <c r="F12" s="12"/>
      <c r="G12" s="12"/>
      <c r="H12" s="13" t="str">
        <f t="shared" si="3"/>
        <v/>
      </c>
      <c r="I12" s="13" t="str">
        <f t="shared" si="4"/>
        <v/>
      </c>
      <c r="J12" s="13" t="str">
        <f t="shared" si="0"/>
        <v/>
      </c>
      <c r="K12" s="14" t="str">
        <f t="shared" si="1"/>
        <v/>
      </c>
      <c r="L12" s="15" t="str">
        <f t="shared" si="2"/>
        <v/>
      </c>
      <c r="M12" s="16"/>
      <c r="N12" s="17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5.75" customHeight="1" x14ac:dyDescent="0.35">
      <c r="A13" s="1"/>
      <c r="B13" s="9">
        <v>8</v>
      </c>
      <c r="C13" s="10"/>
      <c r="D13" s="10"/>
      <c r="E13" s="11"/>
      <c r="F13" s="12"/>
      <c r="G13" s="12"/>
      <c r="H13" s="13" t="str">
        <f t="shared" si="3"/>
        <v/>
      </c>
      <c r="I13" s="13" t="str">
        <f t="shared" si="4"/>
        <v/>
      </c>
      <c r="J13" s="13" t="str">
        <f t="shared" si="0"/>
        <v/>
      </c>
      <c r="K13" s="14" t="str">
        <f t="shared" si="1"/>
        <v/>
      </c>
      <c r="L13" s="15" t="str">
        <f t="shared" si="2"/>
        <v/>
      </c>
      <c r="M13" s="16"/>
      <c r="N13" s="17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5.75" customHeight="1" x14ac:dyDescent="0.35">
      <c r="A14" s="1"/>
      <c r="B14" s="9">
        <v>9</v>
      </c>
      <c r="C14" s="10"/>
      <c r="D14" s="10"/>
      <c r="E14" s="11"/>
      <c r="F14" s="12"/>
      <c r="G14" s="12"/>
      <c r="H14" s="13" t="str">
        <f t="shared" si="3"/>
        <v/>
      </c>
      <c r="I14" s="13" t="str">
        <f t="shared" si="4"/>
        <v/>
      </c>
      <c r="J14" s="13" t="str">
        <f t="shared" si="0"/>
        <v/>
      </c>
      <c r="K14" s="14" t="str">
        <f t="shared" si="1"/>
        <v/>
      </c>
      <c r="L14" s="15" t="str">
        <f t="shared" si="2"/>
        <v/>
      </c>
      <c r="M14" s="16"/>
      <c r="N14" s="1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5.75" customHeight="1" x14ac:dyDescent="0.35">
      <c r="A15" s="1"/>
      <c r="B15" s="9">
        <v>10</v>
      </c>
      <c r="C15" s="10"/>
      <c r="D15" s="10"/>
      <c r="E15" s="11"/>
      <c r="F15" s="12"/>
      <c r="G15" s="12"/>
      <c r="H15" s="13" t="str">
        <f t="shared" si="3"/>
        <v/>
      </c>
      <c r="I15" s="13" t="str">
        <f t="shared" si="4"/>
        <v/>
      </c>
      <c r="J15" s="13" t="str">
        <f t="shared" si="0"/>
        <v/>
      </c>
      <c r="K15" s="14" t="str">
        <f t="shared" si="1"/>
        <v/>
      </c>
      <c r="L15" s="15" t="str">
        <f t="shared" si="2"/>
        <v/>
      </c>
      <c r="M15" s="16"/>
      <c r="N15" s="1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 customHeight="1" x14ac:dyDescent="0.35">
      <c r="A16" s="1"/>
      <c r="B16" s="9">
        <v>11</v>
      </c>
      <c r="C16" s="10"/>
      <c r="D16" s="10"/>
      <c r="E16" s="11"/>
      <c r="F16" s="12"/>
      <c r="G16" s="12"/>
      <c r="H16" s="13" t="str">
        <f t="shared" si="3"/>
        <v/>
      </c>
      <c r="I16" s="13" t="str">
        <f t="shared" si="4"/>
        <v/>
      </c>
      <c r="J16" s="13" t="str">
        <f t="shared" si="0"/>
        <v/>
      </c>
      <c r="K16" s="14" t="str">
        <f t="shared" si="1"/>
        <v/>
      </c>
      <c r="L16" s="15" t="str">
        <f t="shared" si="2"/>
        <v/>
      </c>
      <c r="M16" s="16"/>
      <c r="N16" s="1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5.75" customHeight="1" x14ac:dyDescent="0.35">
      <c r="A17" s="1"/>
      <c r="B17" s="9">
        <v>12</v>
      </c>
      <c r="C17" s="10"/>
      <c r="D17" s="10"/>
      <c r="E17" s="11"/>
      <c r="F17" s="12"/>
      <c r="G17" s="12"/>
      <c r="H17" s="13" t="str">
        <f t="shared" si="3"/>
        <v/>
      </c>
      <c r="I17" s="13" t="str">
        <f t="shared" si="4"/>
        <v/>
      </c>
      <c r="J17" s="13" t="str">
        <f t="shared" si="0"/>
        <v/>
      </c>
      <c r="K17" s="14" t="str">
        <f t="shared" si="1"/>
        <v/>
      </c>
      <c r="L17" s="15" t="str">
        <f t="shared" si="2"/>
        <v/>
      </c>
      <c r="M17" s="16"/>
      <c r="N17" s="17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5.75" customHeight="1" x14ac:dyDescent="0.35">
      <c r="A18" s="1"/>
      <c r="B18" s="9">
        <v>13</v>
      </c>
      <c r="C18" s="10"/>
      <c r="D18" s="10"/>
      <c r="E18" s="11"/>
      <c r="F18" s="12"/>
      <c r="G18" s="12"/>
      <c r="H18" s="13" t="str">
        <f t="shared" si="3"/>
        <v/>
      </c>
      <c r="I18" s="13" t="str">
        <f t="shared" si="4"/>
        <v/>
      </c>
      <c r="J18" s="13" t="str">
        <f t="shared" si="0"/>
        <v/>
      </c>
      <c r="K18" s="14" t="str">
        <f t="shared" si="1"/>
        <v/>
      </c>
      <c r="L18" s="15" t="str">
        <f t="shared" si="2"/>
        <v/>
      </c>
      <c r="M18" s="16"/>
      <c r="N18" s="17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5.75" customHeight="1" x14ac:dyDescent="0.35">
      <c r="A19" s="1"/>
      <c r="B19" s="9">
        <v>14</v>
      </c>
      <c r="C19" s="10"/>
      <c r="D19" s="10"/>
      <c r="E19" s="11"/>
      <c r="F19" s="12"/>
      <c r="G19" s="12"/>
      <c r="H19" s="13" t="str">
        <f t="shared" si="3"/>
        <v/>
      </c>
      <c r="I19" s="13" t="str">
        <f t="shared" si="4"/>
        <v/>
      </c>
      <c r="J19" s="13" t="str">
        <f t="shared" si="0"/>
        <v/>
      </c>
      <c r="K19" s="14" t="str">
        <f t="shared" si="1"/>
        <v/>
      </c>
      <c r="L19" s="15" t="str">
        <f t="shared" si="2"/>
        <v/>
      </c>
      <c r="M19" s="16"/>
      <c r="N19" s="17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5.75" customHeight="1" x14ac:dyDescent="0.35">
      <c r="A20" s="1"/>
      <c r="B20" s="9">
        <v>15</v>
      </c>
      <c r="C20" s="10"/>
      <c r="D20" s="10"/>
      <c r="E20" s="11"/>
      <c r="F20" s="12"/>
      <c r="G20" s="12"/>
      <c r="H20" s="13" t="str">
        <f t="shared" si="3"/>
        <v/>
      </c>
      <c r="I20" s="13" t="str">
        <f t="shared" si="4"/>
        <v/>
      </c>
      <c r="J20" s="13" t="str">
        <f t="shared" si="0"/>
        <v/>
      </c>
      <c r="K20" s="14" t="str">
        <f t="shared" si="1"/>
        <v/>
      </c>
      <c r="L20" s="15" t="str">
        <f t="shared" si="2"/>
        <v/>
      </c>
      <c r="M20" s="16"/>
      <c r="N20" s="17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5.75" customHeight="1" x14ac:dyDescent="0.35">
      <c r="A21" s="1"/>
      <c r="B21" s="9">
        <v>16</v>
      </c>
      <c r="C21" s="10"/>
      <c r="D21" s="10"/>
      <c r="E21" s="11"/>
      <c r="F21" s="12"/>
      <c r="G21" s="12"/>
      <c r="H21" s="13" t="str">
        <f t="shared" si="3"/>
        <v/>
      </c>
      <c r="I21" s="13" t="str">
        <f t="shared" si="4"/>
        <v/>
      </c>
      <c r="J21" s="13" t="str">
        <f t="shared" si="0"/>
        <v/>
      </c>
      <c r="K21" s="14" t="str">
        <f t="shared" si="1"/>
        <v/>
      </c>
      <c r="L21" s="15" t="str">
        <f t="shared" si="2"/>
        <v/>
      </c>
      <c r="M21" s="16"/>
      <c r="N21" s="17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5.75" customHeight="1" x14ac:dyDescent="0.35">
      <c r="A22" s="1"/>
      <c r="B22" s="9">
        <v>17</v>
      </c>
      <c r="C22" s="10"/>
      <c r="D22" s="10"/>
      <c r="E22" s="11"/>
      <c r="F22" s="12"/>
      <c r="G22" s="12"/>
      <c r="H22" s="13" t="str">
        <f t="shared" si="3"/>
        <v/>
      </c>
      <c r="I22" s="13" t="str">
        <f t="shared" si="4"/>
        <v/>
      </c>
      <c r="J22" s="13" t="str">
        <f t="shared" si="0"/>
        <v/>
      </c>
      <c r="K22" s="14" t="str">
        <f t="shared" si="1"/>
        <v/>
      </c>
      <c r="L22" s="15" t="str">
        <f t="shared" si="2"/>
        <v/>
      </c>
      <c r="M22" s="16"/>
      <c r="N22" s="17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5.75" customHeight="1" x14ac:dyDescent="0.35">
      <c r="A23" s="1"/>
      <c r="B23" s="9">
        <v>18</v>
      </c>
      <c r="C23" s="10"/>
      <c r="D23" s="10"/>
      <c r="E23" s="11"/>
      <c r="F23" s="12"/>
      <c r="G23" s="12"/>
      <c r="H23" s="13" t="str">
        <f t="shared" si="3"/>
        <v/>
      </c>
      <c r="I23" s="13" t="str">
        <f t="shared" si="4"/>
        <v/>
      </c>
      <c r="J23" s="13" t="str">
        <f t="shared" si="0"/>
        <v/>
      </c>
      <c r="K23" s="14" t="str">
        <f t="shared" si="1"/>
        <v/>
      </c>
      <c r="L23" s="15" t="str">
        <f t="shared" si="2"/>
        <v/>
      </c>
      <c r="M23" s="16"/>
      <c r="N23" s="17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75" customHeight="1" x14ac:dyDescent="0.35">
      <c r="A24" s="1"/>
      <c r="B24" s="9">
        <v>19</v>
      </c>
      <c r="C24" s="10"/>
      <c r="D24" s="10"/>
      <c r="E24" s="11"/>
      <c r="F24" s="12"/>
      <c r="G24" s="12"/>
      <c r="H24" s="13" t="str">
        <f t="shared" si="3"/>
        <v/>
      </c>
      <c r="I24" s="13" t="str">
        <f t="shared" si="4"/>
        <v/>
      </c>
      <c r="J24" s="13" t="str">
        <f t="shared" si="0"/>
        <v/>
      </c>
      <c r="K24" s="14" t="str">
        <f t="shared" si="1"/>
        <v/>
      </c>
      <c r="L24" s="15" t="str">
        <f t="shared" si="2"/>
        <v/>
      </c>
      <c r="M24" s="16"/>
      <c r="N24" s="17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5.75" customHeight="1" x14ac:dyDescent="0.35">
      <c r="A25" s="1"/>
      <c r="B25" s="9">
        <v>20</v>
      </c>
      <c r="C25" s="10"/>
      <c r="D25" s="10"/>
      <c r="E25" s="11"/>
      <c r="F25" s="12"/>
      <c r="G25" s="12"/>
      <c r="H25" s="13" t="str">
        <f t="shared" si="3"/>
        <v/>
      </c>
      <c r="I25" s="13" t="str">
        <f t="shared" si="4"/>
        <v/>
      </c>
      <c r="J25" s="13" t="str">
        <f t="shared" si="0"/>
        <v/>
      </c>
      <c r="K25" s="14" t="str">
        <f t="shared" si="1"/>
        <v/>
      </c>
      <c r="L25" s="15" t="str">
        <f t="shared" si="2"/>
        <v/>
      </c>
      <c r="M25" s="16"/>
      <c r="N25" s="17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5.75" customHeight="1" x14ac:dyDescent="0.35">
      <c r="A26" s="1"/>
      <c r="B26" s="9">
        <v>21</v>
      </c>
      <c r="C26" s="10"/>
      <c r="D26" s="10"/>
      <c r="E26" s="11"/>
      <c r="F26" s="12"/>
      <c r="G26" s="12"/>
      <c r="H26" s="13" t="str">
        <f t="shared" si="3"/>
        <v/>
      </c>
      <c r="I26" s="13" t="str">
        <f t="shared" si="4"/>
        <v/>
      </c>
      <c r="J26" s="13" t="str">
        <f t="shared" si="0"/>
        <v/>
      </c>
      <c r="K26" s="14" t="str">
        <f t="shared" si="1"/>
        <v/>
      </c>
      <c r="L26" s="15" t="str">
        <f t="shared" si="2"/>
        <v/>
      </c>
      <c r="M26" s="16"/>
      <c r="N26" s="17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5.75" customHeight="1" x14ac:dyDescent="0.35">
      <c r="A27" s="1"/>
      <c r="B27" s="9">
        <v>22</v>
      </c>
      <c r="C27" s="10"/>
      <c r="D27" s="10"/>
      <c r="E27" s="11"/>
      <c r="F27" s="12"/>
      <c r="G27" s="12"/>
      <c r="H27" s="13" t="str">
        <f t="shared" si="3"/>
        <v/>
      </c>
      <c r="I27" s="13" t="str">
        <f t="shared" si="4"/>
        <v/>
      </c>
      <c r="J27" s="13" t="str">
        <f t="shared" si="0"/>
        <v/>
      </c>
      <c r="K27" s="14" t="str">
        <f t="shared" si="1"/>
        <v/>
      </c>
      <c r="L27" s="15" t="str">
        <f t="shared" si="2"/>
        <v/>
      </c>
      <c r="M27" s="16"/>
      <c r="N27" s="17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5.75" customHeight="1" x14ac:dyDescent="0.35">
      <c r="A28" s="1"/>
      <c r="B28" s="9">
        <v>23</v>
      </c>
      <c r="C28" s="10"/>
      <c r="D28" s="10"/>
      <c r="E28" s="11"/>
      <c r="F28" s="12"/>
      <c r="G28" s="12"/>
      <c r="H28" s="13" t="str">
        <f t="shared" si="3"/>
        <v/>
      </c>
      <c r="I28" s="13" t="str">
        <f t="shared" si="4"/>
        <v/>
      </c>
      <c r="J28" s="13" t="str">
        <f t="shared" si="0"/>
        <v/>
      </c>
      <c r="K28" s="14" t="str">
        <f t="shared" si="1"/>
        <v/>
      </c>
      <c r="L28" s="15" t="str">
        <f t="shared" si="2"/>
        <v/>
      </c>
      <c r="M28" s="16"/>
      <c r="N28" s="17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5.75" customHeight="1" x14ac:dyDescent="0.35">
      <c r="A29" s="1"/>
      <c r="B29" s="9">
        <v>24</v>
      </c>
      <c r="C29" s="10"/>
      <c r="D29" s="10"/>
      <c r="E29" s="11"/>
      <c r="F29" s="12"/>
      <c r="G29" s="12"/>
      <c r="H29" s="13" t="str">
        <f t="shared" si="3"/>
        <v/>
      </c>
      <c r="I29" s="13" t="str">
        <f t="shared" si="4"/>
        <v/>
      </c>
      <c r="J29" s="13" t="str">
        <f t="shared" si="0"/>
        <v/>
      </c>
      <c r="K29" s="14" t="str">
        <f t="shared" si="1"/>
        <v/>
      </c>
      <c r="L29" s="15" t="str">
        <f t="shared" si="2"/>
        <v/>
      </c>
      <c r="M29" s="16"/>
      <c r="N29" s="17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5.75" customHeight="1" x14ac:dyDescent="0.35">
      <c r="A30" s="1"/>
      <c r="B30" s="9">
        <v>25</v>
      </c>
      <c r="C30" s="10"/>
      <c r="D30" s="10"/>
      <c r="E30" s="11"/>
      <c r="F30" s="12"/>
      <c r="G30" s="12"/>
      <c r="H30" s="13" t="str">
        <f t="shared" si="3"/>
        <v/>
      </c>
      <c r="I30" s="13" t="str">
        <f t="shared" si="4"/>
        <v/>
      </c>
      <c r="J30" s="13" t="str">
        <f t="shared" si="0"/>
        <v/>
      </c>
      <c r="K30" s="14" t="str">
        <f t="shared" si="1"/>
        <v/>
      </c>
      <c r="L30" s="15" t="str">
        <f t="shared" si="2"/>
        <v/>
      </c>
      <c r="M30" s="16"/>
      <c r="N30" s="17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75" customHeight="1" x14ac:dyDescent="0.35">
      <c r="A31" s="18"/>
      <c r="B31" s="3"/>
      <c r="C31" s="3"/>
      <c r="D31" s="3"/>
      <c r="E31" s="3"/>
      <c r="F31" s="19"/>
      <c r="G31" s="20"/>
      <c r="H31" s="20"/>
      <c r="I31" s="20"/>
      <c r="J31" s="20"/>
      <c r="K31" s="1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5.75" customHeight="1" x14ac:dyDescent="0.35">
      <c r="A32" s="18"/>
      <c r="B32" s="3"/>
      <c r="C32" s="3"/>
      <c r="D32" s="3"/>
      <c r="E32" s="3"/>
      <c r="F32" s="3"/>
      <c r="G32" s="138" t="s">
        <v>13</v>
      </c>
      <c r="H32" s="139"/>
      <c r="I32" s="21">
        <f>SUM(I6:I30)</f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5.75" customHeight="1" x14ac:dyDescent="0.35">
      <c r="A33" s="18"/>
      <c r="B33" s="3"/>
      <c r="C33" s="3"/>
      <c r="D33" s="3"/>
      <c r="E33" s="3"/>
      <c r="F33" s="3"/>
      <c r="G33" s="3"/>
      <c r="H33" s="3"/>
      <c r="I33" s="19"/>
      <c r="J33" s="19"/>
      <c r="K33" s="3"/>
      <c r="L33" s="3"/>
      <c r="M33" s="2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5.75" customHeight="1" x14ac:dyDescent="0.35">
      <c r="A34" s="18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5.75" customHeight="1" x14ac:dyDescent="0.35">
      <c r="A35" s="18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5.75" customHeight="1" x14ac:dyDescent="0.35">
      <c r="A36" s="18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5.75" customHeight="1" x14ac:dyDescent="0.35">
      <c r="A37" s="18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75" customHeight="1" x14ac:dyDescent="0.35">
      <c r="A38" s="18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5.75" customHeight="1" x14ac:dyDescent="0.35">
      <c r="A39" s="18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5.75" customHeight="1" x14ac:dyDescent="0.35">
      <c r="A40" s="18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5.75" customHeight="1" x14ac:dyDescent="0.35">
      <c r="A41" s="18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5.75" customHeight="1" x14ac:dyDescent="0.35">
      <c r="A42" s="18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5.75" customHeight="1" x14ac:dyDescent="0.35">
      <c r="A43" s="18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5.75" customHeight="1" x14ac:dyDescent="0.35">
      <c r="A44" s="18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5.75" customHeight="1" x14ac:dyDescent="0.35">
      <c r="A45" s="18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5.75" customHeight="1" x14ac:dyDescent="0.35">
      <c r="A46" s="18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75" customHeight="1" x14ac:dyDescent="0.35">
      <c r="A47" s="18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5.75" customHeight="1" x14ac:dyDescent="0.35">
      <c r="A48" s="18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5.75" customHeight="1" x14ac:dyDescent="0.35">
      <c r="A49" s="18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5.75" customHeight="1" x14ac:dyDescent="0.35">
      <c r="A50" s="18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75" customHeight="1" x14ac:dyDescent="0.35">
      <c r="A51" s="18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75" customHeight="1" x14ac:dyDescent="0.35">
      <c r="A52" s="18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75" customHeight="1" x14ac:dyDescent="0.35">
      <c r="A53" s="18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75" customHeight="1" x14ac:dyDescent="0.35">
      <c r="A54" s="18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75" customHeight="1" x14ac:dyDescent="0.35">
      <c r="A55" s="18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75" customHeight="1" x14ac:dyDescent="0.35">
      <c r="A56" s="18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75" customHeight="1" x14ac:dyDescent="0.35">
      <c r="A57" s="18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75" customHeight="1" x14ac:dyDescent="0.35">
      <c r="A58" s="18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75" customHeight="1" x14ac:dyDescent="0.35">
      <c r="A59" s="18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75" customHeight="1" x14ac:dyDescent="0.35">
      <c r="A60" s="18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75" customHeight="1" x14ac:dyDescent="0.35">
      <c r="A61" s="18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75" customHeight="1" x14ac:dyDescent="0.35">
      <c r="A62" s="18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75" customHeight="1" x14ac:dyDescent="0.35">
      <c r="A63" s="18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5.75" customHeight="1" x14ac:dyDescent="0.35">
      <c r="A64" s="18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5.75" customHeight="1" x14ac:dyDescent="0.35">
      <c r="A65" s="18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5.75" customHeight="1" x14ac:dyDescent="0.35">
      <c r="A66" s="18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5.75" customHeight="1" x14ac:dyDescent="0.35">
      <c r="A67" s="18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5.75" customHeight="1" x14ac:dyDescent="0.35">
      <c r="A68" s="18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5.75" customHeight="1" x14ac:dyDescent="0.35">
      <c r="A69" s="18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5.75" customHeight="1" x14ac:dyDescent="0.35">
      <c r="A70" s="18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5.75" customHeight="1" x14ac:dyDescent="0.35">
      <c r="A71" s="18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5.75" customHeight="1" x14ac:dyDescent="0.35">
      <c r="A72" s="18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5.75" customHeight="1" x14ac:dyDescent="0.35">
      <c r="A73" s="18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5.75" customHeight="1" x14ac:dyDescent="0.35">
      <c r="A74" s="18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5.75" customHeight="1" x14ac:dyDescent="0.35">
      <c r="A75" s="18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5.75" customHeight="1" x14ac:dyDescent="0.35">
      <c r="A76" s="18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5.75" customHeight="1" x14ac:dyDescent="0.35">
      <c r="A77" s="18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5.75" customHeight="1" x14ac:dyDescent="0.35">
      <c r="A78" s="18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5.75" customHeight="1" x14ac:dyDescent="0.35">
      <c r="A79" s="18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5.75" customHeight="1" x14ac:dyDescent="0.35">
      <c r="A80" s="18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5.75" customHeight="1" x14ac:dyDescent="0.35">
      <c r="A81" s="18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5.75" customHeight="1" x14ac:dyDescent="0.35">
      <c r="A82" s="18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5.75" customHeight="1" x14ac:dyDescent="0.35">
      <c r="A83" s="18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5.75" customHeight="1" x14ac:dyDescent="0.35">
      <c r="A84" s="1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75" customHeight="1" x14ac:dyDescent="0.35">
      <c r="A85" s="1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75" customHeight="1" x14ac:dyDescent="0.35">
      <c r="A86" s="1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75" customHeight="1" x14ac:dyDescent="0.35">
      <c r="A87" s="1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75" customHeight="1" x14ac:dyDescent="0.35">
      <c r="A88" s="18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75" customHeight="1" x14ac:dyDescent="0.35">
      <c r="A89" s="18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75" customHeight="1" x14ac:dyDescent="0.35">
      <c r="A90" s="18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75" customHeight="1" x14ac:dyDescent="0.35">
      <c r="A91" s="18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75" customHeight="1" x14ac:dyDescent="0.35">
      <c r="A92" s="18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75" customHeight="1" x14ac:dyDescent="0.35">
      <c r="A93" s="18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75" customHeight="1" x14ac:dyDescent="0.35">
      <c r="A94" s="18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75" customHeight="1" x14ac:dyDescent="0.35">
      <c r="A95" s="18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75" customHeight="1" x14ac:dyDescent="0.35">
      <c r="A96" s="18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75" customHeight="1" x14ac:dyDescent="0.35">
      <c r="A97" s="18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75" customHeight="1" x14ac:dyDescent="0.35">
      <c r="A98" s="18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75" customHeight="1" x14ac:dyDescent="0.35">
      <c r="A99" s="18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75" customHeight="1" x14ac:dyDescent="0.35">
      <c r="A100" s="18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75" customHeight="1" x14ac:dyDescent="0.35">
      <c r="A101" s="18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75" customHeight="1" x14ac:dyDescent="0.35">
      <c r="A102" s="18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75" customHeight="1" x14ac:dyDescent="0.35">
      <c r="A103" s="18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75" customHeight="1" x14ac:dyDescent="0.35">
      <c r="A104" s="18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75" customHeight="1" x14ac:dyDescent="0.35">
      <c r="A105" s="18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75" customHeight="1" x14ac:dyDescent="0.35">
      <c r="A106" s="18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75" customHeight="1" x14ac:dyDescent="0.35">
      <c r="A107" s="18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75" customHeight="1" x14ac:dyDescent="0.35">
      <c r="A108" s="18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75" customHeight="1" x14ac:dyDescent="0.35">
      <c r="A109" s="18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75" customHeight="1" x14ac:dyDescent="0.35">
      <c r="A110" s="18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75" customHeight="1" x14ac:dyDescent="0.35">
      <c r="A111" s="18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75" customHeight="1" x14ac:dyDescent="0.35">
      <c r="A112" s="18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75" customHeight="1" x14ac:dyDescent="0.35">
      <c r="A113" s="18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75" customHeight="1" x14ac:dyDescent="0.35">
      <c r="A114" s="18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75" customHeight="1" x14ac:dyDescent="0.35">
      <c r="A115" s="18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75" customHeight="1" x14ac:dyDescent="0.35">
      <c r="A116" s="18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75" customHeight="1" x14ac:dyDescent="0.35">
      <c r="A117" s="18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75" customHeight="1" x14ac:dyDescent="0.35">
      <c r="A118" s="1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75" customHeight="1" x14ac:dyDescent="0.35">
      <c r="A119" s="18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75" customHeight="1" x14ac:dyDescent="0.35">
      <c r="A120" s="18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75" customHeight="1" x14ac:dyDescent="0.35">
      <c r="A121" s="18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75" customHeight="1" x14ac:dyDescent="0.35">
      <c r="A122" s="1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75" customHeight="1" x14ac:dyDescent="0.35">
      <c r="A123" s="1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75" customHeight="1" x14ac:dyDescent="0.35">
      <c r="A124" s="1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75" customHeight="1" x14ac:dyDescent="0.35">
      <c r="A125" s="1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75" customHeight="1" x14ac:dyDescent="0.35">
      <c r="A126" s="18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75" customHeight="1" x14ac:dyDescent="0.35">
      <c r="A127" s="18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75" customHeight="1" x14ac:dyDescent="0.35">
      <c r="A128" s="18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75" customHeight="1" x14ac:dyDescent="0.35">
      <c r="A129" s="18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75" customHeight="1" x14ac:dyDescent="0.35">
      <c r="A130" s="18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75" customHeight="1" x14ac:dyDescent="0.35">
      <c r="A131" s="18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75" customHeight="1" x14ac:dyDescent="0.35">
      <c r="A132" s="18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75" customHeight="1" x14ac:dyDescent="0.35">
      <c r="A133" s="18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75" customHeight="1" x14ac:dyDescent="0.35">
      <c r="A134" s="18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75" customHeight="1" x14ac:dyDescent="0.35">
      <c r="A135" s="18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75" customHeight="1" x14ac:dyDescent="0.35">
      <c r="A136" s="18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75" customHeight="1" x14ac:dyDescent="0.35">
      <c r="A137" s="18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75" customHeight="1" x14ac:dyDescent="0.35">
      <c r="A138" s="18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75" customHeight="1" x14ac:dyDescent="0.35">
      <c r="A139" s="18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75" customHeight="1" x14ac:dyDescent="0.35">
      <c r="A140" s="18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75" customHeight="1" x14ac:dyDescent="0.35">
      <c r="A141" s="18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75" customHeight="1" x14ac:dyDescent="0.35">
      <c r="A142" s="18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75" customHeight="1" x14ac:dyDescent="0.35">
      <c r="A143" s="18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75" customHeight="1" x14ac:dyDescent="0.35">
      <c r="A144" s="18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75" customHeight="1" x14ac:dyDescent="0.35">
      <c r="A145" s="18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75" customHeight="1" x14ac:dyDescent="0.35">
      <c r="A146" s="18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75" customHeight="1" x14ac:dyDescent="0.35">
      <c r="A147" s="18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75" customHeight="1" x14ac:dyDescent="0.35">
      <c r="A148" s="18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75" customHeight="1" x14ac:dyDescent="0.35">
      <c r="A149" s="18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75" customHeight="1" x14ac:dyDescent="0.35">
      <c r="A150" s="18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75" customHeight="1" x14ac:dyDescent="0.35">
      <c r="A151" s="18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75" customHeight="1" x14ac:dyDescent="0.35">
      <c r="A152" s="18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75" customHeight="1" x14ac:dyDescent="0.35">
      <c r="A153" s="18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75" customHeight="1" x14ac:dyDescent="0.35">
      <c r="A154" s="18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5.75" customHeight="1" x14ac:dyDescent="0.35">
      <c r="A155" s="18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5.75" customHeight="1" x14ac:dyDescent="0.35">
      <c r="A156" s="18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5.75" customHeight="1" x14ac:dyDescent="0.35">
      <c r="A157" s="18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5.75" customHeight="1" x14ac:dyDescent="0.35">
      <c r="A158" s="18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5.75" customHeight="1" x14ac:dyDescent="0.35">
      <c r="A159" s="18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5.75" customHeight="1" x14ac:dyDescent="0.35">
      <c r="A160" s="18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5.75" customHeight="1" x14ac:dyDescent="0.35">
      <c r="A161" s="18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5.75" customHeight="1" x14ac:dyDescent="0.35">
      <c r="A162" s="18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5.75" customHeight="1" x14ac:dyDescent="0.35">
      <c r="A163" s="18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 x14ac:dyDescent="0.35">
      <c r="A164" s="18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 x14ac:dyDescent="0.35">
      <c r="A165" s="18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 x14ac:dyDescent="0.35">
      <c r="A166" s="18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 x14ac:dyDescent="0.35">
      <c r="A167" s="18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 x14ac:dyDescent="0.35">
      <c r="A168" s="18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 x14ac:dyDescent="0.35">
      <c r="A169" s="18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 x14ac:dyDescent="0.35">
      <c r="A170" s="18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 x14ac:dyDescent="0.35">
      <c r="A171" s="18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5.75" customHeight="1" x14ac:dyDescent="0.35">
      <c r="A172" s="18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 x14ac:dyDescent="0.35">
      <c r="A173" s="18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 x14ac:dyDescent="0.35">
      <c r="A174" s="18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 x14ac:dyDescent="0.35">
      <c r="A175" s="18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 x14ac:dyDescent="0.35">
      <c r="A176" s="18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5.75" customHeight="1" x14ac:dyDescent="0.35">
      <c r="A177" s="18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 x14ac:dyDescent="0.35">
      <c r="A178" s="18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 x14ac:dyDescent="0.35">
      <c r="A179" s="18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 x14ac:dyDescent="0.35">
      <c r="A180" s="18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 x14ac:dyDescent="0.35">
      <c r="A181" s="18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 x14ac:dyDescent="0.35">
      <c r="A182" s="18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 x14ac:dyDescent="0.35">
      <c r="A183" s="18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 x14ac:dyDescent="0.35">
      <c r="A184" s="18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 x14ac:dyDescent="0.35">
      <c r="A185" s="18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 x14ac:dyDescent="0.35">
      <c r="A186" s="18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 x14ac:dyDescent="0.35">
      <c r="A187" s="18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5.75" customHeight="1" x14ac:dyDescent="0.35">
      <c r="A188" s="18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5.75" customHeight="1" x14ac:dyDescent="0.35">
      <c r="A189" s="18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5.75" customHeight="1" x14ac:dyDescent="0.35">
      <c r="A190" s="18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5.75" customHeight="1" x14ac:dyDescent="0.35">
      <c r="A191" s="18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5.75" customHeight="1" x14ac:dyDescent="0.35">
      <c r="A192" s="18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5.75" customHeight="1" x14ac:dyDescent="0.35">
      <c r="A193" s="18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5.75" customHeight="1" x14ac:dyDescent="0.35">
      <c r="A194" s="18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5.75" customHeight="1" x14ac:dyDescent="0.35">
      <c r="A195" s="18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5.75" customHeight="1" x14ac:dyDescent="0.35">
      <c r="A196" s="18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5.75" customHeight="1" x14ac:dyDescent="0.35">
      <c r="A197" s="18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5.75" customHeight="1" x14ac:dyDescent="0.35">
      <c r="A198" s="18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5.75" customHeight="1" x14ac:dyDescent="0.35">
      <c r="A199" s="18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5.75" customHeight="1" x14ac:dyDescent="0.35">
      <c r="A200" s="18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5.75" customHeight="1" x14ac:dyDescent="0.35">
      <c r="A201" s="18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5.75" customHeight="1" x14ac:dyDescent="0.35">
      <c r="A202" s="18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5.75" customHeight="1" x14ac:dyDescent="0.35">
      <c r="A203" s="18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5.75" customHeight="1" x14ac:dyDescent="0.35">
      <c r="A204" s="18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5.75" customHeight="1" x14ac:dyDescent="0.35">
      <c r="A205" s="18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5.75" customHeight="1" x14ac:dyDescent="0.35">
      <c r="A206" s="18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5.75" customHeight="1" x14ac:dyDescent="0.35">
      <c r="A207" s="18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5.75" customHeight="1" x14ac:dyDescent="0.35">
      <c r="A208" s="18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5.75" customHeight="1" x14ac:dyDescent="0.35">
      <c r="A209" s="18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5.75" customHeight="1" x14ac:dyDescent="0.35">
      <c r="A210" s="18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5.75" customHeight="1" x14ac:dyDescent="0.35">
      <c r="A211" s="18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5.75" customHeight="1" x14ac:dyDescent="0.35">
      <c r="A212" s="18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5.75" customHeight="1" x14ac:dyDescent="0.35">
      <c r="A213" s="18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5.75" customHeight="1" x14ac:dyDescent="0.35">
      <c r="A214" s="18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5.75" customHeight="1" x14ac:dyDescent="0.35">
      <c r="A215" s="18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5.75" customHeight="1" x14ac:dyDescent="0.35">
      <c r="A216" s="18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5.75" customHeight="1" x14ac:dyDescent="0.35">
      <c r="A217" s="18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5.75" customHeight="1" x14ac:dyDescent="0.35">
      <c r="A218" s="18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5.75" customHeight="1" x14ac:dyDescent="0.35">
      <c r="A219" s="18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5.75" customHeight="1" x14ac:dyDescent="0.35">
      <c r="A220" s="18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5.75" customHeight="1" x14ac:dyDescent="0.35">
      <c r="A221" s="18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5.75" customHeight="1" x14ac:dyDescent="0.35">
      <c r="A222" s="18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5.75" customHeight="1" x14ac:dyDescent="0.35">
      <c r="A223" s="18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5.75" customHeight="1" x14ac:dyDescent="0.35">
      <c r="A224" s="18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5.75" customHeight="1" x14ac:dyDescent="0.35">
      <c r="A225" s="18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5.75" customHeight="1" x14ac:dyDescent="0.35">
      <c r="A226" s="18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5.75" customHeight="1" x14ac:dyDescent="0.35">
      <c r="A227" s="18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5.75" customHeight="1" x14ac:dyDescent="0.35">
      <c r="A228" s="18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5.75" customHeight="1" x14ac:dyDescent="0.35">
      <c r="A229" s="18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5.75" customHeight="1" x14ac:dyDescent="0.35">
      <c r="A230" s="18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5.75" customHeight="1" x14ac:dyDescent="0.35">
      <c r="A231" s="18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5.75" customHeight="1" x14ac:dyDescent="0.35">
      <c r="A232" s="18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5.75" customHeight="1" x14ac:dyDescent="0.35">
      <c r="A233" s="18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5.75" customHeight="1" x14ac:dyDescent="0.35">
      <c r="A234" s="18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5.75" customHeight="1" x14ac:dyDescent="0.35">
      <c r="A235" s="18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5.75" customHeight="1" x14ac:dyDescent="0.35">
      <c r="A236" s="18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5.75" customHeight="1" x14ac:dyDescent="0.35">
      <c r="A237" s="18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5.75" customHeight="1" x14ac:dyDescent="0.35">
      <c r="A238" s="18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5.75" customHeight="1" x14ac:dyDescent="0.35">
      <c r="A239" s="18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5.75" customHeight="1" x14ac:dyDescent="0.35">
      <c r="A240" s="18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5.75" customHeight="1" x14ac:dyDescent="0.35">
      <c r="A241" s="18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5.75" customHeight="1" x14ac:dyDescent="0.35">
      <c r="A242" s="18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5.75" customHeight="1" x14ac:dyDescent="0.35">
      <c r="A243" s="18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5.75" customHeight="1" x14ac:dyDescent="0.35">
      <c r="A244" s="18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5.75" customHeight="1" x14ac:dyDescent="0.35">
      <c r="A245" s="18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5.75" customHeight="1" x14ac:dyDescent="0.35">
      <c r="A246" s="18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5.75" customHeight="1" x14ac:dyDescent="0.35">
      <c r="A247" s="18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5.75" customHeight="1" x14ac:dyDescent="0.35">
      <c r="A248" s="18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5.75" customHeight="1" x14ac:dyDescent="0.35">
      <c r="A249" s="18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5.75" customHeight="1" x14ac:dyDescent="0.35">
      <c r="A250" s="18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5.75" customHeight="1" x14ac:dyDescent="0.35">
      <c r="A251" s="18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5.75" customHeight="1" x14ac:dyDescent="0.35">
      <c r="A252" s="18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5.75" customHeight="1" x14ac:dyDescent="0.35">
      <c r="A253" s="18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5.75" customHeight="1" x14ac:dyDescent="0.35">
      <c r="A254" s="18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5.75" customHeight="1" x14ac:dyDescent="0.35">
      <c r="A255" s="18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5.75" customHeight="1" x14ac:dyDescent="0.35">
      <c r="A256" s="18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5.75" customHeight="1" x14ac:dyDescent="0.35">
      <c r="A257" s="18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5.75" customHeight="1" x14ac:dyDescent="0.35">
      <c r="A258" s="18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5.75" customHeight="1" x14ac:dyDescent="0.35">
      <c r="A259" s="18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5.75" customHeight="1" x14ac:dyDescent="0.35">
      <c r="A260" s="18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5.75" customHeight="1" x14ac:dyDescent="0.35">
      <c r="A261" s="18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5.75" customHeight="1" x14ac:dyDescent="0.35">
      <c r="A262" s="18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5.75" customHeight="1" x14ac:dyDescent="0.35">
      <c r="A263" s="18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5.75" customHeight="1" x14ac:dyDescent="0.35">
      <c r="A264" s="18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5.75" customHeight="1" x14ac:dyDescent="0.35">
      <c r="A265" s="18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5.75" customHeight="1" x14ac:dyDescent="0.35">
      <c r="A266" s="18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5.75" customHeight="1" x14ac:dyDescent="0.35">
      <c r="A267" s="18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5.75" customHeight="1" x14ac:dyDescent="0.35">
      <c r="A268" s="18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5.75" customHeight="1" x14ac:dyDescent="0.35">
      <c r="A269" s="18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5.75" customHeight="1" x14ac:dyDescent="0.35">
      <c r="A270" s="18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5.75" customHeight="1" x14ac:dyDescent="0.35">
      <c r="A271" s="18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5.75" customHeight="1" x14ac:dyDescent="0.35">
      <c r="A272" s="18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5.75" customHeight="1" x14ac:dyDescent="0.35">
      <c r="A273" s="18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5.75" customHeight="1" x14ac:dyDescent="0.35">
      <c r="A274" s="18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5.75" customHeight="1" x14ac:dyDescent="0.35">
      <c r="A275" s="18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5.75" customHeight="1" x14ac:dyDescent="0.35">
      <c r="A276" s="18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5.75" customHeight="1" x14ac:dyDescent="0.35">
      <c r="A277" s="18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5.75" customHeight="1" x14ac:dyDescent="0.35">
      <c r="A278" s="18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5.75" customHeight="1" x14ac:dyDescent="0.35">
      <c r="A279" s="18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5.75" customHeight="1" x14ac:dyDescent="0.35">
      <c r="A280" s="18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5.75" customHeight="1" x14ac:dyDescent="0.35">
      <c r="A281" s="18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5.75" customHeight="1" x14ac:dyDescent="0.35">
      <c r="A282" s="18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5.75" customHeight="1" x14ac:dyDescent="0.35">
      <c r="A283" s="18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5.75" customHeight="1" x14ac:dyDescent="0.35">
      <c r="A284" s="18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5.75" customHeight="1" x14ac:dyDescent="0.35">
      <c r="A285" s="18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5.75" customHeight="1" x14ac:dyDescent="0.35">
      <c r="A286" s="18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5.75" customHeight="1" x14ac:dyDescent="0.35">
      <c r="A287" s="18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5.75" customHeight="1" x14ac:dyDescent="0.35">
      <c r="A288" s="18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5.75" customHeight="1" x14ac:dyDescent="0.35">
      <c r="A289" s="18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5.75" customHeight="1" x14ac:dyDescent="0.35">
      <c r="A290" s="18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5.75" customHeight="1" x14ac:dyDescent="0.35">
      <c r="A291" s="18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5.75" customHeight="1" x14ac:dyDescent="0.35">
      <c r="A292" s="18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5.75" customHeight="1" x14ac:dyDescent="0.35">
      <c r="A293" s="18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5.75" customHeight="1" x14ac:dyDescent="0.35">
      <c r="A294" s="18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5.75" customHeight="1" x14ac:dyDescent="0.35">
      <c r="A295" s="18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5.75" customHeight="1" x14ac:dyDescent="0.35">
      <c r="A296" s="18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5.75" customHeight="1" x14ac:dyDescent="0.35">
      <c r="A297" s="18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5.75" customHeight="1" x14ac:dyDescent="0.35">
      <c r="A298" s="18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5.75" customHeight="1" x14ac:dyDescent="0.35">
      <c r="A299" s="18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5.75" customHeight="1" x14ac:dyDescent="0.35">
      <c r="A300" s="18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5.75" customHeight="1" x14ac:dyDescent="0.35">
      <c r="A301" s="18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5.75" customHeight="1" x14ac:dyDescent="0.35">
      <c r="A302" s="18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5.75" customHeight="1" x14ac:dyDescent="0.35">
      <c r="A303" s="18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5.75" customHeight="1" x14ac:dyDescent="0.35">
      <c r="A304" s="18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5.75" customHeight="1" x14ac:dyDescent="0.35">
      <c r="A305" s="18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5.75" customHeight="1" x14ac:dyDescent="0.35">
      <c r="A306" s="18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5.75" customHeight="1" x14ac:dyDescent="0.35">
      <c r="A307" s="18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5.75" customHeight="1" x14ac:dyDescent="0.35">
      <c r="A308" s="18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5.75" customHeight="1" x14ac:dyDescent="0.35">
      <c r="A309" s="18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5.75" customHeight="1" x14ac:dyDescent="0.35">
      <c r="A310" s="18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5.75" customHeight="1" x14ac:dyDescent="0.35">
      <c r="A311" s="18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5.75" customHeight="1" x14ac:dyDescent="0.35">
      <c r="A312" s="18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5.75" customHeight="1" x14ac:dyDescent="0.35">
      <c r="A313" s="18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5.75" customHeight="1" x14ac:dyDescent="0.35">
      <c r="A314" s="18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5.75" customHeight="1" x14ac:dyDescent="0.35">
      <c r="A315" s="18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5.75" customHeight="1" x14ac:dyDescent="0.35">
      <c r="A316" s="18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5.75" customHeight="1" x14ac:dyDescent="0.35">
      <c r="A317" s="18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5.75" customHeight="1" x14ac:dyDescent="0.35">
      <c r="A318" s="18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5.75" customHeight="1" x14ac:dyDescent="0.35">
      <c r="A319" s="18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5.75" customHeight="1" x14ac:dyDescent="0.35">
      <c r="A320" s="18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5.75" customHeight="1" x14ac:dyDescent="0.35">
      <c r="A321" s="18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5.75" customHeight="1" x14ac:dyDescent="0.35">
      <c r="A322" s="18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5.75" customHeight="1" x14ac:dyDescent="0.35">
      <c r="A323" s="18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5.75" customHeight="1" x14ac:dyDescent="0.35">
      <c r="A324" s="18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5.75" customHeight="1" x14ac:dyDescent="0.35">
      <c r="A325" s="18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5.75" customHeight="1" x14ac:dyDescent="0.35">
      <c r="A326" s="18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5.75" customHeight="1" x14ac:dyDescent="0.35">
      <c r="A327" s="18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5.75" customHeight="1" x14ac:dyDescent="0.35">
      <c r="A328" s="18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5.75" customHeight="1" x14ac:dyDescent="0.35">
      <c r="A329" s="18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5.75" customHeight="1" x14ac:dyDescent="0.35">
      <c r="A330" s="18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5.75" customHeight="1" x14ac:dyDescent="0.35">
      <c r="A331" s="18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5.75" customHeight="1" x14ac:dyDescent="0.35">
      <c r="A332" s="18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5.75" customHeight="1" x14ac:dyDescent="0.35">
      <c r="A333" s="18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5.75" customHeight="1" x14ac:dyDescent="0.35">
      <c r="A334" s="18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5.75" customHeight="1" x14ac:dyDescent="0.35">
      <c r="A335" s="18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5.75" customHeight="1" x14ac:dyDescent="0.35">
      <c r="A336" s="18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5.75" customHeight="1" x14ac:dyDescent="0.35">
      <c r="A337" s="18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5.75" customHeight="1" x14ac:dyDescent="0.35">
      <c r="A338" s="18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5.75" customHeight="1" x14ac:dyDescent="0.35">
      <c r="A339" s="18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5.75" customHeight="1" x14ac:dyDescent="0.35">
      <c r="A340" s="18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5.75" customHeight="1" x14ac:dyDescent="0.35">
      <c r="A341" s="18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5.75" customHeight="1" x14ac:dyDescent="0.35">
      <c r="A342" s="18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5.75" customHeight="1" x14ac:dyDescent="0.35">
      <c r="A343" s="18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5.75" customHeight="1" x14ac:dyDescent="0.35">
      <c r="A344" s="18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5.75" customHeight="1" x14ac:dyDescent="0.35">
      <c r="A345" s="18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5.75" customHeight="1" x14ac:dyDescent="0.35">
      <c r="A346" s="18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5.75" customHeight="1" x14ac:dyDescent="0.35">
      <c r="A347" s="18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5.75" customHeight="1" x14ac:dyDescent="0.35">
      <c r="A348" s="18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5.75" customHeight="1" x14ac:dyDescent="0.35">
      <c r="A349" s="18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5.75" customHeight="1" x14ac:dyDescent="0.35">
      <c r="A350" s="18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5.75" customHeight="1" x14ac:dyDescent="0.35">
      <c r="A351" s="18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5.75" customHeight="1" x14ac:dyDescent="0.35">
      <c r="A352" s="18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5.75" customHeight="1" x14ac:dyDescent="0.35">
      <c r="A353" s="18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5.75" customHeight="1" x14ac:dyDescent="0.35">
      <c r="A354" s="18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5.75" customHeight="1" x14ac:dyDescent="0.35">
      <c r="A355" s="18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5.75" customHeight="1" x14ac:dyDescent="0.35">
      <c r="A356" s="18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5.75" customHeight="1" x14ac:dyDescent="0.35">
      <c r="A357" s="18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5.75" customHeight="1" x14ac:dyDescent="0.35">
      <c r="A358" s="18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5.75" customHeight="1" x14ac:dyDescent="0.35">
      <c r="A359" s="18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5.75" customHeight="1" x14ac:dyDescent="0.35">
      <c r="A360" s="18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5.75" customHeight="1" x14ac:dyDescent="0.35">
      <c r="A361" s="18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5.75" customHeight="1" x14ac:dyDescent="0.35">
      <c r="A362" s="18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5.75" customHeight="1" x14ac:dyDescent="0.35">
      <c r="A363" s="18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5.75" customHeight="1" x14ac:dyDescent="0.35">
      <c r="A364" s="18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5.75" customHeight="1" x14ac:dyDescent="0.35">
      <c r="A365" s="18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5.75" customHeight="1" x14ac:dyDescent="0.35">
      <c r="A366" s="18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5.75" customHeight="1" x14ac:dyDescent="0.35">
      <c r="A367" s="18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5.75" customHeight="1" x14ac:dyDescent="0.35">
      <c r="A368" s="18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5.75" customHeight="1" x14ac:dyDescent="0.35">
      <c r="A369" s="18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5.75" customHeight="1" x14ac:dyDescent="0.35">
      <c r="A370" s="18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5.75" customHeight="1" x14ac:dyDescent="0.35">
      <c r="A371" s="18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5.75" customHeight="1" x14ac:dyDescent="0.35">
      <c r="A372" s="18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5.75" customHeight="1" x14ac:dyDescent="0.35">
      <c r="A373" s="18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5.75" customHeight="1" x14ac:dyDescent="0.35">
      <c r="A374" s="18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5.75" customHeight="1" x14ac:dyDescent="0.35">
      <c r="A375" s="18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5.75" customHeight="1" x14ac:dyDescent="0.35">
      <c r="A376" s="18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5.75" customHeight="1" x14ac:dyDescent="0.35">
      <c r="A377" s="18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5.75" customHeight="1" x14ac:dyDescent="0.35">
      <c r="A378" s="18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5.75" customHeight="1" x14ac:dyDescent="0.35">
      <c r="A379" s="18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5.75" customHeight="1" x14ac:dyDescent="0.35">
      <c r="A380" s="18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5.75" customHeight="1" x14ac:dyDescent="0.35">
      <c r="A381" s="18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5.75" customHeight="1" x14ac:dyDescent="0.35">
      <c r="A382" s="18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5.75" customHeight="1" x14ac:dyDescent="0.35">
      <c r="A383" s="18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5.75" customHeight="1" x14ac:dyDescent="0.35">
      <c r="A384" s="18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5.75" customHeight="1" x14ac:dyDescent="0.35">
      <c r="A385" s="18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5.75" customHeight="1" x14ac:dyDescent="0.35">
      <c r="A386" s="18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5.75" customHeight="1" x14ac:dyDescent="0.35">
      <c r="A387" s="18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5.75" customHeight="1" x14ac:dyDescent="0.35">
      <c r="A388" s="18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5.75" customHeight="1" x14ac:dyDescent="0.35">
      <c r="A389" s="18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5.75" customHeight="1" x14ac:dyDescent="0.35">
      <c r="A390" s="18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5.75" customHeight="1" x14ac:dyDescent="0.35">
      <c r="A391" s="18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5.75" customHeight="1" x14ac:dyDescent="0.35">
      <c r="A392" s="18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5.75" customHeight="1" x14ac:dyDescent="0.35">
      <c r="A393" s="18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5.75" customHeight="1" x14ac:dyDescent="0.35">
      <c r="A394" s="18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5.75" customHeight="1" x14ac:dyDescent="0.35">
      <c r="A395" s="18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5.75" customHeight="1" x14ac:dyDescent="0.35">
      <c r="A396" s="18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5.75" customHeight="1" x14ac:dyDescent="0.35">
      <c r="A397" s="18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5.75" customHeight="1" x14ac:dyDescent="0.35">
      <c r="A398" s="18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5.75" customHeight="1" x14ac:dyDescent="0.35">
      <c r="A399" s="18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5.75" customHeight="1" x14ac:dyDescent="0.35">
      <c r="A400" s="18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5.75" customHeight="1" x14ac:dyDescent="0.35">
      <c r="A401" s="18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5.75" customHeight="1" x14ac:dyDescent="0.35">
      <c r="A402" s="18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5.75" customHeight="1" x14ac:dyDescent="0.35">
      <c r="A403" s="18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5.75" customHeight="1" x14ac:dyDescent="0.35">
      <c r="A404" s="18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5.75" customHeight="1" x14ac:dyDescent="0.35">
      <c r="A405" s="18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5.75" customHeight="1" x14ac:dyDescent="0.35">
      <c r="A406" s="18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5.75" customHeight="1" x14ac:dyDescent="0.35">
      <c r="A407" s="18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5.75" customHeight="1" x14ac:dyDescent="0.35">
      <c r="A408" s="18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5.75" customHeight="1" x14ac:dyDescent="0.35">
      <c r="A409" s="18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5.75" customHeight="1" x14ac:dyDescent="0.35">
      <c r="A410" s="18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5.75" customHeight="1" x14ac:dyDescent="0.35">
      <c r="A411" s="18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5.75" customHeight="1" x14ac:dyDescent="0.35">
      <c r="A412" s="18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5.75" customHeight="1" x14ac:dyDescent="0.35">
      <c r="A413" s="18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5.75" customHeight="1" x14ac:dyDescent="0.35">
      <c r="A414" s="18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5.75" customHeight="1" x14ac:dyDescent="0.35">
      <c r="A415" s="18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5.75" customHeight="1" x14ac:dyDescent="0.35">
      <c r="A416" s="18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5.75" customHeight="1" x14ac:dyDescent="0.35">
      <c r="A417" s="18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5.75" customHeight="1" x14ac:dyDescent="0.35">
      <c r="A418" s="18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5.75" customHeight="1" x14ac:dyDescent="0.35">
      <c r="A419" s="18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5.75" customHeight="1" x14ac:dyDescent="0.35">
      <c r="A420" s="18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5.75" customHeight="1" x14ac:dyDescent="0.35">
      <c r="A421" s="18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5.75" customHeight="1" x14ac:dyDescent="0.35">
      <c r="A422" s="18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5.75" customHeight="1" x14ac:dyDescent="0.35">
      <c r="A423" s="18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5.75" customHeight="1" x14ac:dyDescent="0.35">
      <c r="A424" s="18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5.75" customHeight="1" x14ac:dyDescent="0.35">
      <c r="A425" s="18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5.75" customHeight="1" x14ac:dyDescent="0.35">
      <c r="A426" s="18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5.75" customHeight="1" x14ac:dyDescent="0.35">
      <c r="A427" s="18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5.75" customHeight="1" x14ac:dyDescent="0.35">
      <c r="A428" s="18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5.75" customHeight="1" x14ac:dyDescent="0.35">
      <c r="A429" s="18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5.75" customHeight="1" x14ac:dyDescent="0.35">
      <c r="A430" s="18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5.75" customHeight="1" x14ac:dyDescent="0.35">
      <c r="A431" s="18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5.75" customHeight="1" x14ac:dyDescent="0.35">
      <c r="A432" s="18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5.75" customHeight="1" x14ac:dyDescent="0.35">
      <c r="A433" s="18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5.75" customHeight="1" x14ac:dyDescent="0.35">
      <c r="A434" s="18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5.75" customHeight="1" x14ac:dyDescent="0.35">
      <c r="A435" s="18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5.75" customHeight="1" x14ac:dyDescent="0.35">
      <c r="A436" s="18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5.75" customHeight="1" x14ac:dyDescent="0.35">
      <c r="A437" s="18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5.75" customHeight="1" x14ac:dyDescent="0.35">
      <c r="A438" s="18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5.75" customHeight="1" x14ac:dyDescent="0.35">
      <c r="A439" s="18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5.75" customHeight="1" x14ac:dyDescent="0.35">
      <c r="A440" s="18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5.75" customHeight="1" x14ac:dyDescent="0.35">
      <c r="A441" s="18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5.75" customHeight="1" x14ac:dyDescent="0.35">
      <c r="A442" s="18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5.75" customHeight="1" x14ac:dyDescent="0.35">
      <c r="A443" s="18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5.75" customHeight="1" x14ac:dyDescent="0.35">
      <c r="A444" s="18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5.75" customHeight="1" x14ac:dyDescent="0.35">
      <c r="A445" s="18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5.75" customHeight="1" x14ac:dyDescent="0.35">
      <c r="A446" s="18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5.75" customHeight="1" x14ac:dyDescent="0.35">
      <c r="A447" s="18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5.75" customHeight="1" x14ac:dyDescent="0.35">
      <c r="A448" s="18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5.75" customHeight="1" x14ac:dyDescent="0.35">
      <c r="A449" s="18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5.75" customHeight="1" x14ac:dyDescent="0.35">
      <c r="A450" s="18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5.75" customHeight="1" x14ac:dyDescent="0.35">
      <c r="A451" s="18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5.75" customHeight="1" x14ac:dyDescent="0.35">
      <c r="A452" s="18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5.75" customHeight="1" x14ac:dyDescent="0.35">
      <c r="A453" s="18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5.75" customHeight="1" x14ac:dyDescent="0.35">
      <c r="A454" s="18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5.75" customHeight="1" x14ac:dyDescent="0.35">
      <c r="A455" s="18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5.75" customHeight="1" x14ac:dyDescent="0.35">
      <c r="A456" s="18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5.75" customHeight="1" x14ac:dyDescent="0.35">
      <c r="A457" s="18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5.75" customHeight="1" x14ac:dyDescent="0.35">
      <c r="A458" s="18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5.75" customHeight="1" x14ac:dyDescent="0.35">
      <c r="A459" s="18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5.75" customHeight="1" x14ac:dyDescent="0.35">
      <c r="A460" s="18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5.75" customHeight="1" x14ac:dyDescent="0.35">
      <c r="A461" s="18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5.75" customHeight="1" x14ac:dyDescent="0.35">
      <c r="A462" s="18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5.75" customHeight="1" x14ac:dyDescent="0.35">
      <c r="A463" s="18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5.75" customHeight="1" x14ac:dyDescent="0.35">
      <c r="A464" s="18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5.75" customHeight="1" x14ac:dyDescent="0.35">
      <c r="A465" s="18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5.75" customHeight="1" x14ac:dyDescent="0.35">
      <c r="A466" s="18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5.75" customHeight="1" x14ac:dyDescent="0.35">
      <c r="A467" s="18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5.75" customHeight="1" x14ac:dyDescent="0.35">
      <c r="A468" s="18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5.75" customHeight="1" x14ac:dyDescent="0.35">
      <c r="A469" s="18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5.75" customHeight="1" x14ac:dyDescent="0.35">
      <c r="A470" s="18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5.75" customHeight="1" x14ac:dyDescent="0.35">
      <c r="A471" s="18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5.75" customHeight="1" x14ac:dyDescent="0.35">
      <c r="A472" s="18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5.75" customHeight="1" x14ac:dyDescent="0.35">
      <c r="A473" s="18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5.75" customHeight="1" x14ac:dyDescent="0.35">
      <c r="A474" s="18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5.75" customHeight="1" x14ac:dyDescent="0.35">
      <c r="A475" s="18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5.75" customHeight="1" x14ac:dyDescent="0.35">
      <c r="A476" s="18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5.75" customHeight="1" x14ac:dyDescent="0.35">
      <c r="A477" s="18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5.75" customHeight="1" x14ac:dyDescent="0.35">
      <c r="A478" s="18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5.75" customHeight="1" x14ac:dyDescent="0.35">
      <c r="A479" s="18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5.75" customHeight="1" x14ac:dyDescent="0.35">
      <c r="A480" s="18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5.75" customHeight="1" x14ac:dyDescent="0.35">
      <c r="A481" s="18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5.75" customHeight="1" x14ac:dyDescent="0.35">
      <c r="A482" s="18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5.75" customHeight="1" x14ac:dyDescent="0.35">
      <c r="A483" s="18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5.75" customHeight="1" x14ac:dyDescent="0.35">
      <c r="A484" s="18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5.75" customHeight="1" x14ac:dyDescent="0.35">
      <c r="A485" s="18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5.75" customHeight="1" x14ac:dyDescent="0.35">
      <c r="A486" s="18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5.75" customHeight="1" x14ac:dyDescent="0.35">
      <c r="A487" s="18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5.75" customHeight="1" x14ac:dyDescent="0.35">
      <c r="A488" s="18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5.75" customHeight="1" x14ac:dyDescent="0.35">
      <c r="A489" s="18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5.75" customHeight="1" x14ac:dyDescent="0.35">
      <c r="A490" s="18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5.75" customHeight="1" x14ac:dyDescent="0.35">
      <c r="A491" s="18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5.75" customHeight="1" x14ac:dyDescent="0.35">
      <c r="A492" s="18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5.75" customHeight="1" x14ac:dyDescent="0.35">
      <c r="A493" s="18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5.75" customHeight="1" x14ac:dyDescent="0.35">
      <c r="A494" s="18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5.75" customHeight="1" x14ac:dyDescent="0.35">
      <c r="A495" s="18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5.75" customHeight="1" x14ac:dyDescent="0.35">
      <c r="A496" s="18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5.75" customHeight="1" x14ac:dyDescent="0.35">
      <c r="A497" s="18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5.75" customHeight="1" x14ac:dyDescent="0.35">
      <c r="A498" s="18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5.75" customHeight="1" x14ac:dyDescent="0.35">
      <c r="A499" s="18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5.75" customHeight="1" x14ac:dyDescent="0.35">
      <c r="A500" s="18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5.75" customHeight="1" x14ac:dyDescent="0.35">
      <c r="A501" s="18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5.75" customHeight="1" x14ac:dyDescent="0.35">
      <c r="A502" s="18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5.75" customHeight="1" x14ac:dyDescent="0.35">
      <c r="A503" s="18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5.75" customHeight="1" x14ac:dyDescent="0.35">
      <c r="A504" s="18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5.75" customHeight="1" x14ac:dyDescent="0.35">
      <c r="A505" s="18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5.75" customHeight="1" x14ac:dyDescent="0.35">
      <c r="A506" s="18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5.75" customHeight="1" x14ac:dyDescent="0.35">
      <c r="A507" s="18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5.75" customHeight="1" x14ac:dyDescent="0.35">
      <c r="A508" s="18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5.75" customHeight="1" x14ac:dyDescent="0.35">
      <c r="A509" s="18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5.75" customHeight="1" x14ac:dyDescent="0.35">
      <c r="A510" s="18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5.75" customHeight="1" x14ac:dyDescent="0.35">
      <c r="A511" s="18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5.75" customHeight="1" x14ac:dyDescent="0.35">
      <c r="A512" s="18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5.75" customHeight="1" x14ac:dyDescent="0.35">
      <c r="A513" s="18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5.75" customHeight="1" x14ac:dyDescent="0.35">
      <c r="A514" s="18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5.75" customHeight="1" x14ac:dyDescent="0.35">
      <c r="A515" s="18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5.75" customHeight="1" x14ac:dyDescent="0.35">
      <c r="A516" s="18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5.75" customHeight="1" x14ac:dyDescent="0.35">
      <c r="A517" s="18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5.75" customHeight="1" x14ac:dyDescent="0.35">
      <c r="A518" s="18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5.75" customHeight="1" x14ac:dyDescent="0.35">
      <c r="A519" s="18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5.75" customHeight="1" x14ac:dyDescent="0.35">
      <c r="A520" s="18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5.75" customHeight="1" x14ac:dyDescent="0.35">
      <c r="A521" s="18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5.75" customHeight="1" x14ac:dyDescent="0.35">
      <c r="A522" s="18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5.75" customHeight="1" x14ac:dyDescent="0.35">
      <c r="A523" s="18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5.75" customHeight="1" x14ac:dyDescent="0.35">
      <c r="A524" s="18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5.75" customHeight="1" x14ac:dyDescent="0.35">
      <c r="A525" s="18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5.75" customHeight="1" x14ac:dyDescent="0.35">
      <c r="A526" s="18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5.75" customHeight="1" x14ac:dyDescent="0.35">
      <c r="A527" s="18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5.75" customHeight="1" x14ac:dyDescent="0.35">
      <c r="A528" s="18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5.75" customHeight="1" x14ac:dyDescent="0.35">
      <c r="A529" s="18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5.75" customHeight="1" x14ac:dyDescent="0.35">
      <c r="A530" s="18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5.75" customHeight="1" x14ac:dyDescent="0.35">
      <c r="A531" s="18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5.75" customHeight="1" x14ac:dyDescent="0.35">
      <c r="A532" s="18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5.75" customHeight="1" x14ac:dyDescent="0.35">
      <c r="A533" s="18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5.75" customHeight="1" x14ac:dyDescent="0.35">
      <c r="A534" s="18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5.75" customHeight="1" x14ac:dyDescent="0.35">
      <c r="A535" s="18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5.75" customHeight="1" x14ac:dyDescent="0.35">
      <c r="A536" s="18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5.75" customHeight="1" x14ac:dyDescent="0.35">
      <c r="A537" s="18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5.75" customHeight="1" x14ac:dyDescent="0.35">
      <c r="A538" s="18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5.75" customHeight="1" x14ac:dyDescent="0.35">
      <c r="A539" s="18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5.75" customHeight="1" x14ac:dyDescent="0.35">
      <c r="A540" s="18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5.75" customHeight="1" x14ac:dyDescent="0.35">
      <c r="A541" s="18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5.75" customHeight="1" x14ac:dyDescent="0.35">
      <c r="A542" s="18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5.75" customHeight="1" x14ac:dyDescent="0.35">
      <c r="A543" s="18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5.75" customHeight="1" x14ac:dyDescent="0.35">
      <c r="A544" s="18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5.75" customHeight="1" x14ac:dyDescent="0.35">
      <c r="A545" s="18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5.75" customHeight="1" x14ac:dyDescent="0.35">
      <c r="A546" s="18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5.75" customHeight="1" x14ac:dyDescent="0.35">
      <c r="A547" s="18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5.75" customHeight="1" x14ac:dyDescent="0.35">
      <c r="A548" s="18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5.75" customHeight="1" x14ac:dyDescent="0.35">
      <c r="A549" s="18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5.75" customHeight="1" x14ac:dyDescent="0.35">
      <c r="A550" s="18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5.75" customHeight="1" x14ac:dyDescent="0.35">
      <c r="A551" s="18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5.75" customHeight="1" x14ac:dyDescent="0.35">
      <c r="A552" s="18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5.75" customHeight="1" x14ac:dyDescent="0.35">
      <c r="A553" s="18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5.75" customHeight="1" x14ac:dyDescent="0.35">
      <c r="A554" s="18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5.75" customHeight="1" x14ac:dyDescent="0.35">
      <c r="A555" s="18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5.75" customHeight="1" x14ac:dyDescent="0.35">
      <c r="A556" s="18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5.75" customHeight="1" x14ac:dyDescent="0.35">
      <c r="A557" s="18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5.75" customHeight="1" x14ac:dyDescent="0.35">
      <c r="A558" s="18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5.75" customHeight="1" x14ac:dyDescent="0.35">
      <c r="A559" s="18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5.75" customHeight="1" x14ac:dyDescent="0.35">
      <c r="A560" s="18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5.75" customHeight="1" x14ac:dyDescent="0.35">
      <c r="A561" s="18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5.75" customHeight="1" x14ac:dyDescent="0.35">
      <c r="A562" s="18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5.75" customHeight="1" x14ac:dyDescent="0.35">
      <c r="A563" s="18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5.75" customHeight="1" x14ac:dyDescent="0.35">
      <c r="A564" s="18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5.75" customHeight="1" x14ac:dyDescent="0.35">
      <c r="A565" s="18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5.75" customHeight="1" x14ac:dyDescent="0.35">
      <c r="A566" s="18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5.75" customHeight="1" x14ac:dyDescent="0.35">
      <c r="A567" s="18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5.75" customHeight="1" x14ac:dyDescent="0.35">
      <c r="A568" s="18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5.75" customHeight="1" x14ac:dyDescent="0.35">
      <c r="A569" s="18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5.75" customHeight="1" x14ac:dyDescent="0.35">
      <c r="A570" s="18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5.75" customHeight="1" x14ac:dyDescent="0.35">
      <c r="A571" s="18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5.75" customHeight="1" x14ac:dyDescent="0.35">
      <c r="A572" s="18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5.75" customHeight="1" x14ac:dyDescent="0.35">
      <c r="A573" s="18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5.75" customHeight="1" x14ac:dyDescent="0.35">
      <c r="A574" s="18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5.75" customHeight="1" x14ac:dyDescent="0.35">
      <c r="A575" s="18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5.75" customHeight="1" x14ac:dyDescent="0.35">
      <c r="A576" s="18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5.75" customHeight="1" x14ac:dyDescent="0.35">
      <c r="A577" s="18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5.75" customHeight="1" x14ac:dyDescent="0.35">
      <c r="A578" s="18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5.75" customHeight="1" x14ac:dyDescent="0.35">
      <c r="A579" s="18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5.75" customHeight="1" x14ac:dyDescent="0.35">
      <c r="A580" s="18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5.75" customHeight="1" x14ac:dyDescent="0.35">
      <c r="A581" s="18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5.75" customHeight="1" x14ac:dyDescent="0.35">
      <c r="A582" s="18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5.75" customHeight="1" x14ac:dyDescent="0.35">
      <c r="A583" s="18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5.75" customHeight="1" x14ac:dyDescent="0.35">
      <c r="A584" s="18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5.75" customHeight="1" x14ac:dyDescent="0.35">
      <c r="A585" s="18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5.75" customHeight="1" x14ac:dyDescent="0.35">
      <c r="A586" s="18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5.75" customHeight="1" x14ac:dyDescent="0.35">
      <c r="A587" s="18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5.75" customHeight="1" x14ac:dyDescent="0.35">
      <c r="A588" s="18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5.75" customHeight="1" x14ac:dyDescent="0.35">
      <c r="A589" s="18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5.75" customHeight="1" x14ac:dyDescent="0.35">
      <c r="A590" s="18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5.75" customHeight="1" x14ac:dyDescent="0.35">
      <c r="A591" s="18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5.75" customHeight="1" x14ac:dyDescent="0.35">
      <c r="A592" s="18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5.75" customHeight="1" x14ac:dyDescent="0.35">
      <c r="A593" s="18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5.75" customHeight="1" x14ac:dyDescent="0.35">
      <c r="A594" s="18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5.75" customHeight="1" x14ac:dyDescent="0.35">
      <c r="A595" s="18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5.75" customHeight="1" x14ac:dyDescent="0.35">
      <c r="A596" s="18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5.75" customHeight="1" x14ac:dyDescent="0.35">
      <c r="A597" s="18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5.75" customHeight="1" x14ac:dyDescent="0.35">
      <c r="A598" s="18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5.75" customHeight="1" x14ac:dyDescent="0.35">
      <c r="A599" s="18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5.75" customHeight="1" x14ac:dyDescent="0.35">
      <c r="A600" s="18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5.75" customHeight="1" x14ac:dyDescent="0.35">
      <c r="A601" s="18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5.75" customHeight="1" x14ac:dyDescent="0.35">
      <c r="A602" s="18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5.75" customHeight="1" x14ac:dyDescent="0.35">
      <c r="A603" s="18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5.75" customHeight="1" x14ac:dyDescent="0.35">
      <c r="A604" s="18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5.75" customHeight="1" x14ac:dyDescent="0.35">
      <c r="A605" s="18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5.75" customHeight="1" x14ac:dyDescent="0.35">
      <c r="A606" s="18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5.75" customHeight="1" x14ac:dyDescent="0.35">
      <c r="A607" s="18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5.75" customHeight="1" x14ac:dyDescent="0.35">
      <c r="A608" s="18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5.75" customHeight="1" x14ac:dyDescent="0.35">
      <c r="A609" s="18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5.75" customHeight="1" x14ac:dyDescent="0.35">
      <c r="A610" s="18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5.75" customHeight="1" x14ac:dyDescent="0.35">
      <c r="A611" s="18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5.75" customHeight="1" x14ac:dyDescent="0.35">
      <c r="A612" s="18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5.75" customHeight="1" x14ac:dyDescent="0.35">
      <c r="A613" s="18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5.75" customHeight="1" x14ac:dyDescent="0.35">
      <c r="A614" s="18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5.75" customHeight="1" x14ac:dyDescent="0.35">
      <c r="A615" s="18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5.75" customHeight="1" x14ac:dyDescent="0.35">
      <c r="A616" s="18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5.75" customHeight="1" x14ac:dyDescent="0.35">
      <c r="A617" s="18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5.75" customHeight="1" x14ac:dyDescent="0.35">
      <c r="A618" s="18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5.75" customHeight="1" x14ac:dyDescent="0.35">
      <c r="A619" s="18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5.75" customHeight="1" x14ac:dyDescent="0.35">
      <c r="A620" s="18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5.75" customHeight="1" x14ac:dyDescent="0.35">
      <c r="A621" s="18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5.75" customHeight="1" x14ac:dyDescent="0.35">
      <c r="A622" s="18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5.75" customHeight="1" x14ac:dyDescent="0.35">
      <c r="A623" s="18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5.75" customHeight="1" x14ac:dyDescent="0.35">
      <c r="A624" s="18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5.75" customHeight="1" x14ac:dyDescent="0.35">
      <c r="A625" s="18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5.75" customHeight="1" x14ac:dyDescent="0.35">
      <c r="A626" s="18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5.75" customHeight="1" x14ac:dyDescent="0.35">
      <c r="A627" s="18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5.75" customHeight="1" x14ac:dyDescent="0.35">
      <c r="A628" s="18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5.75" customHeight="1" x14ac:dyDescent="0.35">
      <c r="A629" s="18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5.75" customHeight="1" x14ac:dyDescent="0.35">
      <c r="A630" s="18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5.75" customHeight="1" x14ac:dyDescent="0.35">
      <c r="A631" s="18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5.75" customHeight="1" x14ac:dyDescent="0.35">
      <c r="A632" s="18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5.75" customHeight="1" x14ac:dyDescent="0.35">
      <c r="A633" s="18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5.75" customHeight="1" x14ac:dyDescent="0.35">
      <c r="A634" s="18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5.75" customHeight="1" x14ac:dyDescent="0.35">
      <c r="A635" s="18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5.75" customHeight="1" x14ac:dyDescent="0.35">
      <c r="A636" s="18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5.75" customHeight="1" x14ac:dyDescent="0.35">
      <c r="A637" s="18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5.75" customHeight="1" x14ac:dyDescent="0.35">
      <c r="A638" s="18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5.75" customHeight="1" x14ac:dyDescent="0.35">
      <c r="A639" s="18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5.75" customHeight="1" x14ac:dyDescent="0.35">
      <c r="A640" s="18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5.75" customHeight="1" x14ac:dyDescent="0.35">
      <c r="A641" s="18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5.75" customHeight="1" x14ac:dyDescent="0.35">
      <c r="A642" s="18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5.75" customHeight="1" x14ac:dyDescent="0.35">
      <c r="A643" s="18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5.75" customHeight="1" x14ac:dyDescent="0.35">
      <c r="A644" s="18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5.75" customHeight="1" x14ac:dyDescent="0.35">
      <c r="A645" s="18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5.75" customHeight="1" x14ac:dyDescent="0.35">
      <c r="A646" s="18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5.75" customHeight="1" x14ac:dyDescent="0.35">
      <c r="A647" s="18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5.75" customHeight="1" x14ac:dyDescent="0.35">
      <c r="A648" s="18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5.75" customHeight="1" x14ac:dyDescent="0.35">
      <c r="A649" s="18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5.75" customHeight="1" x14ac:dyDescent="0.35">
      <c r="A650" s="18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5.75" customHeight="1" x14ac:dyDescent="0.35">
      <c r="A651" s="18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5.75" customHeight="1" x14ac:dyDescent="0.35">
      <c r="A652" s="18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5.75" customHeight="1" x14ac:dyDescent="0.35">
      <c r="A653" s="18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5.75" customHeight="1" x14ac:dyDescent="0.35">
      <c r="A654" s="18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5.75" customHeight="1" x14ac:dyDescent="0.35">
      <c r="A655" s="18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5.75" customHeight="1" x14ac:dyDescent="0.35">
      <c r="A656" s="18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5.75" customHeight="1" x14ac:dyDescent="0.35">
      <c r="A657" s="18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5.75" customHeight="1" x14ac:dyDescent="0.35">
      <c r="A658" s="18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5.75" customHeight="1" x14ac:dyDescent="0.35">
      <c r="A659" s="18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5.75" customHeight="1" x14ac:dyDescent="0.35">
      <c r="A660" s="18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5.75" customHeight="1" x14ac:dyDescent="0.35">
      <c r="A661" s="18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5.75" customHeight="1" x14ac:dyDescent="0.35">
      <c r="A662" s="18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5.75" customHeight="1" x14ac:dyDescent="0.35">
      <c r="A663" s="18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5.75" customHeight="1" x14ac:dyDescent="0.35">
      <c r="A664" s="18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5.75" customHeight="1" x14ac:dyDescent="0.35">
      <c r="A665" s="18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5.75" customHeight="1" x14ac:dyDescent="0.35">
      <c r="A666" s="18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5.75" customHeight="1" x14ac:dyDescent="0.35">
      <c r="A667" s="18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5.75" customHeight="1" x14ac:dyDescent="0.35">
      <c r="A668" s="18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5.75" customHeight="1" x14ac:dyDescent="0.35">
      <c r="A669" s="18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5.75" customHeight="1" x14ac:dyDescent="0.35">
      <c r="A670" s="18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5.75" customHeight="1" x14ac:dyDescent="0.35">
      <c r="A671" s="18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5.75" customHeight="1" x14ac:dyDescent="0.35">
      <c r="A672" s="18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5.75" customHeight="1" x14ac:dyDescent="0.35">
      <c r="A673" s="18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5.75" customHeight="1" x14ac:dyDescent="0.35">
      <c r="A674" s="18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5.75" customHeight="1" x14ac:dyDescent="0.35">
      <c r="A675" s="18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5.75" customHeight="1" x14ac:dyDescent="0.35">
      <c r="A676" s="18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5.75" customHeight="1" x14ac:dyDescent="0.35">
      <c r="A677" s="18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5.75" customHeight="1" x14ac:dyDescent="0.35">
      <c r="A678" s="18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5.75" customHeight="1" x14ac:dyDescent="0.35">
      <c r="A679" s="18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5.75" customHeight="1" x14ac:dyDescent="0.35">
      <c r="A680" s="18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5.75" customHeight="1" x14ac:dyDescent="0.35">
      <c r="A681" s="18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5.75" customHeight="1" x14ac:dyDescent="0.35">
      <c r="A682" s="18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5.75" customHeight="1" x14ac:dyDescent="0.35">
      <c r="A683" s="18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5.75" customHeight="1" x14ac:dyDescent="0.35">
      <c r="A684" s="18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5.75" customHeight="1" x14ac:dyDescent="0.35">
      <c r="A685" s="18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5.75" customHeight="1" x14ac:dyDescent="0.35">
      <c r="A686" s="18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5.75" customHeight="1" x14ac:dyDescent="0.35">
      <c r="A687" s="18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5.75" customHeight="1" x14ac:dyDescent="0.35">
      <c r="A688" s="18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5.75" customHeight="1" x14ac:dyDescent="0.35">
      <c r="A689" s="18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5.75" customHeight="1" x14ac:dyDescent="0.35">
      <c r="A690" s="18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5.75" customHeight="1" x14ac:dyDescent="0.35">
      <c r="A691" s="18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5.75" customHeight="1" x14ac:dyDescent="0.35">
      <c r="A692" s="18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5.75" customHeight="1" x14ac:dyDescent="0.35">
      <c r="A693" s="18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5.75" customHeight="1" x14ac:dyDescent="0.35">
      <c r="A694" s="18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5.75" customHeight="1" x14ac:dyDescent="0.35">
      <c r="A695" s="18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5.75" customHeight="1" x14ac:dyDescent="0.35">
      <c r="A696" s="18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5.75" customHeight="1" x14ac:dyDescent="0.35">
      <c r="A697" s="18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5.75" customHeight="1" x14ac:dyDescent="0.35">
      <c r="A698" s="18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5.75" customHeight="1" x14ac:dyDescent="0.35">
      <c r="A699" s="18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5.75" customHeight="1" x14ac:dyDescent="0.35">
      <c r="A700" s="18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5.75" customHeight="1" x14ac:dyDescent="0.35">
      <c r="A701" s="18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5.75" customHeight="1" x14ac:dyDescent="0.35">
      <c r="A702" s="18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5.75" customHeight="1" x14ac:dyDescent="0.35">
      <c r="A703" s="18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5.75" customHeight="1" x14ac:dyDescent="0.35">
      <c r="A704" s="18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5.75" customHeight="1" x14ac:dyDescent="0.35">
      <c r="A705" s="18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5.75" customHeight="1" x14ac:dyDescent="0.35">
      <c r="A706" s="18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5.75" customHeight="1" x14ac:dyDescent="0.35">
      <c r="A707" s="18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5.75" customHeight="1" x14ac:dyDescent="0.35">
      <c r="A708" s="18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5.75" customHeight="1" x14ac:dyDescent="0.35">
      <c r="A709" s="18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5.75" customHeight="1" x14ac:dyDescent="0.35">
      <c r="A710" s="18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5.75" customHeight="1" x14ac:dyDescent="0.35">
      <c r="A711" s="18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5.75" customHeight="1" x14ac:dyDescent="0.35">
      <c r="A712" s="18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5.75" customHeight="1" x14ac:dyDescent="0.35">
      <c r="A713" s="18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5.75" customHeight="1" x14ac:dyDescent="0.35">
      <c r="A714" s="18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5.75" customHeight="1" x14ac:dyDescent="0.35">
      <c r="A715" s="18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5.75" customHeight="1" x14ac:dyDescent="0.35">
      <c r="A716" s="18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5.75" customHeight="1" x14ac:dyDescent="0.35">
      <c r="A717" s="18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5.75" customHeight="1" x14ac:dyDescent="0.35">
      <c r="A718" s="18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5.75" customHeight="1" x14ac:dyDescent="0.35">
      <c r="A719" s="18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5.75" customHeight="1" x14ac:dyDescent="0.35">
      <c r="A720" s="18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5.75" customHeight="1" x14ac:dyDescent="0.35">
      <c r="A721" s="18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5.75" customHeight="1" x14ac:dyDescent="0.35">
      <c r="A722" s="18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5.75" customHeight="1" x14ac:dyDescent="0.35">
      <c r="A723" s="18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5.75" customHeight="1" x14ac:dyDescent="0.35">
      <c r="A724" s="18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5.75" customHeight="1" x14ac:dyDescent="0.35">
      <c r="A725" s="18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5.75" customHeight="1" x14ac:dyDescent="0.35">
      <c r="A726" s="18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5.75" customHeight="1" x14ac:dyDescent="0.35">
      <c r="A727" s="18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5.75" customHeight="1" x14ac:dyDescent="0.35">
      <c r="A728" s="18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5.75" customHeight="1" x14ac:dyDescent="0.35">
      <c r="A729" s="18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5.75" customHeight="1" x14ac:dyDescent="0.35">
      <c r="A730" s="18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5.75" customHeight="1" x14ac:dyDescent="0.35">
      <c r="A731" s="18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5.75" customHeight="1" x14ac:dyDescent="0.35">
      <c r="A732" s="18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5.75" customHeight="1" x14ac:dyDescent="0.35">
      <c r="A733" s="18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5.75" customHeight="1" x14ac:dyDescent="0.35">
      <c r="A734" s="18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5.75" customHeight="1" x14ac:dyDescent="0.35">
      <c r="A735" s="18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5.75" customHeight="1" x14ac:dyDescent="0.35">
      <c r="A736" s="18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5.75" customHeight="1" x14ac:dyDescent="0.35">
      <c r="A737" s="18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5.75" customHeight="1" x14ac:dyDescent="0.35">
      <c r="A738" s="18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5.75" customHeight="1" x14ac:dyDescent="0.35">
      <c r="A739" s="18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5.75" customHeight="1" x14ac:dyDescent="0.35">
      <c r="A740" s="18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5.75" customHeight="1" x14ac:dyDescent="0.35">
      <c r="A741" s="18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5.75" customHeight="1" x14ac:dyDescent="0.35">
      <c r="A742" s="18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5.75" customHeight="1" x14ac:dyDescent="0.35">
      <c r="A743" s="18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5.75" customHeight="1" x14ac:dyDescent="0.35">
      <c r="A744" s="18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5.75" customHeight="1" x14ac:dyDescent="0.35">
      <c r="A745" s="18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5.75" customHeight="1" x14ac:dyDescent="0.35">
      <c r="A746" s="18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5.75" customHeight="1" x14ac:dyDescent="0.35">
      <c r="A747" s="18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5.75" customHeight="1" x14ac:dyDescent="0.35">
      <c r="A748" s="18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5.75" customHeight="1" x14ac:dyDescent="0.35">
      <c r="A749" s="18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5.75" customHeight="1" x14ac:dyDescent="0.35">
      <c r="A750" s="18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5.75" customHeight="1" x14ac:dyDescent="0.35">
      <c r="A751" s="18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5.75" customHeight="1" x14ac:dyDescent="0.35">
      <c r="A752" s="18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5.75" customHeight="1" x14ac:dyDescent="0.35">
      <c r="A753" s="18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5.75" customHeight="1" x14ac:dyDescent="0.35">
      <c r="A754" s="18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5.75" customHeight="1" x14ac:dyDescent="0.35">
      <c r="A755" s="18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5.75" customHeight="1" x14ac:dyDescent="0.35">
      <c r="A756" s="18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5.75" customHeight="1" x14ac:dyDescent="0.35">
      <c r="A757" s="18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5.75" customHeight="1" x14ac:dyDescent="0.35">
      <c r="A758" s="18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5.75" customHeight="1" x14ac:dyDescent="0.35">
      <c r="A759" s="18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5.75" customHeight="1" x14ac:dyDescent="0.35">
      <c r="A760" s="18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5.75" customHeight="1" x14ac:dyDescent="0.35">
      <c r="A761" s="18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5.75" customHeight="1" x14ac:dyDescent="0.35">
      <c r="A762" s="18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5.75" customHeight="1" x14ac:dyDescent="0.35">
      <c r="A763" s="18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5.75" customHeight="1" x14ac:dyDescent="0.35">
      <c r="A764" s="18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5.75" customHeight="1" x14ac:dyDescent="0.35">
      <c r="A765" s="18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5.75" customHeight="1" x14ac:dyDescent="0.35">
      <c r="A766" s="18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5.75" customHeight="1" x14ac:dyDescent="0.35">
      <c r="A767" s="18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5.75" customHeight="1" x14ac:dyDescent="0.35">
      <c r="A768" s="18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5.75" customHeight="1" x14ac:dyDescent="0.35">
      <c r="A769" s="18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5.75" customHeight="1" x14ac:dyDescent="0.35">
      <c r="A770" s="18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5.75" customHeight="1" x14ac:dyDescent="0.35">
      <c r="A771" s="18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5.75" customHeight="1" x14ac:dyDescent="0.35">
      <c r="A772" s="18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5.75" customHeight="1" x14ac:dyDescent="0.35">
      <c r="A773" s="18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5.75" customHeight="1" x14ac:dyDescent="0.35">
      <c r="A774" s="18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5.75" customHeight="1" x14ac:dyDescent="0.35">
      <c r="A775" s="18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5.75" customHeight="1" x14ac:dyDescent="0.35">
      <c r="A776" s="18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5.75" customHeight="1" x14ac:dyDescent="0.35">
      <c r="A777" s="18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5.75" customHeight="1" x14ac:dyDescent="0.35">
      <c r="A778" s="18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5.75" customHeight="1" x14ac:dyDescent="0.35">
      <c r="A779" s="18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5.75" customHeight="1" x14ac:dyDescent="0.35">
      <c r="A780" s="18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5.75" customHeight="1" x14ac:dyDescent="0.35">
      <c r="A781" s="18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5.75" customHeight="1" x14ac:dyDescent="0.35">
      <c r="A782" s="18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5.75" customHeight="1" x14ac:dyDescent="0.35">
      <c r="A783" s="18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5.75" customHeight="1" x14ac:dyDescent="0.35">
      <c r="A784" s="18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5.75" customHeight="1" x14ac:dyDescent="0.35">
      <c r="A785" s="18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5.75" customHeight="1" x14ac:dyDescent="0.35">
      <c r="A786" s="18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5.75" customHeight="1" x14ac:dyDescent="0.35">
      <c r="A787" s="18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5.75" customHeight="1" x14ac:dyDescent="0.35">
      <c r="A788" s="18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5.75" customHeight="1" x14ac:dyDescent="0.35">
      <c r="A789" s="18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5.75" customHeight="1" x14ac:dyDescent="0.35">
      <c r="A790" s="18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5.75" customHeight="1" x14ac:dyDescent="0.35">
      <c r="A791" s="18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5.75" customHeight="1" x14ac:dyDescent="0.35">
      <c r="A792" s="18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5.75" customHeight="1" x14ac:dyDescent="0.35">
      <c r="A793" s="18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5.75" customHeight="1" x14ac:dyDescent="0.35">
      <c r="A794" s="18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5.75" customHeight="1" x14ac:dyDescent="0.35">
      <c r="A795" s="18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5.75" customHeight="1" x14ac:dyDescent="0.35">
      <c r="A796" s="18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5.75" customHeight="1" x14ac:dyDescent="0.35">
      <c r="A797" s="18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5.75" customHeight="1" x14ac:dyDescent="0.35">
      <c r="A798" s="18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5.75" customHeight="1" x14ac:dyDescent="0.35">
      <c r="A799" s="18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5.75" customHeight="1" x14ac:dyDescent="0.35">
      <c r="A800" s="18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5.75" customHeight="1" x14ac:dyDescent="0.35">
      <c r="A801" s="18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5.75" customHeight="1" x14ac:dyDescent="0.35">
      <c r="A802" s="18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5.75" customHeight="1" x14ac:dyDescent="0.35">
      <c r="A803" s="18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5.75" customHeight="1" x14ac:dyDescent="0.35">
      <c r="A804" s="18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5.75" customHeight="1" x14ac:dyDescent="0.35">
      <c r="A805" s="18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5.75" customHeight="1" x14ac:dyDescent="0.35">
      <c r="A806" s="18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5.75" customHeight="1" x14ac:dyDescent="0.35">
      <c r="A807" s="18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5.75" customHeight="1" x14ac:dyDescent="0.35">
      <c r="A808" s="18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5.75" customHeight="1" x14ac:dyDescent="0.35">
      <c r="A809" s="18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5.75" customHeight="1" x14ac:dyDescent="0.35">
      <c r="A810" s="18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5.75" customHeight="1" x14ac:dyDescent="0.35">
      <c r="A811" s="18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5.75" customHeight="1" x14ac:dyDescent="0.35">
      <c r="A812" s="18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5.75" customHeight="1" x14ac:dyDescent="0.35">
      <c r="A813" s="18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5.75" customHeight="1" x14ac:dyDescent="0.35">
      <c r="A814" s="18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5.75" customHeight="1" x14ac:dyDescent="0.35">
      <c r="A815" s="18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5.75" customHeight="1" x14ac:dyDescent="0.35">
      <c r="A816" s="18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5.75" customHeight="1" x14ac:dyDescent="0.35">
      <c r="A817" s="18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5.75" customHeight="1" x14ac:dyDescent="0.35">
      <c r="A818" s="18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5.75" customHeight="1" x14ac:dyDescent="0.35">
      <c r="A819" s="18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5.75" customHeight="1" x14ac:dyDescent="0.35">
      <c r="A820" s="18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5.75" customHeight="1" x14ac:dyDescent="0.35">
      <c r="A821" s="18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5.75" customHeight="1" x14ac:dyDescent="0.35">
      <c r="A822" s="18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5.75" customHeight="1" x14ac:dyDescent="0.35">
      <c r="A823" s="18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5.75" customHeight="1" x14ac:dyDescent="0.35">
      <c r="A824" s="18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5.75" customHeight="1" x14ac:dyDescent="0.35">
      <c r="A825" s="18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5.75" customHeight="1" x14ac:dyDescent="0.35">
      <c r="A826" s="18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5.75" customHeight="1" x14ac:dyDescent="0.35">
      <c r="A827" s="18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5.75" customHeight="1" x14ac:dyDescent="0.35">
      <c r="A828" s="18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5.75" customHeight="1" x14ac:dyDescent="0.35">
      <c r="A829" s="18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5.75" customHeight="1" x14ac:dyDescent="0.35">
      <c r="A830" s="18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5.75" customHeight="1" x14ac:dyDescent="0.35">
      <c r="A831" s="18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5.75" customHeight="1" x14ac:dyDescent="0.35">
      <c r="A832" s="18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5.75" customHeight="1" x14ac:dyDescent="0.35">
      <c r="A833" s="18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5.75" customHeight="1" x14ac:dyDescent="0.35">
      <c r="A834" s="18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5.75" customHeight="1" x14ac:dyDescent="0.35">
      <c r="A835" s="18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5.75" customHeight="1" x14ac:dyDescent="0.35">
      <c r="A836" s="18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5.75" customHeight="1" x14ac:dyDescent="0.35">
      <c r="A837" s="18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5.75" customHeight="1" x14ac:dyDescent="0.35">
      <c r="A838" s="18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5.75" customHeight="1" x14ac:dyDescent="0.35">
      <c r="A839" s="18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5.75" customHeight="1" x14ac:dyDescent="0.35">
      <c r="A840" s="18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5.75" customHeight="1" x14ac:dyDescent="0.35">
      <c r="A841" s="18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5.75" customHeight="1" x14ac:dyDescent="0.35">
      <c r="A842" s="18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5.75" customHeight="1" x14ac:dyDescent="0.35">
      <c r="A843" s="18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5.75" customHeight="1" x14ac:dyDescent="0.35">
      <c r="A844" s="18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5.75" customHeight="1" x14ac:dyDescent="0.35">
      <c r="A845" s="18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5.75" customHeight="1" x14ac:dyDescent="0.35">
      <c r="A846" s="18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5.75" customHeight="1" x14ac:dyDescent="0.35">
      <c r="A847" s="18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5.75" customHeight="1" x14ac:dyDescent="0.35">
      <c r="A848" s="18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5.75" customHeight="1" x14ac:dyDescent="0.35">
      <c r="A849" s="18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5.75" customHeight="1" x14ac:dyDescent="0.35">
      <c r="A850" s="18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5.75" customHeight="1" x14ac:dyDescent="0.35">
      <c r="A851" s="18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5.75" customHeight="1" x14ac:dyDescent="0.35">
      <c r="A852" s="18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5.75" customHeight="1" x14ac:dyDescent="0.35">
      <c r="A853" s="18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5.75" customHeight="1" x14ac:dyDescent="0.35">
      <c r="A854" s="18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5.75" customHeight="1" x14ac:dyDescent="0.35">
      <c r="A855" s="18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5.75" customHeight="1" x14ac:dyDescent="0.35">
      <c r="A856" s="18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5.75" customHeight="1" x14ac:dyDescent="0.35">
      <c r="A857" s="18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5.75" customHeight="1" x14ac:dyDescent="0.35">
      <c r="A858" s="18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5.75" customHeight="1" x14ac:dyDescent="0.35">
      <c r="A859" s="18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5.75" customHeight="1" x14ac:dyDescent="0.35">
      <c r="A860" s="18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5.75" customHeight="1" x14ac:dyDescent="0.35">
      <c r="A861" s="18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5.75" customHeight="1" x14ac:dyDescent="0.35">
      <c r="A862" s="18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5.75" customHeight="1" x14ac:dyDescent="0.35">
      <c r="A863" s="18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5.75" customHeight="1" x14ac:dyDescent="0.35">
      <c r="A864" s="18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5.75" customHeight="1" x14ac:dyDescent="0.35">
      <c r="A865" s="18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5.75" customHeight="1" x14ac:dyDescent="0.35">
      <c r="A866" s="18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5.75" customHeight="1" x14ac:dyDescent="0.35">
      <c r="A867" s="18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5.75" customHeight="1" x14ac:dyDescent="0.35">
      <c r="A868" s="18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5.75" customHeight="1" x14ac:dyDescent="0.35">
      <c r="A869" s="18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5.75" customHeight="1" x14ac:dyDescent="0.35">
      <c r="A870" s="18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5.75" customHeight="1" x14ac:dyDescent="0.35">
      <c r="A871" s="18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5.75" customHeight="1" x14ac:dyDescent="0.35">
      <c r="A872" s="18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5.75" customHeight="1" x14ac:dyDescent="0.35">
      <c r="A873" s="18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5.75" customHeight="1" x14ac:dyDescent="0.35">
      <c r="A874" s="18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5.75" customHeight="1" x14ac:dyDescent="0.35">
      <c r="A875" s="18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5.75" customHeight="1" x14ac:dyDescent="0.35">
      <c r="A876" s="18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5.75" customHeight="1" x14ac:dyDescent="0.35">
      <c r="A877" s="18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5.75" customHeight="1" x14ac:dyDescent="0.35">
      <c r="A878" s="18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5.75" customHeight="1" x14ac:dyDescent="0.35">
      <c r="A879" s="18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5.75" customHeight="1" x14ac:dyDescent="0.35">
      <c r="A880" s="18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5.75" customHeight="1" x14ac:dyDescent="0.35">
      <c r="A881" s="18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5.75" customHeight="1" x14ac:dyDescent="0.35">
      <c r="A882" s="18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5.75" customHeight="1" x14ac:dyDescent="0.35">
      <c r="A883" s="18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5.75" customHeight="1" x14ac:dyDescent="0.35">
      <c r="A884" s="18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5.75" customHeight="1" x14ac:dyDescent="0.35">
      <c r="A885" s="18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5.75" customHeight="1" x14ac:dyDescent="0.35">
      <c r="A886" s="18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5.75" customHeight="1" x14ac:dyDescent="0.35">
      <c r="A887" s="18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5.75" customHeight="1" x14ac:dyDescent="0.35">
      <c r="A888" s="18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5.75" customHeight="1" x14ac:dyDescent="0.35">
      <c r="A889" s="18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5.75" customHeight="1" x14ac:dyDescent="0.35">
      <c r="A890" s="18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5.75" customHeight="1" x14ac:dyDescent="0.35">
      <c r="A891" s="18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5.75" customHeight="1" x14ac:dyDescent="0.35">
      <c r="A892" s="18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5.75" customHeight="1" x14ac:dyDescent="0.35">
      <c r="A893" s="18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5.75" customHeight="1" x14ac:dyDescent="0.35">
      <c r="A894" s="18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5.75" customHeight="1" x14ac:dyDescent="0.35">
      <c r="A895" s="18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5.75" customHeight="1" x14ac:dyDescent="0.35">
      <c r="A896" s="18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5.75" customHeight="1" x14ac:dyDescent="0.35">
      <c r="A897" s="18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5.75" customHeight="1" x14ac:dyDescent="0.35">
      <c r="A898" s="18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5.75" customHeight="1" x14ac:dyDescent="0.35">
      <c r="A899" s="18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5.75" customHeight="1" x14ac:dyDescent="0.35">
      <c r="A900" s="18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5.75" customHeight="1" x14ac:dyDescent="0.35">
      <c r="A901" s="18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5.75" customHeight="1" x14ac:dyDescent="0.35">
      <c r="A902" s="18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5.75" customHeight="1" x14ac:dyDescent="0.35">
      <c r="A903" s="18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5.75" customHeight="1" x14ac:dyDescent="0.35">
      <c r="A904" s="18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5.75" customHeight="1" x14ac:dyDescent="0.35">
      <c r="A905" s="18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5.75" customHeight="1" x14ac:dyDescent="0.35">
      <c r="A906" s="18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5.75" customHeight="1" x14ac:dyDescent="0.35">
      <c r="A907" s="18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5.75" customHeight="1" x14ac:dyDescent="0.35">
      <c r="A908" s="18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5.75" customHeight="1" x14ac:dyDescent="0.35">
      <c r="A909" s="18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5.75" customHeight="1" x14ac:dyDescent="0.35">
      <c r="A910" s="18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5.75" customHeight="1" x14ac:dyDescent="0.35">
      <c r="A911" s="18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5.75" customHeight="1" x14ac:dyDescent="0.35">
      <c r="A912" s="18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5.75" customHeight="1" x14ac:dyDescent="0.35">
      <c r="A913" s="18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5.75" customHeight="1" x14ac:dyDescent="0.35">
      <c r="A914" s="18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5.75" customHeight="1" x14ac:dyDescent="0.35">
      <c r="A915" s="18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5.75" customHeight="1" x14ac:dyDescent="0.35">
      <c r="A916" s="18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5.75" customHeight="1" x14ac:dyDescent="0.35">
      <c r="A917" s="18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5.75" customHeight="1" x14ac:dyDescent="0.35">
      <c r="A918" s="18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5.75" customHeight="1" x14ac:dyDescent="0.35">
      <c r="A919" s="18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5.75" customHeight="1" x14ac:dyDescent="0.35">
      <c r="A920" s="18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5.75" customHeight="1" x14ac:dyDescent="0.35">
      <c r="A921" s="18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5.75" customHeight="1" x14ac:dyDescent="0.35">
      <c r="A922" s="18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5.75" customHeight="1" x14ac:dyDescent="0.35">
      <c r="A923" s="18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5.75" customHeight="1" x14ac:dyDescent="0.35">
      <c r="A924" s="18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5.75" customHeight="1" x14ac:dyDescent="0.35">
      <c r="A925" s="18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5.75" customHeight="1" x14ac:dyDescent="0.35">
      <c r="A926" s="18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5.75" customHeight="1" x14ac:dyDescent="0.35">
      <c r="A927" s="18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5.75" customHeight="1" x14ac:dyDescent="0.35">
      <c r="A928" s="18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5.75" customHeight="1" x14ac:dyDescent="0.35">
      <c r="A929" s="18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5.75" customHeight="1" x14ac:dyDescent="0.35">
      <c r="A930" s="18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5.75" customHeight="1" x14ac:dyDescent="0.35">
      <c r="A931" s="18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5.75" customHeight="1" x14ac:dyDescent="0.35">
      <c r="A932" s="18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5.75" customHeight="1" x14ac:dyDescent="0.35">
      <c r="A933" s="18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5.75" customHeight="1" x14ac:dyDescent="0.35">
      <c r="A934" s="18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5.75" customHeight="1" x14ac:dyDescent="0.35">
      <c r="A935" s="18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5.75" customHeight="1" x14ac:dyDescent="0.35">
      <c r="A936" s="18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5.75" customHeight="1" x14ac:dyDescent="0.35">
      <c r="A937" s="18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5.75" customHeight="1" x14ac:dyDescent="0.35">
      <c r="A938" s="18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5.75" customHeight="1" x14ac:dyDescent="0.35">
      <c r="A939" s="18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5.75" customHeight="1" x14ac:dyDescent="0.35">
      <c r="A940" s="18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5.75" customHeight="1" x14ac:dyDescent="0.35">
      <c r="A941" s="18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5.75" customHeight="1" x14ac:dyDescent="0.35">
      <c r="A942" s="18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5.75" customHeight="1" x14ac:dyDescent="0.35">
      <c r="A943" s="18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5.75" customHeight="1" x14ac:dyDescent="0.35">
      <c r="A944" s="18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5.75" customHeight="1" x14ac:dyDescent="0.35">
      <c r="A945" s="18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5.75" customHeight="1" x14ac:dyDescent="0.35">
      <c r="A946" s="18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5.75" customHeight="1" x14ac:dyDescent="0.35">
      <c r="A947" s="18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5.75" customHeight="1" x14ac:dyDescent="0.35">
      <c r="A948" s="18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5.75" customHeight="1" x14ac:dyDescent="0.35">
      <c r="A949" s="18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5.75" customHeight="1" x14ac:dyDescent="0.35">
      <c r="A950" s="18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5.75" customHeight="1" x14ac:dyDescent="0.35">
      <c r="A951" s="18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5.75" customHeight="1" x14ac:dyDescent="0.35">
      <c r="A952" s="18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5.75" customHeight="1" x14ac:dyDescent="0.35">
      <c r="A953" s="18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5.75" customHeight="1" x14ac:dyDescent="0.35">
      <c r="A954" s="18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5.75" customHeight="1" x14ac:dyDescent="0.35">
      <c r="A955" s="18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5.75" customHeight="1" x14ac:dyDescent="0.35">
      <c r="A956" s="18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5.75" customHeight="1" x14ac:dyDescent="0.35">
      <c r="A957" s="18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5.75" customHeight="1" x14ac:dyDescent="0.35">
      <c r="A958" s="18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5.75" customHeight="1" x14ac:dyDescent="0.35">
      <c r="A959" s="18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5.75" customHeight="1" x14ac:dyDescent="0.35">
      <c r="A960" s="18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5.75" customHeight="1" x14ac:dyDescent="0.35">
      <c r="A961" s="18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5.75" customHeight="1" x14ac:dyDescent="0.35">
      <c r="A962" s="18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5.75" customHeight="1" x14ac:dyDescent="0.35">
      <c r="A963" s="18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5.75" customHeight="1" x14ac:dyDescent="0.35">
      <c r="A964" s="18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5.75" customHeight="1" x14ac:dyDescent="0.35">
      <c r="A965" s="18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5.75" customHeight="1" x14ac:dyDescent="0.35">
      <c r="A966" s="18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5.75" customHeight="1" x14ac:dyDescent="0.35">
      <c r="A967" s="18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5.75" customHeight="1" x14ac:dyDescent="0.35">
      <c r="A968" s="18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5.75" customHeight="1" x14ac:dyDescent="0.35">
      <c r="A969" s="18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5.75" customHeight="1" x14ac:dyDescent="0.35">
      <c r="A970" s="18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5.75" customHeight="1" x14ac:dyDescent="0.35">
      <c r="A971" s="18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5.75" customHeight="1" x14ac:dyDescent="0.35">
      <c r="A972" s="18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5.75" customHeight="1" x14ac:dyDescent="0.35">
      <c r="A973" s="18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5.75" customHeight="1" x14ac:dyDescent="0.35">
      <c r="A974" s="18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5.75" customHeight="1" x14ac:dyDescent="0.35">
      <c r="A975" s="18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5.75" customHeight="1" x14ac:dyDescent="0.35">
      <c r="A976" s="18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5.75" customHeight="1" x14ac:dyDescent="0.35">
      <c r="A977" s="18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5.75" customHeight="1" x14ac:dyDescent="0.35">
      <c r="A978" s="18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5.75" customHeight="1" x14ac:dyDescent="0.35">
      <c r="A979" s="18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5.75" customHeight="1" x14ac:dyDescent="0.35">
      <c r="A980" s="18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5.75" customHeight="1" x14ac:dyDescent="0.35">
      <c r="A981" s="18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5.75" customHeight="1" x14ac:dyDescent="0.35">
      <c r="A982" s="18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5.75" customHeight="1" x14ac:dyDescent="0.35">
      <c r="A983" s="18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5.75" customHeight="1" x14ac:dyDescent="0.35">
      <c r="A984" s="18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5.75" customHeight="1" x14ac:dyDescent="0.35">
      <c r="A985" s="18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5.75" customHeight="1" x14ac:dyDescent="0.35">
      <c r="A986" s="18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5.75" customHeight="1" x14ac:dyDescent="0.35">
      <c r="A987" s="18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5.75" customHeight="1" x14ac:dyDescent="0.35">
      <c r="A988" s="18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5.75" customHeight="1" x14ac:dyDescent="0.35">
      <c r="A989" s="18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5.75" customHeight="1" x14ac:dyDescent="0.35">
      <c r="A990" s="18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5.75" customHeight="1" x14ac:dyDescent="0.35">
      <c r="A991" s="18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5.75" customHeight="1" x14ac:dyDescent="0.35">
      <c r="A992" s="18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</sheetData>
  <mergeCells count="6">
    <mergeCell ref="G32:H32"/>
    <mergeCell ref="B2:D2"/>
    <mergeCell ref="E2:J2"/>
    <mergeCell ref="K2:M2"/>
    <mergeCell ref="B3:M3"/>
    <mergeCell ref="B4:M4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16</vt:i4>
      </vt:variant>
    </vt:vector>
  </HeadingPairs>
  <TitlesOfParts>
    <vt:vector size="21" baseType="lpstr">
      <vt:lpstr>Indizado PPR</vt:lpstr>
      <vt:lpstr>Indizado FIRE</vt:lpstr>
      <vt:lpstr>Allianz</vt:lpstr>
      <vt:lpstr>Analisis de Indizados</vt:lpstr>
      <vt:lpstr>Patrimonial</vt:lpstr>
      <vt:lpstr>AportacionesAcumuladas</vt:lpstr>
      <vt:lpstr>DDComprometidoUnidades</vt:lpstr>
      <vt:lpstr>DDComprometidoValorUnitario</vt:lpstr>
      <vt:lpstr>DDInicialUnidades</vt:lpstr>
      <vt:lpstr>DDInicialValorUnitario</vt:lpstr>
      <vt:lpstr>DDPonderacion</vt:lpstr>
      <vt:lpstr>Fecha</vt:lpstr>
      <vt:lpstr>NasdaqComprometidoUnidades</vt:lpstr>
      <vt:lpstr>NasdaqComprometidoValorUnitario</vt:lpstr>
      <vt:lpstr>NasdaqInicialUnidades</vt:lpstr>
      <vt:lpstr>NasdaqInicialValorUnitario</vt:lpstr>
      <vt:lpstr>NasdaqPonderacion</vt:lpstr>
      <vt:lpstr>'Indizado FIRE'!RendimientoPromedio</vt:lpstr>
      <vt:lpstr>RendimientoPromedio</vt:lpstr>
      <vt:lpstr>'Indizado FIRE'!ValorlTotalPortafolio</vt:lpstr>
      <vt:lpstr>ValorlTotalPortafolio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Josué Ramos</cp:lastModifiedBy>
  <dcterms:modified xsi:type="dcterms:W3CDTF">2025-03-12T02:47:25Z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f47cd8-41fa-4235-8c80-86b50baa48d7_Enabled">
    <vt:lpwstr>true</vt:lpwstr>
  </property>
  <property fmtid="{D5CDD505-2E9C-101B-9397-08002B2CF9AE}" pid="3" name="MSIP_Label_66f47cd8-41fa-4235-8c80-86b50baa48d7_SetDate">
    <vt:lpwstr>2025-02-02T04:47:44Z</vt:lpwstr>
  </property>
  <property fmtid="{D5CDD505-2E9C-101B-9397-08002B2CF9AE}" pid="4" name="MSIP_Label_66f47cd8-41fa-4235-8c80-86b50baa48d7_Method">
    <vt:lpwstr>Standard</vt:lpwstr>
  </property>
  <property fmtid="{D5CDD505-2E9C-101B-9397-08002B2CF9AE}" pid="5" name="MSIP_Label_66f47cd8-41fa-4235-8c80-86b50baa48d7_Name">
    <vt:lpwstr>Kroger Internal</vt:lpwstr>
  </property>
  <property fmtid="{D5CDD505-2E9C-101B-9397-08002B2CF9AE}" pid="6" name="MSIP_Label_66f47cd8-41fa-4235-8c80-86b50baa48d7_SiteId">
    <vt:lpwstr>8331e14a-9134-4288-bf5a-5e2c8412f074</vt:lpwstr>
  </property>
  <property fmtid="{D5CDD505-2E9C-101B-9397-08002B2CF9AE}" pid="7" name="MSIP_Label_66f47cd8-41fa-4235-8c80-86b50baa48d7_ActionId">
    <vt:lpwstr>c15807d1-f13e-468e-81a5-c8e256b2e7ab</vt:lpwstr>
  </property>
  <property fmtid="{D5CDD505-2E9C-101B-9397-08002B2CF9AE}" pid="8" name="MSIP_Label_66f47cd8-41fa-4235-8c80-86b50baa48d7_ContentBits">
    <vt:lpwstr>0</vt:lpwstr>
  </property>
</Properties>
</file>