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OU5489/Documents/Inversiones/"/>
    </mc:Choice>
  </mc:AlternateContent>
  <xr:revisionPtr revIDLastSave="0" documentId="13_ncr:1_{244AB802-46DD-ED4C-8F9B-D4FA5C256AFE}" xr6:coauthVersionLast="47" xr6:coauthVersionMax="47" xr10:uidLastSave="{00000000-0000-0000-0000-000000000000}"/>
  <bookViews>
    <workbookView xWindow="35840" yWindow="500" windowWidth="38400" windowHeight="21100" activeTab="2" xr2:uid="{00000000-000D-0000-FFFF-FFFF00000000}"/>
  </bookViews>
  <sheets>
    <sheet name="Indizado PPR" sheetId="1" r:id="rId1"/>
    <sheet name="Allianz" sheetId="4" r:id="rId2"/>
    <sheet name="Indizado FIRE" sheetId="5" r:id="rId3"/>
    <sheet name="Analisis de Indizados" sheetId="3" r:id="rId4"/>
    <sheet name="Patrimonial" sheetId="2" r:id="rId5"/>
  </sheets>
  <definedNames>
    <definedName name="AportacionesAcumuladas" comment="Total de dinero dosificado al plan de retiro">Allianz!$B$2</definedName>
    <definedName name="DDComprometidoUnidades">Allianz!$B$8</definedName>
    <definedName name="DDComprometidoValorUnitario">Allianz!$C$8</definedName>
    <definedName name="DDInicialUnidades">Allianz!$B$7</definedName>
    <definedName name="DDInicialValorUnitario">Allianz!$C$7</definedName>
    <definedName name="DDPonderacion">Allianz!$E$8</definedName>
    <definedName name="Fecha">Allianz!$B$1</definedName>
    <definedName name="NasdaqComprometidoUnidades">Allianz!$B$6</definedName>
    <definedName name="NasdaqComprometidoValorUnitario">Allianz!$C$6</definedName>
    <definedName name="NasdaqInicialUnidades">Allianz!$B$5</definedName>
    <definedName name="NasdaqInicialValorUnitario">Allianz!$C$5</definedName>
    <definedName name="NasdaqPonderacion">Allianz!$E$6</definedName>
    <definedName name="RendimientoPromedio" localSheetId="2">PortafolioIndizado[[#Totals],[Balance %]]</definedName>
    <definedName name="RendimientoPromedio">PortafolioPPR[[#Totals],[Balance %]]</definedName>
    <definedName name="ValorDDComprometido">Allianz!$D$8</definedName>
    <definedName name="ValorDDInicial">Allianz!$D$7</definedName>
    <definedName name="ValorlTotalPortafolio" localSheetId="2">PortafolioIndizado[[#Totals],[Market Value]]</definedName>
    <definedName name="ValorlTotalPortafolio">PortafolioPPR[[#Totals],[Market Value]]</definedName>
    <definedName name="ValorNasdaqComprometido">Allianz!$D$6</definedName>
    <definedName name="ValorNasdaqInicial">Allianz!$D$5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6" i="4"/>
  <c r="I6" i="5"/>
  <c r="I7" i="5"/>
  <c r="I8" i="5"/>
  <c r="I9" i="5"/>
  <c r="I10" i="5"/>
  <c r="I11" i="5"/>
  <c r="I12" i="5"/>
  <c r="I13" i="5"/>
  <c r="I14" i="5"/>
  <c r="I15" i="5"/>
  <c r="I16" i="5"/>
  <c r="A11" i="5"/>
  <c r="A12" i="5"/>
  <c r="A13" i="5"/>
  <c r="A14" i="5" s="1"/>
  <c r="A15" i="5" s="1"/>
  <c r="A16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E17" i="5"/>
  <c r="L17" i="5" l="1"/>
  <c r="P8" i="5" s="1"/>
  <c r="D6" i="1"/>
  <c r="D7" i="1"/>
  <c r="G6" i="1"/>
  <c r="A7" i="1"/>
  <c r="J16" i="5"/>
  <c r="G16" i="5" s="1"/>
  <c r="J6" i="5"/>
  <c r="G6" i="5" s="1"/>
  <c r="J7" i="5"/>
  <c r="J8" i="5"/>
  <c r="J9" i="5"/>
  <c r="J10" i="5"/>
  <c r="J11" i="5"/>
  <c r="J12" i="5"/>
  <c r="J13" i="5"/>
  <c r="J14" i="5"/>
  <c r="G14" i="5" s="1"/>
  <c r="F2" i="3"/>
  <c r="F30" i="3"/>
  <c r="N15" i="3"/>
  <c r="N12" i="3"/>
  <c r="N27" i="3"/>
  <c r="N14" i="3"/>
  <c r="N29" i="3"/>
  <c r="N13" i="3"/>
  <c r="N16" i="3"/>
  <c r="N22" i="3"/>
  <c r="N23" i="3"/>
  <c r="N11" i="3"/>
  <c r="N28" i="3"/>
  <c r="N21" i="3"/>
  <c r="N6" i="3"/>
  <c r="N25" i="3"/>
  <c r="N20" i="3"/>
  <c r="N8" i="3"/>
  <c r="N24" i="3"/>
  <c r="N10" i="3"/>
  <c r="N18" i="3"/>
  <c r="N4" i="3"/>
  <c r="N9" i="3"/>
  <c r="N5" i="3"/>
  <c r="N26" i="3"/>
  <c r="N7" i="3"/>
  <c r="N19" i="3"/>
  <c r="N17" i="3"/>
  <c r="W2" i="3"/>
  <c r="S2" i="3"/>
  <c r="P2" i="3"/>
  <c r="O2" i="3"/>
  <c r="K2" i="3"/>
  <c r="I2" i="3"/>
  <c r="H2" i="3"/>
  <c r="G2" i="3"/>
  <c r="E2" i="3"/>
  <c r="E6" i="1" l="1"/>
  <c r="M14" i="5"/>
  <c r="M9" i="5"/>
  <c r="G9" i="5"/>
  <c r="M8" i="5"/>
  <c r="G8" i="5"/>
  <c r="M16" i="5"/>
  <c r="M13" i="5"/>
  <c r="G13" i="5"/>
  <c r="M10" i="5"/>
  <c r="G10" i="5"/>
  <c r="M12" i="5"/>
  <c r="G12" i="5"/>
  <c r="M11" i="5"/>
  <c r="G11" i="5"/>
  <c r="M7" i="5"/>
  <c r="G7" i="5"/>
  <c r="P6" i="5"/>
  <c r="P9" i="5"/>
  <c r="P10" i="5"/>
  <c r="P14" i="5"/>
  <c r="P16" i="5"/>
  <c r="P7" i="5"/>
  <c r="P13" i="5"/>
  <c r="P11" i="5"/>
  <c r="P12" i="5"/>
  <c r="P15" i="5"/>
  <c r="N16" i="5"/>
  <c r="N14" i="5"/>
  <c r="N13" i="5"/>
  <c r="N12" i="5"/>
  <c r="N11" i="5"/>
  <c r="N10" i="5"/>
  <c r="N9" i="5"/>
  <c r="N8" i="5"/>
  <c r="N7" i="5"/>
  <c r="N30" i="3"/>
  <c r="N2" i="3"/>
  <c r="C21" i="3"/>
  <c r="J7" i="3"/>
  <c r="C7" i="3"/>
  <c r="D7" i="3" s="1"/>
  <c r="C18" i="3"/>
  <c r="C26" i="3"/>
  <c r="C16" i="3"/>
  <c r="J16" i="3" s="1"/>
  <c r="C27" i="3"/>
  <c r="C24" i="3"/>
  <c r="Q17" i="5"/>
  <c r="J15" i="5"/>
  <c r="A7" i="5"/>
  <c r="A8" i="5" s="1"/>
  <c r="A9" i="5" s="1"/>
  <c r="A10" i="5" s="1"/>
  <c r="M15" i="5" l="1"/>
  <c r="G15" i="5"/>
  <c r="J2" i="3"/>
  <c r="N15" i="5"/>
  <c r="D30" i="3"/>
  <c r="D2" i="3"/>
  <c r="J17" i="5"/>
  <c r="N6" i="5"/>
  <c r="G7" i="1"/>
  <c r="F7" i="1"/>
  <c r="F6" i="1"/>
  <c r="D5" i="4"/>
  <c r="D6" i="4"/>
  <c r="D7" i="4"/>
  <c r="D8" i="4"/>
  <c r="K30" i="2"/>
  <c r="J30" i="2"/>
  <c r="I30" i="2"/>
  <c r="L30" i="2" s="1"/>
  <c r="H30" i="2"/>
  <c r="K29" i="2"/>
  <c r="J29" i="2"/>
  <c r="I29" i="2"/>
  <c r="L29" i="2" s="1"/>
  <c r="H29" i="2"/>
  <c r="K28" i="2"/>
  <c r="J28" i="2"/>
  <c r="I28" i="2"/>
  <c r="L28" i="2" s="1"/>
  <c r="H28" i="2"/>
  <c r="K27" i="2"/>
  <c r="J27" i="2"/>
  <c r="I27" i="2"/>
  <c r="L27" i="2" s="1"/>
  <c r="H27" i="2"/>
  <c r="K26" i="2"/>
  <c r="J26" i="2"/>
  <c r="I26" i="2"/>
  <c r="L26" i="2" s="1"/>
  <c r="H26" i="2"/>
  <c r="K25" i="2"/>
  <c r="J25" i="2"/>
  <c r="I25" i="2"/>
  <c r="L25" i="2" s="1"/>
  <c r="H25" i="2"/>
  <c r="K24" i="2"/>
  <c r="J24" i="2"/>
  <c r="I24" i="2"/>
  <c r="L24" i="2" s="1"/>
  <c r="H24" i="2"/>
  <c r="K23" i="2"/>
  <c r="J23" i="2"/>
  <c r="I23" i="2"/>
  <c r="L23" i="2" s="1"/>
  <c r="H23" i="2"/>
  <c r="K22" i="2"/>
  <c r="J22" i="2"/>
  <c r="I22" i="2"/>
  <c r="L22" i="2" s="1"/>
  <c r="H22" i="2"/>
  <c r="K21" i="2"/>
  <c r="J21" i="2"/>
  <c r="I21" i="2"/>
  <c r="L21" i="2" s="1"/>
  <c r="H21" i="2"/>
  <c r="L20" i="2"/>
  <c r="K20" i="2"/>
  <c r="J20" i="2"/>
  <c r="I20" i="2"/>
  <c r="H20" i="2"/>
  <c r="K19" i="2"/>
  <c r="J19" i="2"/>
  <c r="I19" i="2"/>
  <c r="L19" i="2" s="1"/>
  <c r="H19" i="2"/>
  <c r="K18" i="2"/>
  <c r="J18" i="2"/>
  <c r="I18" i="2"/>
  <c r="L18" i="2" s="1"/>
  <c r="H18" i="2"/>
  <c r="L17" i="2"/>
  <c r="K17" i="2"/>
  <c r="J17" i="2"/>
  <c r="I17" i="2"/>
  <c r="H17" i="2"/>
  <c r="K16" i="2"/>
  <c r="J16" i="2"/>
  <c r="I16" i="2"/>
  <c r="L16" i="2" s="1"/>
  <c r="H16" i="2"/>
  <c r="K15" i="2"/>
  <c r="J15" i="2"/>
  <c r="I15" i="2"/>
  <c r="L15" i="2" s="1"/>
  <c r="H15" i="2"/>
  <c r="K14" i="2"/>
  <c r="J14" i="2"/>
  <c r="I14" i="2"/>
  <c r="L14" i="2" s="1"/>
  <c r="H14" i="2"/>
  <c r="K13" i="2"/>
  <c r="J13" i="2"/>
  <c r="I13" i="2"/>
  <c r="L13" i="2" s="1"/>
  <c r="H13" i="2"/>
  <c r="L12" i="2"/>
  <c r="K12" i="2"/>
  <c r="J12" i="2"/>
  <c r="I12" i="2"/>
  <c r="H12" i="2"/>
  <c r="K11" i="2"/>
  <c r="J11" i="2"/>
  <c r="I11" i="2"/>
  <c r="L11" i="2" s="1"/>
  <c r="H11" i="2"/>
  <c r="K10" i="2"/>
  <c r="J10" i="2"/>
  <c r="I10" i="2"/>
  <c r="L10" i="2" s="1"/>
  <c r="H10" i="2"/>
  <c r="K9" i="2"/>
  <c r="J9" i="2"/>
  <c r="I9" i="2"/>
  <c r="L9" i="2" s="1"/>
  <c r="H9" i="2"/>
  <c r="K8" i="2"/>
  <c r="J8" i="2"/>
  <c r="I8" i="2"/>
  <c r="L8" i="2" s="1"/>
  <c r="H8" i="2"/>
  <c r="I7" i="2"/>
  <c r="J7" i="2" s="1"/>
  <c r="H7" i="2"/>
  <c r="K7" i="2" s="1"/>
  <c r="C16" i="4" l="1"/>
  <c r="H7" i="1"/>
  <c r="I7" i="1" s="1"/>
  <c r="H6" i="1"/>
  <c r="I6" i="1" s="1"/>
  <c r="E7" i="1"/>
  <c r="D10" i="4"/>
  <c r="D11" i="4" s="1"/>
  <c r="C15" i="4"/>
  <c r="K17" i="5"/>
  <c r="M6" i="5"/>
  <c r="M17" i="5" s="1"/>
  <c r="N17" i="5"/>
  <c r="G8" i="1"/>
  <c r="K6" i="1" s="1"/>
  <c r="I32" i="2"/>
  <c r="L7" i="2" s="1"/>
  <c r="K6" i="2"/>
  <c r="J6" i="2"/>
  <c r="K7" i="1" l="1"/>
  <c r="K8" i="1" s="1"/>
  <c r="C18" i="4"/>
  <c r="C17" i="4"/>
  <c r="O6" i="5"/>
  <c r="O7" i="5"/>
  <c r="O8" i="5"/>
  <c r="O9" i="5"/>
  <c r="O10" i="5"/>
  <c r="O11" i="5"/>
  <c r="O12" i="5"/>
  <c r="O15" i="5"/>
  <c r="O14" i="5"/>
  <c r="O13" i="5"/>
  <c r="O16" i="5"/>
  <c r="J7" i="1"/>
  <c r="J6" i="1"/>
  <c r="H8" i="1"/>
  <c r="J8" i="1" s="1"/>
  <c r="I8" i="1"/>
  <c r="L6" i="2"/>
  <c r="O17" i="5" l="1"/>
  <c r="W30" i="3"/>
  <c r="I30" i="3"/>
  <c r="O30" i="3"/>
  <c r="G30" i="3"/>
  <c r="P30" i="3"/>
  <c r="K30" i="3"/>
  <c r="J30" i="3"/>
  <c r="H30" i="3"/>
  <c r="S30" i="3"/>
  <c r="E30" i="3"/>
</calcChain>
</file>

<file path=xl/sharedStrings.xml><?xml version="1.0" encoding="utf-8"?>
<sst xmlns="http://schemas.openxmlformats.org/spreadsheetml/2006/main" count="226" uniqueCount="188">
  <si>
    <t>Ejemplo de Monitoreo y Diseñador de Portafolio - InvestorHouse México</t>
  </si>
  <si>
    <t>Aprende a Invertir® www.investorhouse.com.mx</t>
  </si>
  <si>
    <t>Material para uso exclusivo con fines educativos para estudiantes de InvestorHouse México®. No representa asesoría financiera, consejos de inversión ni recomendaciones de compra o promoción de valores.</t>
  </si>
  <si>
    <t>Portafolio Indizado</t>
  </si>
  <si>
    <t>Número de Acciones      (Títulos)</t>
  </si>
  <si>
    <t>Costo Promedio Unitario a la Compra</t>
  </si>
  <si>
    <t>Precio                 Actual</t>
  </si>
  <si>
    <t>Valor a la Compra</t>
  </si>
  <si>
    <t>Valor              Actual</t>
  </si>
  <si>
    <t>Ganancia / Pérdida $</t>
  </si>
  <si>
    <t>Ganancia / Pérdida %</t>
  </si>
  <si>
    <t>Peso %    Actual</t>
  </si>
  <si>
    <t>Peso % Objetivo</t>
  </si>
  <si>
    <t>Valor Total del Portafolio:</t>
  </si>
  <si>
    <t>Portafolio Patrimonial</t>
  </si>
  <si>
    <t>Nombre        (Empresa/Sector)</t>
  </si>
  <si>
    <t>Símbolo        (Ticker)</t>
  </si>
  <si>
    <t>`</t>
  </si>
  <si>
    <t>Alemania</t>
  </si>
  <si>
    <t>UK</t>
  </si>
  <si>
    <t>Francia</t>
  </si>
  <si>
    <t>España</t>
  </si>
  <si>
    <t>Noruega</t>
  </si>
  <si>
    <t>Suecia</t>
  </si>
  <si>
    <t>Suiza</t>
  </si>
  <si>
    <t>USA</t>
  </si>
  <si>
    <t>Mexico</t>
  </si>
  <si>
    <t>Brasil</t>
  </si>
  <si>
    <t>China</t>
  </si>
  <si>
    <t>Australia</t>
  </si>
  <si>
    <t>Singapur</t>
  </si>
  <si>
    <t>India</t>
  </si>
  <si>
    <t>Corea del Sur</t>
  </si>
  <si>
    <t>Japon</t>
  </si>
  <si>
    <t>Quatar</t>
  </si>
  <si>
    <t>Emiratos Arabes</t>
  </si>
  <si>
    <t>Italia</t>
  </si>
  <si>
    <t>Tailandia</t>
  </si>
  <si>
    <t>Holanda</t>
  </si>
  <si>
    <t>Pais/Region</t>
  </si>
  <si>
    <t>Instrumento</t>
  </si>
  <si>
    <t>151NQ</t>
  </si>
  <si>
    <t>151DD</t>
  </si>
  <si>
    <t>Ticker</t>
  </si>
  <si>
    <t>Total</t>
  </si>
  <si>
    <t>Unidades Acumuladas</t>
  </si>
  <si>
    <t>Aportaciones Acumuladas</t>
  </si>
  <si>
    <t>Portafolio</t>
  </si>
  <si>
    <t>Valor por unidad</t>
  </si>
  <si>
    <t>Monto en Moneda</t>
  </si>
  <si>
    <t>151NQO Allianz Nasdaq Inicial</t>
  </si>
  <si>
    <t>151NQC Allianz Nasdaq Comprometido</t>
  </si>
  <si>
    <t>151DDO Dinámico Dólares Inicial</t>
  </si>
  <si>
    <t>151DDC Dinámico Dólares Comprometido</t>
  </si>
  <si>
    <t xml:space="preserve">Fecha </t>
  </si>
  <si>
    <t>Ponderación</t>
  </si>
  <si>
    <t>Último Análisis</t>
  </si>
  <si>
    <t>Notas</t>
  </si>
  <si>
    <t>Fortalezas</t>
  </si>
  <si>
    <t>Debilidades</t>
  </si>
  <si>
    <t>EWG</t>
  </si>
  <si>
    <t>EWU</t>
  </si>
  <si>
    <t>EWS</t>
  </si>
  <si>
    <t>EWQ</t>
  </si>
  <si>
    <t>EWP</t>
  </si>
  <si>
    <t>ENOR</t>
  </si>
  <si>
    <t>EWD</t>
  </si>
  <si>
    <t>EWN</t>
  </si>
  <si>
    <t>EWI</t>
  </si>
  <si>
    <t>EWL</t>
  </si>
  <si>
    <t>EWC</t>
  </si>
  <si>
    <t>SPLG</t>
  </si>
  <si>
    <t>NAFTRAC</t>
  </si>
  <si>
    <t>EWZ</t>
  </si>
  <si>
    <t>MCHI</t>
  </si>
  <si>
    <t>EWA</t>
  </si>
  <si>
    <t>Taiwan</t>
  </si>
  <si>
    <t>THD</t>
  </si>
  <si>
    <t>INDA</t>
  </si>
  <si>
    <t>EWY</t>
  </si>
  <si>
    <t>EWJ</t>
  </si>
  <si>
    <t>QAT</t>
  </si>
  <si>
    <t>UAE</t>
  </si>
  <si>
    <t>Resumen</t>
  </si>
  <si>
    <t>Luxemburgo</t>
  </si>
  <si>
    <t>Irlanda</t>
  </si>
  <si>
    <t>EIRL</t>
  </si>
  <si>
    <t>Canada</t>
  </si>
  <si>
    <t>Inflation rate</t>
  </si>
  <si>
    <t>Debt to GDP</t>
  </si>
  <si>
    <t>Unemployment</t>
  </si>
  <si>
    <t>Economic Freedom</t>
  </si>
  <si>
    <t>GDP (USD billion)</t>
  </si>
  <si>
    <t>Interest Rate</t>
  </si>
  <si>
    <t>Balance Trade (USD Million)</t>
  </si>
  <si>
    <t>Business Confidence</t>
  </si>
  <si>
    <t>Consumer Confidence</t>
  </si>
  <si>
    <t>Foreign Exchange Reserves (USD Million)</t>
  </si>
  <si>
    <t>Currency (to USD)</t>
  </si>
  <si>
    <t>Foreign Direct Investment (USD Million)</t>
  </si>
  <si>
    <t>GDP per capita PPP (USD)</t>
  </si>
  <si>
    <t>Estados Unidos</t>
  </si>
  <si>
    <t>Full Year GDP  Growth</t>
  </si>
  <si>
    <t>Balance Trade %</t>
  </si>
  <si>
    <t>Deficit comercial amplio, Deficit presupuestario dado al alto endeudamiento nacional</t>
  </si>
  <si>
    <t>2da mayor economia, gobierno apoya empresas nacionales para lograr autonomia tecnologica</t>
  </si>
  <si>
    <t>Sector inmobiliario devastado, envejecimiento poblacional, alto endeudamineto de empresas privadas, tensiones politicas con Occidente</t>
  </si>
  <si>
    <t>Crecimiento sosteniado desde la pandemia, se ha despegado de otras potencias mundiales, dolar fortalecido</t>
  </si>
  <si>
    <t>Fuerte base industrial y servicios su principal sector economico</t>
  </si>
  <si>
    <t>Mayor economia europea, posicion geofrafica favorable para trading en la region, gestion fiscal prudente, mano de obra cualificada</t>
  </si>
  <si>
    <t>Envejecimiento poblacional, rezago en tecnologia e industria automotriz respecto a China, desde 2018 su crecimineto economico se ha quedado muy por debajo de la media del G7</t>
  </si>
  <si>
    <t>Al parecer, esta limitado su crecimineto a menos del 1% en los proximos años, Ha perdido relevancia desde los años 90</t>
  </si>
  <si>
    <t>Su economia se basa fuertemente en el sector manufacturero de la electronica, los vehiculos de motor y la robotica, orientada a la exportacion</t>
  </si>
  <si>
    <t>Superavits comerciales y fuerte sector de servicios bancarios y financieros</t>
  </si>
  <si>
    <t>Crecimiento debil del PIB, importante reto demografico de rapido envejecimiento y baja tasa de natalidad, Importa mucha materia prima del exterior</t>
  </si>
  <si>
    <t>Se espera un crecimineto fuerte de este pais, ha duplicado con creces su tamaño en la última década</t>
  </si>
  <si>
    <t>TI especialmente fuerte, la famaceutica en medicamentos genericos, gran parte de la poblacion se dedica al sector agricola, vasto mercado interior y estabilidad politica</t>
  </si>
  <si>
    <t>Alta desigualdad socioeqonomica, deficiencia en infraestructura sobre todo en zonas rurales, trabas burocraticas</t>
  </si>
  <si>
    <t>Se. mantendrá en rapido crecimiento en los proximos años, aunqeu significativamente inferiorres al ritmo que crecia Chinacuando tenia un PIB per capita similar</t>
  </si>
  <si>
    <t>Proximos años con crecimiento económico alrededor del 0.5% menos que en la decada anterior a la pandemia, osea desacelaracion en su crecimiento dado el golpe duradero que representa el Brexit</t>
  </si>
  <si>
    <t>Economia orientada a servicios, seguros, finanzas y sector inmobiliario, City de Londres es un conglomerado empresarial muy influyente</t>
  </si>
  <si>
    <t>Mercado flexible, industria creativa, enseñanza superior y sistema educativo eficaz son puntos fuertes</t>
  </si>
  <si>
    <t>Retos en comercio y movilidad laboral dado el Brexit, exportaciones e inversion obstaculizadas. Crecientes demandas de gasto publico en un entorno de bajo crecimiento de PIB</t>
  </si>
  <si>
    <t>La ruputra en las cadenas de suministros desde China, ha sido un factor que ha perjudicado a la propia China y ha fortalecido la industria estadounidense, con miras en realocar sus cadenas de valor (nearshoring) en el mismo pais y en otros mas cercanos.</t>
  </si>
  <si>
    <t>Crecimiento superior a Alemania e Italia, acercandose a la media de la Union Europea</t>
  </si>
  <si>
    <t>Inestabilidad politica interna, deficit fiscal importante del estado, protestas publicas</t>
  </si>
  <si>
    <t>Economia diversificada, principales marcas de consumo discrecional , sector aeroespacial con Airbus, sectro agricola mas fuerte de la UE: lacteos, cereales y vino. Paris nuevo centro financiero de la UE desde el brexit</t>
  </si>
  <si>
    <t>Norte muy industrializado (Milan), Sur subdesarrollado</t>
  </si>
  <si>
    <t>Economia fuerte en servicios y en fabricacion de arituclos de lujo, maquinari y motor de lujo (Ferrari, Fiat) , 3er productor agricola de la UE</t>
  </si>
  <si>
    <t>Mucha deuda, Inestaiblidad politica que lleva mucho tiempo, esta recibiendo apoyo de los fondos de recuperacion de la UE</t>
  </si>
  <si>
    <t>Inestabilidad politica en ultimas decadas y sobreendeudamiento hacen preveer un crecimiento por debajo del 1% dentro de los siguientes años, futuro menguado</t>
  </si>
  <si>
    <t>Indonesia</t>
  </si>
  <si>
    <t>EIDO</t>
  </si>
  <si>
    <t>Exports (USD Million)</t>
  </si>
  <si>
    <t>Imports (USD Million)</t>
  </si>
  <si>
    <t>Fondo Inicial</t>
  </si>
  <si>
    <t>Cargo Adm. 0.9%</t>
  </si>
  <si>
    <t>Cargo Gest 0.01%</t>
  </si>
  <si>
    <t xml:space="preserve">Aportacion Actual </t>
  </si>
  <si>
    <t>Allianz</t>
  </si>
  <si>
    <t>Budget</t>
  </si>
  <si>
    <t>Infonavit</t>
  </si>
  <si>
    <t>Inversion</t>
  </si>
  <si>
    <t>Bono Fidelidad</t>
  </si>
  <si>
    <t>Valor Portafolio</t>
  </si>
  <si>
    <t>Saldo Del fondo (Portafolio + Bono)</t>
  </si>
  <si>
    <t>Averages</t>
  </si>
  <si>
    <t>Crecimineto sostenido del GDP promedio 5%, potencial de crecimineto si resuleve sus temas gubernamentales y carencias de economia emergente, tiene un buen balance trade arriba del promedio, deuda debajo del promedio, tiene mucha poblacion para mano de obra</t>
  </si>
  <si>
    <t>Corrupcion, pobreza, poco acceso a la educacion, infraestructura ineficiente. Tambien exposicion a clima extremo como huracanes, tormentas tropicales y tsunamis, trae un desempleo importante de 4.9%, la mano de obra no es cualificada</t>
  </si>
  <si>
    <t>Su eonomia se basa en sus ricos recursos naturales, aunque el gobierno ha querido dejar de depender de esto y ahora insentiva inversion en infraestructura para procesos manufactoureros para mover la cadena de valor, expecteatiba de crecimiento notable arriba del promeido Asia-ex Japon hacia 2028. Su turismo se esta incrementando. SE PUEDE CONSIDERAR UNA PEQUEÑA PORCION DEL PORTFOLIO POR SU CRECIMIENTO SOSTENIDO Y POTENCIAL FUTURO</t>
  </si>
  <si>
    <t xml:space="preserve">Economia Emergente, trae una tasa de interes relativamente alta respecto a su inflacion, esta por debajo del promedio de econmomic freedom, deuda debajo del promedio, su corrupcion promedio </t>
  </si>
  <si>
    <t>Trae un crecimiento de pib decreciente desde pandemia, no termina de repuntar, sigue estando propenso a inflacion moderada alta, tasa de interes alta para los empresarios, subempleo, infraestructura tambaleante, violencia relacionada a las drogas, alta corrupcion</t>
  </si>
  <si>
    <t xml:space="preserve">Desempleo bajo historicamente, cercania con Estados Unidos, gran polacion empleable, la segunda economia en latinoamerica, cuarta en el continente,  </t>
  </si>
  <si>
    <t>Su inversion extranjera directa se ve mermada comparada con otros paises, en 2023 se convirtió en el mayor partner de USA, su Economic Feedom Index esta por debajo del promedio</t>
  </si>
  <si>
    <t>Rico en recursos naturales como petroleo, forestacion y mnieria. Fuerte presencia de servicios financieros y tecnologicos, Gobernanza limpia, arriba del promedio de Economic Freedom</t>
  </si>
  <si>
    <t>Tuvo que recortar las cuotas de migracion debido al alza de desempleo y altos costos de vivienda que se vienen generando, muy fuerte dependencia a Estados Unidos (con Donald Trump y sus aranceles , esto es especialmente riesgoso) y la fluctuacion de precios internacionales de materias primas, trae un endeudamiento fuerte</t>
  </si>
  <si>
    <t>Hub manufacturero, economia emergente, no se espera un crecimineto en los siguientes años, simplemente seguir con un crecimiento promedio latinoamericano, debido a multiples retos, muy alta corrupcion respecto a otros paises con 26/100 y alta delincuencia, economicos. SU CRECIMIENTO SE PRONOSTICA ESTABLE PERO BAJO, Y MIENTRAS NO HAYA CAMBIO DE GOBIERNO, DIFICILMENTE LAS COSAS VAN A CAMBIAR.</t>
  </si>
  <si>
    <t>PIB dominado por servicios, fuerte crecimiento en los ultimos años dada la alta demanda de Estados Unidos, su principal socio comercial, y al aumento poblacional de 10% en los ultimos 5 años. Mantiene la segunda reserva de petroleo mas grande del mundo, y conserva gran industria minera, GPD ppp muy superior al promedio alto estandar de vida</t>
  </si>
  <si>
    <t>Crecimiento promedio de 1.9% annual en la ultima decada, economia desarrolladase espera un crecimiento un poco arriba del G7 promedio , trae un desempleo ligeramente arriba del historico , 75/100 de corrupcion, ha tenido mejores años, pero mejor que muchos paises emergentes</t>
  </si>
  <si>
    <t>Su crecimiento se ve volatil en los ultimos años, muy atractivo algunos años arriba del 10% otros pesimo incluso negativo pero 9.1% muy arriba del promedio de euro zona de 1.4%. Desempleo promedio, 77/100 de corrupcion , nivel sano</t>
  </si>
  <si>
    <t>Muchas firmas internacionales</t>
  </si>
  <si>
    <t>Poco que exportar de commodities, politica basada en atraccion de firmas extranjeras</t>
  </si>
  <si>
    <t>Euro Zona</t>
  </si>
  <si>
    <t>VGK</t>
  </si>
  <si>
    <t>Buena libertad economica, altos estandares de vida, abundantes recursos naturales</t>
  </si>
  <si>
    <t>Sobre dependencia de China</t>
  </si>
  <si>
    <t>Allianz Nasdaq</t>
  </si>
  <si>
    <t>Allianz Dinamico Dolares</t>
  </si>
  <si>
    <t>Number</t>
  </si>
  <si>
    <t>Name</t>
  </si>
  <si>
    <t>Shares</t>
  </si>
  <si>
    <t>Balance</t>
  </si>
  <si>
    <t>Balance %</t>
  </si>
  <si>
    <t>Current Weight %</t>
  </si>
  <si>
    <t>Target Weight %</t>
  </si>
  <si>
    <t>Average Unit Cost</t>
  </si>
  <si>
    <t>Current Unit Cost</t>
  </si>
  <si>
    <t>Purchased Value</t>
  </si>
  <si>
    <t>Market Value</t>
  </si>
  <si>
    <t>Portafolio de Retiro</t>
  </si>
  <si>
    <t>To Buy</t>
  </si>
  <si>
    <t>Potential Weight %</t>
  </si>
  <si>
    <t>Potential Market Value</t>
  </si>
  <si>
    <t>Potential Average Unit Cost</t>
  </si>
  <si>
    <t>Unit Cost Diff %</t>
  </si>
  <si>
    <t>Weight %</t>
  </si>
  <si>
    <t>Fondo Comprometido</t>
  </si>
  <si>
    <t>28/2/2025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</si>
</sst>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&quot;$&quot;#,##0.00"/>
    <numFmt numFmtId="165" formatCode="0.0000"/>
    <numFmt numFmtId="166" formatCode="_(&quot;$&quot;* #,##0.0000_);_(&quot;$&quot;* \(#,##0.0000\);_(&quot;$&quot;* &quot;-&quot;??_);_(@_)"/>
    <numFmt numFmtId="167" formatCode="0.0%"/>
    <numFmt numFmtId="168" formatCode="_(&quot;$&quot;* #,##0_);_(&quot;$&quot;* \(#,##0\);_(&quot;$&quot;* &quot;-&quot;??_);_(@_)"/>
    <numFmt numFmtId="169" formatCode="0.0"/>
    <numFmt numFmtId="170" formatCode="0.000"/>
    <numFmt numFmtId="171" formatCode="0.00000"/>
    <numFmt numFmtId="172" formatCode="0.00000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8"/>
      <color rgb="FF99999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rgb="FFF4CCCC"/>
        <bgColor rgb="FFF4CCCC"/>
      </patternFill>
    </fill>
    <fill>
      <patternFill patternType="solid">
        <fgColor rgb="FF00408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5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0" fontId="6" fillId="7" borderId="3" xfId="0" applyNumberFormat="1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164" fontId="1" fillId="9" borderId="6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0" fontId="7" fillId="0" borderId="6" xfId="0" applyNumberFormat="1" applyFont="1" applyBorder="1" applyAlignment="1">
      <alignment horizontal="center" vertical="center" wrapText="1"/>
    </xf>
    <xf numFmtId="10" fontId="7" fillId="2" borderId="6" xfId="0" applyNumberFormat="1" applyFont="1" applyFill="1" applyBorder="1" applyAlignment="1">
      <alignment horizontal="center" vertical="center" wrapText="1"/>
    </xf>
    <xf numFmtId="10" fontId="7" fillId="6" borderId="6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10" borderId="9" xfId="0" applyNumberFormat="1" applyFont="1" applyFill="1" applyBorder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0" xfId="0" applyFont="1"/>
    <xf numFmtId="0" fontId="1" fillId="8" borderId="3" xfId="0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164" fontId="1" fillId="9" borderId="12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10" fontId="7" fillId="6" borderId="13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9" fillId="12" borderId="0" xfId="0" applyFont="1" applyFill="1" applyAlignment="1">
      <alignment horizontal="left" vertical="center" wrapText="1"/>
    </xf>
    <xf numFmtId="44" fontId="0" fillId="0" borderId="0" xfId="1" applyFont="1"/>
    <xf numFmtId="165" fontId="0" fillId="0" borderId="0" xfId="0" applyNumberFormat="1"/>
    <xf numFmtId="166" fontId="0" fillId="0" borderId="0" xfId="1" applyNumberFormat="1" applyFont="1"/>
    <xf numFmtId="9" fontId="0" fillId="0" borderId="0" xfId="2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10" fontId="0" fillId="0" borderId="0" xfId="2" applyNumberFormat="1" applyFont="1"/>
    <xf numFmtId="167" fontId="8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left" vertical="top"/>
    </xf>
    <xf numFmtId="44" fontId="0" fillId="0" borderId="0" xfId="1" applyFont="1" applyAlignment="1">
      <alignment horizontal="left" vertical="top"/>
    </xf>
    <xf numFmtId="168" fontId="0" fillId="0" borderId="0" xfId="1" applyNumberFormat="1" applyFont="1" applyAlignment="1">
      <alignment horizontal="left" vertical="top"/>
    </xf>
    <xf numFmtId="168" fontId="8" fillId="0" borderId="0" xfId="1" applyNumberFormat="1" applyFont="1" applyAlignment="1">
      <alignment horizontal="center" vertical="center"/>
    </xf>
    <xf numFmtId="168" fontId="0" fillId="0" borderId="0" xfId="1" applyNumberFormat="1" applyFont="1"/>
    <xf numFmtId="168" fontId="8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8" fillId="0" borderId="0" xfId="2" applyNumberFormat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0" borderId="0" xfId="1" applyFont="1" applyAlignment="1">
      <alignment horizontal="center" vertical="center" wrapText="1"/>
    </xf>
    <xf numFmtId="168" fontId="0" fillId="0" borderId="0" xfId="1" applyNumberFormat="1" applyFont="1" applyAlignment="1">
      <alignment horizontal="center" vertical="center"/>
    </xf>
    <xf numFmtId="168" fontId="4" fillId="0" borderId="0" xfId="1" applyNumberFormat="1" applyFont="1" applyAlignment="1">
      <alignment horizontal="center" vertical="center" wrapText="1"/>
    </xf>
    <xf numFmtId="13" fontId="0" fillId="0" borderId="0" xfId="2" applyNumberFormat="1" applyFont="1"/>
    <xf numFmtId="169" fontId="0" fillId="0" borderId="0" xfId="2" applyNumberFormat="1" applyFont="1" applyAlignment="1">
      <alignment horizontal="left" vertical="top"/>
    </xf>
    <xf numFmtId="169" fontId="8" fillId="0" borderId="0" xfId="2" applyNumberFormat="1" applyFont="1" applyAlignment="1">
      <alignment horizontal="center" vertical="center" wrapText="1"/>
    </xf>
    <xf numFmtId="169" fontId="0" fillId="0" borderId="0" xfId="2" applyNumberFormat="1" applyFont="1"/>
    <xf numFmtId="172" fontId="0" fillId="0" borderId="0" xfId="2" applyNumberFormat="1" applyFont="1"/>
    <xf numFmtId="171" fontId="4" fillId="0" borderId="0" xfId="0" applyNumberFormat="1" applyFont="1" applyAlignment="1">
      <alignment horizontal="center" vertical="center" wrapText="1"/>
    </xf>
    <xf numFmtId="170" fontId="4" fillId="0" borderId="0" xfId="0" applyNumberFormat="1" applyFon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8" fillId="0" borderId="0" xfId="0" applyNumberFormat="1" applyFont="1" applyAlignment="1">
      <alignment horizontal="center" vertical="center" wrapText="1"/>
    </xf>
    <xf numFmtId="170" fontId="0" fillId="0" borderId="0" xfId="0" applyNumberFormat="1"/>
    <xf numFmtId="44" fontId="8" fillId="0" borderId="0" xfId="1" applyFont="1" applyAlignment="1">
      <alignment horizontal="left" vertical="top"/>
    </xf>
    <xf numFmtId="4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0" fontId="8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7" fontId="0" fillId="0" borderId="0" xfId="2" applyNumberFormat="1" applyFont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169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8" fontId="8" fillId="0" borderId="0" xfId="1" applyNumberFormat="1" applyFont="1"/>
    <xf numFmtId="44" fontId="0" fillId="0" borderId="0" xfId="0" applyNumberFormat="1"/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/>
    </xf>
    <xf numFmtId="44" fontId="11" fillId="0" borderId="15" xfId="0" applyNumberFormat="1" applyFont="1" applyBorder="1" applyAlignment="1">
      <alignment horizontal="center"/>
    </xf>
    <xf numFmtId="167" fontId="11" fillId="0" borderId="15" xfId="0" applyNumberFormat="1" applyFont="1" applyBorder="1" applyAlignment="1">
      <alignment horizontal="center"/>
    </xf>
    <xf numFmtId="168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 applyAlignment="1">
      <alignment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168" fontId="4" fillId="0" borderId="0" xfId="0" applyNumberFormat="1" applyFont="1" applyAlignment="1">
      <alignment horizontal="center" vertical="center" wrapText="1"/>
    </xf>
    <xf numFmtId="168" fontId="11" fillId="0" borderId="15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/>
    </xf>
    <xf numFmtId="9" fontId="11" fillId="0" borderId="15" xfId="0" applyNumberFormat="1" applyFont="1" applyBorder="1" applyAlignment="1">
      <alignment horizontal="center"/>
    </xf>
    <xf numFmtId="168" fontId="4" fillId="0" borderId="0" xfId="1" applyNumberFormat="1" applyFont="1" applyFill="1" applyAlignment="1">
      <alignment horizontal="center" vertical="center" wrapText="1"/>
    </xf>
    <xf numFmtId="10" fontId="0" fillId="0" borderId="0" xfId="2" applyNumberFormat="1" applyFont="1" applyFill="1" applyAlignment="1">
      <alignment horizontal="center" vertical="center"/>
    </xf>
    <xf numFmtId="44" fontId="8" fillId="0" borderId="0" xfId="1" applyFont="1" applyFill="1" applyAlignment="1">
      <alignment horizontal="center" vertical="center"/>
    </xf>
    <xf numFmtId="167" fontId="0" fillId="0" borderId="0" xfId="2" applyNumberFormat="1" applyFont="1" applyFill="1" applyAlignment="1">
      <alignment horizontal="center" vertical="center"/>
    </xf>
    <xf numFmtId="10" fontId="8" fillId="0" borderId="0" xfId="2" applyNumberFormat="1" applyFont="1" applyFill="1" applyAlignment="1">
      <alignment horizontal="center" vertical="center"/>
    </xf>
    <xf numFmtId="168" fontId="8" fillId="0" borderId="0" xfId="1" applyNumberFormat="1" applyFont="1" applyFill="1" applyAlignment="1">
      <alignment horizontal="center" vertical="center"/>
    </xf>
    <xf numFmtId="9" fontId="8" fillId="0" borderId="0" xfId="2" applyFont="1" applyFill="1" applyAlignment="1">
      <alignment horizontal="center" vertical="center"/>
    </xf>
    <xf numFmtId="169" fontId="8" fillId="0" borderId="0" xfId="2" applyNumberFormat="1" applyFont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68" fontId="0" fillId="0" borderId="0" xfId="1" applyNumberFormat="1" applyFon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69" fontId="0" fillId="0" borderId="0" xfId="2" applyNumberFormat="1" applyFont="1" applyFill="1" applyAlignment="1">
      <alignment horizontal="center" vertical="center"/>
    </xf>
    <xf numFmtId="0" fontId="0" fillId="13" borderId="0" xfId="0" applyFill="1"/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10" fontId="1" fillId="7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44" fontId="1" fillId="9" borderId="12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1" fillId="7" borderId="4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1" fillId="2" borderId="0" xfId="2" applyNumberFormat="1" applyFont="1" applyFill="1" applyAlignment="1">
      <alignment horizontal="center" vertical="center" wrapText="1"/>
    </xf>
    <xf numFmtId="10" fontId="1" fillId="9" borderId="6" xfId="2" applyNumberFormat="1" applyFont="1" applyFill="1" applyBorder="1" applyAlignment="1">
      <alignment horizontal="center" vertical="center" wrapText="1"/>
    </xf>
    <xf numFmtId="10" fontId="1" fillId="9" borderId="12" xfId="2" applyNumberFormat="1" applyFont="1" applyFill="1" applyBorder="1" applyAlignment="1">
      <alignment horizontal="center" vertical="center" wrapText="1"/>
    </xf>
    <xf numFmtId="10" fontId="4" fillId="0" borderId="0" xfId="2" applyNumberFormat="1" applyFont="1" applyAlignment="1">
      <alignment horizontal="center" vertical="center" wrapText="1"/>
    </xf>
    <xf numFmtId="10" fontId="1" fillId="7" borderId="10" xfId="2" applyNumberFormat="1" applyFont="1" applyFill="1" applyBorder="1" applyAlignment="1">
      <alignment horizontal="center" vertical="center" wrapText="1"/>
    </xf>
    <xf numFmtId="10" fontId="1" fillId="9" borderId="12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right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" fillId="11" borderId="1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0.0"/>
      <alignment horizontal="center" vertical="center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7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8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8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8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8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8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8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8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8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8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8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0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004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DC9744D-C6B1-0B4C-AFDA-03E3ED37DB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375" y="12700"/>
          <a:ext cx="2000250" cy="4857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7D05C-1BEA-AD47-92E6-C3CB2B09A194}" name="PortafolioPPR" displayName="PortafolioPPR" ref="A5:K8" totalsRowCount="1" dataDxfId="110" headerRowBorderDxfId="111" tableBorderDxfId="109" totalsRowBorderDxfId="108">
  <autoFilter ref="A5:K7" xr:uid="{B2E7D05C-1BEA-AD47-92E6-C3CB2B09A194}"/>
  <tableColumns count="11">
    <tableColumn id="1" xr3:uid="{99DAF86F-C0B2-F643-BB81-F37D6D1A1F3A}" name="Number" totalsRowLabel="Total" dataDxfId="107" totalsRowDxfId="106"/>
    <tableColumn id="2" xr3:uid="{17B66D0B-5207-2442-A00C-88E6E2BF7FB9}" name="Name" dataDxfId="105" totalsRowDxfId="104"/>
    <tableColumn id="3" xr3:uid="{18487A8A-6987-A140-B232-8DA643C88388}" name="Ticker" dataDxfId="103" totalsRowDxfId="102"/>
    <tableColumn id="4" xr3:uid="{C07234CC-369B-A84C-B926-494D7F3A1500}" name="Shares" dataDxfId="101" totalsRowDxfId="100"/>
    <tableColumn id="5" xr3:uid="{C2DEBF3E-5FD1-074F-BC1D-E38A6F812833}" name="Average Unit Cost" dataDxfId="99" totalsRowDxfId="98">
      <calculatedColumnFormula>PortafolioPPR[[#This Row],[Purchased Value]]/PortafolioPPR[[#This Row],[Shares]]</calculatedColumnFormula>
    </tableColumn>
    <tableColumn id="6" xr3:uid="{90B66C6B-6407-F246-B90D-371FDC2687D5}" name="Current Unit Cost" dataDxfId="97" totalsRowDxfId="96"/>
    <tableColumn id="7" xr3:uid="{EDC496C8-679D-E84E-971B-07C9627E4D21}" name="Purchased Value" totalsRowFunction="sum" dataDxfId="95" totalsRowDxfId="94">
      <calculatedColumnFormula>IF(F6="","",D6*E6)</calculatedColumnFormula>
    </tableColumn>
    <tableColumn id="8" xr3:uid="{49E4EDC3-92B8-484D-899D-3A7EE78101C7}" name="Market Value" totalsRowFunction="sum" dataDxfId="93" totalsRowDxfId="92">
      <calculatedColumnFormula>PortafolioPPR[[#This Row],[Shares]] * PortafolioPPR[[#This Row],[Current Unit Cost]]</calculatedColumnFormula>
    </tableColumn>
    <tableColumn id="9" xr3:uid="{ED672FAF-FB04-6447-9237-AD5941085916}" name="Balance" totalsRowFunction="sum" dataDxfId="91" totalsRowDxfId="90">
      <calculatedColumnFormula>IFERROR(PortafolioPPR[[#This Row],[Market Value]] - PortafolioPPR[[#This Row],[Purchased Value]], 0)</calculatedColumnFormula>
    </tableColumn>
    <tableColumn id="10" xr3:uid="{8165854C-9CCA-BA41-A40E-4E7596341DB4}" name="Balance %" totalsRowFunction="custom" dataDxfId="89" totalsRowDxfId="88">
      <calculatedColumnFormula>IFERROR(PortafolioPPR[[#This Row],[Market Value]] / PortafolioPPR[[#This Row],[Purchased Value]] - 1, 0)</calculatedColumnFormula>
      <totalsRowFormula>IFERROR((PortafolioPPR[[#Totals],[Market Value]]/PortafolioPPR[[#Totals],[Purchased Value]]) - 1, 0)</totalsRowFormula>
    </tableColumn>
    <tableColumn id="12" xr3:uid="{C10D9C99-F7CF-E546-A3AC-2ADB182840DD}" name="Weight %" totalsRowFunction="sum" dataDxfId="87" totalsRowDxfId="86">
      <calculatedColumnFormula>PortafolioPPR[[#This Row],[Purchased Value]]/PortafolioPPR[[#Totals],[Purchased Value]]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12D3B-A8AF-8546-B2E3-8A13CE840178}" name="PortafolioIndizado" displayName="PortafolioIndizado" ref="A5:Q17" totalsRowCount="1" dataDxfId="84" headerRowBorderDxfId="85" tableBorderDxfId="83" totalsRowBorderDxfId="82">
  <autoFilter ref="A5:Q16" xr:uid="{B2E7D05C-1BEA-AD47-92E6-C3CB2B09A194}"/>
  <tableColumns count="17">
    <tableColumn id="1" xr3:uid="{C8814CEB-E8F7-8D41-A31B-1BD2ACD64E50}" name="Number" totalsRowLabel="Total" dataDxfId="81" totalsRowDxfId="16"/>
    <tableColumn id="2" xr3:uid="{8A548F2D-B426-FF41-B7E0-DACBC870F5AF}" name="Name" dataDxfId="80" totalsRowDxfId="15"/>
    <tableColumn id="3" xr3:uid="{1D152614-BF6B-B348-8EB1-A629331F7174}" name="Ticker" dataDxfId="79" totalsRowDxfId="14"/>
    <tableColumn id="4" xr3:uid="{B4514CB4-1F57-7E48-9ECA-00A1D59DA77D}" name="Shares" dataDxfId="78" totalsRowDxfId="13"/>
    <tableColumn id="13" xr3:uid="{95A02056-0B94-4609-A625-F7770326BC42}" name="To Buy" totalsRowFunction="custom" dataDxfId="77" totalsRowDxfId="12">
      <totalsRowFormula>SUMPRODUCT(PortafolioIndizado[To Buy], PortafolioIndizado[Current Unit Cost])</totalsRowFormula>
    </tableColumn>
    <tableColumn id="5" xr3:uid="{5CAFE9C1-EC03-EF41-84CF-7A1483B7FC7B}" name="Average Unit Cost" dataDxfId="76" totalsRowDxfId="11"/>
    <tableColumn id="16" xr3:uid="{77EA14E4-E933-4F87-AC85-A3746FC0E6EF}" name="Potential Average Unit Cost" dataDxfId="75" totalsRowDxfId="10">
      <calculatedColumnFormula>IFERROR( (PortafolioIndizado[[#This Row],[Purchased Value]] + PortafolioIndizado[[#This Row],[Current Unit Cost]] * PortafolioIndizado[[#This Row],[To Buy]])/(PortafolioIndizado[[#This Row],[Shares]] + PortafolioIndizado[[#This Row],[To Buy]]), 0)</calculatedColumnFormula>
    </tableColumn>
    <tableColumn id="6" xr3:uid="{AFEC35C0-656A-A142-90AA-D56911A0FCDB}" name="Current Unit Cost" dataDxfId="74" totalsRowDxfId="9"/>
    <tableColumn id="18" xr3:uid="{31B39A5D-F014-4624-B7E4-E06C60B3B9FA}" name="Unit Cost Diff %" dataDxfId="73" totalsRowDxfId="8" dataCellStyle="Percent">
      <calculatedColumnFormula>IFERROR((PortafolioIndizado[[#This Row],[Current Unit Cost]] - PortafolioIndizado[[#This Row],[Average Unit Cost]]) / PortafolioIndizado[[#This Row],[Average Unit Cost]],0)</calculatedColumnFormula>
    </tableColumn>
    <tableColumn id="7" xr3:uid="{6DF47CB1-8739-9741-9F2B-0D4DE4421709}" name="Purchased Value" totalsRowFunction="sum" dataDxfId="72" totalsRowDxfId="7">
      <calculatedColumnFormula>IF(H6="","",D6*F6)</calculatedColumnFormula>
    </tableColumn>
    <tableColumn id="8" xr3:uid="{95763DD0-3A2D-EC41-B582-A0E84F6F2332}" name="Market Value" totalsRowFunction="sum" dataDxfId="71" totalsRowDxfId="6">
      <calculatedColumnFormula>PortafolioIndizado[[#This Row],[Shares]] * PortafolioIndizado[[#This Row],[Current Unit Cost]]</calculatedColumnFormula>
    </tableColumn>
    <tableColumn id="15" xr3:uid="{61C65F2C-D640-433D-9544-654EF4B79F55}" name="Potential Market Value" totalsRowFunction="sum" dataDxfId="70" totalsRowDxfId="5">
      <calculatedColumnFormula>PortafolioIndizado[[#This Row],[To Buy]] * PortafolioIndizado[[#This Row],[Current Unit Cost]] + PortafolioIndizado[[#This Row],[Market Value]]</calculatedColumnFormula>
    </tableColumn>
    <tableColumn id="9" xr3:uid="{2E419918-A923-5544-BD89-029B3EE46672}" name="Balance" totalsRowFunction="sum" dataDxfId="69" totalsRowDxfId="4">
      <calculatedColumnFormula>IFERROR(PortafolioIndizado[[#This Row],[Market Value]] - PortafolioIndizado[[#This Row],[Purchased Value]], 0)</calculatedColumnFormula>
    </tableColumn>
    <tableColumn id="10" xr3:uid="{F409479A-F869-1F40-A6F4-F5C82C49A70B}" name="Balance %" totalsRowFunction="average" dataDxfId="68" totalsRowDxfId="3">
      <calculatedColumnFormula>IFERROR(PortafolioIndizado[[#This Row],[Market Value]] / PortafolioIndizado[[#This Row],[Purchased Value]] - 1, 0)</calculatedColumnFormula>
    </tableColumn>
    <tableColumn id="11" xr3:uid="{A5067A91-D2CD-754E-8C53-1D48AC940F6F}" name="Current Weight %" totalsRowFunction="sum" dataDxfId="67" totalsRowDxfId="2">
      <calculatedColumnFormula>IFERROR(PortafolioIndizado[[#This Row],[Market Value]] / PortafolioIndizado[[#Totals],[Market Value]], "")</calculatedColumnFormula>
    </tableColumn>
    <tableColumn id="14" xr3:uid="{8132387D-6065-4754-A3AB-B1175D69BCB4}" name="Potential Weight %" dataDxfId="66" totalsRowDxfId="1">
      <calculatedColumnFormula>IFERROR(PortafolioIndizado[[#This Row],[Potential Market Value]] / PortafolioIndizado[[#Totals],[Potential Market Value]], "")</calculatedColumnFormula>
    </tableColumn>
    <tableColumn id="12" xr3:uid="{C39CA399-11BC-2941-8D40-27C203C6B766}" name="Target Weight %" totalsRowFunction="sum" dataDxfId="65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1888E-CC61-F646-8044-B791D97D4489}" name="Table2" displayName="Table2" ref="A3:W30" totalsRowCount="1" headerRowDxfId="64" totalsRowDxfId="63">
  <autoFilter ref="A3:W29" xr:uid="{BD21888E-CC61-F646-8044-B791D97D4489}"/>
  <sortState xmlns:xlrd2="http://schemas.microsoft.com/office/spreadsheetml/2017/richdata2" ref="A4:W29">
    <sortCondition descending="1" ref="S3:S29"/>
  </sortState>
  <tableColumns count="23">
    <tableColumn id="1" xr3:uid="{739ADA7C-3F6F-2841-8A11-F9A07B970711}" name="Pais/Region" totalsRowLabel="Averages" dataDxfId="62" totalsRowDxfId="61"/>
    <tableColumn id="12" xr3:uid="{2CA46C66-DB6F-C347-81A5-19A179DA5045}" name="Instrumento" dataDxfId="60" totalsRowDxfId="59"/>
    <tableColumn id="25" xr3:uid="{13A658C2-8560-0D44-9968-C5967AE34276}" name="Currency (to USD)" dataDxfId="58" totalsRowDxfId="57"/>
    <tableColumn id="15" xr3:uid="{EAA46AA9-AB63-574B-890E-FBEE90ED6E6A}" name="GDP (USD billion)" totalsRowFunction="average" dataDxfId="56" totalsRowDxfId="55"/>
    <tableColumn id="3" xr3:uid="{E2D7B28C-9F29-564F-A34A-0DAB2984AECE}" name="Full Year GDP  Growth" totalsRowFunction="average" dataDxfId="54" totalsRowDxfId="53"/>
    <tableColumn id="27" xr3:uid="{CBA2B5C0-7883-804C-9DC5-47656F70CC0F}" name="GDP per capita PPP (USD)" totalsRowFunction="average" dataDxfId="52" totalsRowDxfId="51"/>
    <tableColumn id="11" xr3:uid="{F0B52934-F4F9-F24C-AB5F-0BCE31FDF3A5}" name="Unemployment" totalsRowFunction="average" dataDxfId="50" totalsRowDxfId="49"/>
    <tableColumn id="4" xr3:uid="{E56F852F-2693-394D-BAF8-77F7FC359DD2}" name="Inflation rate" totalsRowFunction="average" dataDxfId="48" totalsRowDxfId="47"/>
    <tableColumn id="18" xr3:uid="{67C307D8-D24B-B846-92E5-33B81E122F97}" name="Interest Rate" totalsRowFunction="average" dataDxfId="46" totalsRowDxfId="45"/>
    <tableColumn id="19" xr3:uid="{A6D02B5D-41AB-DB4C-9D4F-435149E0F881}" name="Foreign Exchange Reserves (USD Million)" totalsRowFunction="average" dataDxfId="44" totalsRowDxfId="43"/>
    <tableColumn id="24" xr3:uid="{BEF03C62-542E-864B-8B55-8F6899B168DB}" name="Balance Trade (USD Million)" totalsRowFunction="average" dataDxfId="42" totalsRowDxfId="41"/>
    <tableColumn id="30" xr3:uid="{3F99F235-4249-2D4E-82AE-570C90BBA2D2}" name="Exports (USD Million)" dataDxfId="40" totalsRowDxfId="39"/>
    <tableColumn id="31" xr3:uid="{7FEE0F96-FA6B-2047-9BCE-FF793DA3330A}" name="Imports (USD Million)" dataDxfId="38" totalsRowDxfId="37"/>
    <tableColumn id="29" xr3:uid="{1E8DD1B2-05A9-D94E-B831-B24FAA229BF7}" name="Balance Trade %" totalsRowFunction="average" dataDxfId="36" totalsRowDxfId="35">
      <calculatedColumnFormula>IFERROR(  (Table2[[#This Row],[Exports (USD Million)]] / Table2[[#This Row],[Imports (USD Million)]] ) - 1,  0)</calculatedColumnFormula>
    </tableColumn>
    <tableColumn id="26" xr3:uid="{4C55EA2A-7719-B347-8371-488048970D31}" name="Foreign Direct Investment (USD Million)" totalsRowFunction="average" dataDxfId="34" totalsRowDxfId="33"/>
    <tableColumn id="14" xr3:uid="{8A51E0B4-0C14-3849-A979-EBA0F153CCC7}" name="Debt to GDP" totalsRowFunction="average" dataDxfId="32" totalsRowDxfId="31"/>
    <tableColumn id="16" xr3:uid="{59E689EF-08B8-DA4A-9221-59F6B80F9B50}" name="Business Confidence" dataDxfId="30" totalsRowDxfId="29"/>
    <tableColumn id="17" xr3:uid="{A642E396-4E1F-894B-A0CD-42C1052B1C45}" name="Consumer Confidence" dataDxfId="28" totalsRowDxfId="27"/>
    <tableColumn id="7" xr3:uid="{622F34A1-A765-014C-9BC0-655F28BF1634}" name="Economic Freedom" totalsRowFunction="average" dataDxfId="26" totalsRowDxfId="25"/>
    <tableColumn id="13" xr3:uid="{128CEF61-4F83-534A-9ECC-9DE8E21D3429}" name="Resumen" dataDxfId="24" totalsRowDxfId="23"/>
    <tableColumn id="8" xr3:uid="{D45E3999-1ECD-3345-AAA3-EB533122E44D}" name="Notas" dataDxfId="22" totalsRowDxfId="21"/>
    <tableColumn id="9" xr3:uid="{C802BDFB-BF6E-9049-B799-422F5F90A600}" name="Fortalezas" dataDxfId="20" totalsRowDxfId="19"/>
    <tableColumn id="10" xr3:uid="{44D49588-6919-4049-B764-44C08A706E60}" name="Debilidades" totalsRowFunction="count" dataDxfId="18" totalsRow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Y967"/>
  <sheetViews>
    <sheetView topLeftCell="B1" zoomScale="150" zoomScaleNormal="150" workbookViewId="0">
      <selection activeCell="D16" sqref="D16"/>
    </sheetView>
  </sheetViews>
  <sheetFormatPr baseColWidth="10" defaultColWidth="12.6640625" defaultRowHeight="15" customHeight="1" x14ac:dyDescent="0.15"/>
  <cols>
    <col min="1" max="1" width="9.33203125" customWidth="1"/>
    <col min="2" max="2" width="24.83203125" customWidth="1"/>
    <col min="3" max="3" width="11.1640625" customWidth="1"/>
    <col min="4" max="4" width="11.83203125" customWidth="1"/>
    <col min="5" max="5" width="11.5" customWidth="1"/>
    <col min="6" max="6" width="8.5" customWidth="1"/>
    <col min="7" max="7" width="16.1640625" customWidth="1"/>
    <col min="8" max="8" width="17.6640625" customWidth="1"/>
    <col min="9" max="9" width="18.33203125" customWidth="1"/>
    <col min="10" max="10" width="18.83203125" customWidth="1"/>
    <col min="11" max="11" width="15.1640625" customWidth="1"/>
    <col min="12" max="25" width="12.5" customWidth="1"/>
  </cols>
  <sheetData>
    <row r="1" spans="1:25" ht="1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ht="39" customHeight="1" x14ac:dyDescent="0.15">
      <c r="A2" s="139"/>
      <c r="B2" s="140"/>
      <c r="C2" s="140"/>
      <c r="D2" s="141" t="s">
        <v>0</v>
      </c>
      <c r="E2" s="142"/>
      <c r="F2" s="142"/>
      <c r="G2" s="142"/>
      <c r="H2" s="142"/>
      <c r="I2" s="143"/>
      <c r="J2" s="144" t="s">
        <v>1</v>
      </c>
      <c r="K2" s="14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3" x14ac:dyDescent="0.15">
      <c r="A3" s="145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15">
      <c r="A4" s="148" t="s">
        <v>179</v>
      </c>
      <c r="B4" s="142"/>
      <c r="C4" s="142"/>
      <c r="D4" s="142"/>
      <c r="E4" s="142"/>
      <c r="F4" s="142"/>
      <c r="G4" s="142"/>
      <c r="H4" s="142"/>
      <c r="I4" s="142"/>
      <c r="J4" s="142"/>
      <c r="K4" s="14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46.5" customHeight="1" x14ac:dyDescent="0.15">
      <c r="A5" s="27" t="s">
        <v>168</v>
      </c>
      <c r="B5" s="39" t="s">
        <v>169</v>
      </c>
      <c r="C5" s="27" t="s">
        <v>43</v>
      </c>
      <c r="D5" s="27" t="s">
        <v>170</v>
      </c>
      <c r="E5" s="27" t="s">
        <v>175</v>
      </c>
      <c r="F5" s="28" t="s">
        <v>176</v>
      </c>
      <c r="G5" s="29" t="s">
        <v>177</v>
      </c>
      <c r="H5" s="29" t="s">
        <v>178</v>
      </c>
      <c r="I5" s="29" t="s">
        <v>171</v>
      </c>
      <c r="J5" s="27" t="s">
        <v>172</v>
      </c>
      <c r="K5" s="124" t="s">
        <v>185</v>
      </c>
      <c r="L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" x14ac:dyDescent="0.15">
      <c r="A6" s="25">
        <v>1</v>
      </c>
      <c r="B6" s="23" t="s">
        <v>166</v>
      </c>
      <c r="C6" s="10" t="s">
        <v>41</v>
      </c>
      <c r="D6" s="11">
        <f>NasdaqInicialUnidades+NasdaqComprometidoUnidades</f>
        <v>390.49440000000004</v>
      </c>
      <c r="E6" s="12">
        <f>PortafolioPPR[[#This Row],[Purchased Value]]/PortafolioPPR[[#This Row],[Shares]]</f>
        <v>128.05407708791725</v>
      </c>
      <c r="F6" s="12">
        <f>NasdaqComprometidoValorUnitario</f>
        <v>157.78309999999999</v>
      </c>
      <c r="G6" s="13">
        <f>AportacionesAcumuladas*NasdaqPonderacion</f>
        <v>50004.4</v>
      </c>
      <c r="H6" s="13">
        <f>ValorNasdaqInicial + ValorNasdaqComprometido</f>
        <v>61613.416964639997</v>
      </c>
      <c r="I6" s="13">
        <f>IFERROR(PortafolioPPR[[#This Row],[Market Value]] - PortafolioPPR[[#This Row],[Purchased Value]], 0)</f>
        <v>11609.016964639995</v>
      </c>
      <c r="J6" s="14">
        <f>IFERROR(PortafolioPPR[[#This Row],[Market Value]] / PortafolioPPR[[#This Row],[Purchased Value]] - 1, 0)</f>
        <v>0.23215990922078844</v>
      </c>
      <c r="K6" s="26">
        <f>PortafolioPPR[[#This Row],[Purchased Value]]/PortafolioPPR[[#Totals],[Purchased Value]]</f>
        <v>0.2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" x14ac:dyDescent="0.15">
      <c r="A7" s="25">
        <f>A6 + 1</f>
        <v>2</v>
      </c>
      <c r="B7" s="23" t="s">
        <v>167</v>
      </c>
      <c r="C7" s="10" t="s">
        <v>42</v>
      </c>
      <c r="D7" s="11">
        <f>DDInicialUnidades+DDComprometidoUnidades</f>
        <v>460.55119999999999</v>
      </c>
      <c r="E7" s="12">
        <f>PortafolioPPR[[#This Row],[Purchased Value]]/PortafolioPPR[[#This Row],[Shares]]</f>
        <v>434.30046431319693</v>
      </c>
      <c r="F7" s="12">
        <f>DDComprometidoValorUnitario</f>
        <v>538.95100000000002</v>
      </c>
      <c r="G7" s="13">
        <f>AportacionesAcumuladas*DDPonderacion</f>
        <v>200017.6</v>
      </c>
      <c r="H7" s="13">
        <f>ValorDDInicial + ValorDDComprometido</f>
        <v>248214.52979120001</v>
      </c>
      <c r="I7" s="13">
        <f>IFERROR(PortafolioPPR[[#This Row],[Market Value]] - PortafolioPPR[[#This Row],[Purchased Value]], 0)</f>
        <v>48196.929791200004</v>
      </c>
      <c r="J7" s="14">
        <f>IFERROR(PortafolioPPR[[#This Row],[Market Value]] / PortafolioPPR[[#This Row],[Purchased Value]] - 1, 0)</f>
        <v>0.24096344417291271</v>
      </c>
      <c r="K7" s="26">
        <f>PortafolioPPR[[#This Row],[Purchased Value]]/PortafolioPPR[[#Totals],[Purchased Value]]</f>
        <v>0.8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15">
      <c r="A8" s="30" t="s">
        <v>44</v>
      </c>
      <c r="B8" s="31"/>
      <c r="C8" s="32"/>
      <c r="D8" s="33"/>
      <c r="E8" s="33"/>
      <c r="F8" s="33"/>
      <c r="G8" s="35">
        <f>SUBTOTAL(109,PortafolioPPR[Purchased Value])</f>
        <v>250022</v>
      </c>
      <c r="H8" s="35">
        <f>SUBTOTAL(109,PortafolioPPR[Market Value])</f>
        <v>309827.94675583998</v>
      </c>
      <c r="I8" s="35">
        <f>SUBTOTAL(109,PortafolioPPR[Balance])</f>
        <v>59805.946755839999</v>
      </c>
      <c r="J8" s="36">
        <f>IFERROR((PortafolioPPR[[#Totals],[Market Value]]/PortafolioPPR[[#Totals],[Purchased Value]]) - 1, 0)</f>
        <v>0.23920273718248786</v>
      </c>
      <c r="K8" s="38">
        <f>SUBTOTAL(109,PortafolioPPR[Weight %])</f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15">
      <c r="A9" s="3"/>
      <c r="B9" s="3"/>
      <c r="C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3" x14ac:dyDescent="0.15"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15">
      <c r="A11" s="122"/>
      <c r="B11" s="12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15">
      <c r="A12" s="3"/>
      <c r="D12" s="12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15">
      <c r="A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15">
      <c r="A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15">
      <c r="A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15">
      <c r="A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15">
      <c r="A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15">
      <c r="A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15">
      <c r="A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15">
      <c r="A20" s="3"/>
      <c r="B20" s="3"/>
      <c r="C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15">
      <c r="A21" s="3"/>
      <c r="B21" s="3"/>
      <c r="C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15">
      <c r="A22" s="3"/>
      <c r="B22" s="3"/>
      <c r="C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15">
      <c r="A23" s="3"/>
      <c r="B23" s="3"/>
      <c r="C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15">
      <c r="A24" s="3"/>
      <c r="B24" s="3"/>
      <c r="C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15">
      <c r="A25" s="3"/>
      <c r="B25" s="3"/>
      <c r="C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15">
      <c r="A26" s="3"/>
      <c r="B26" s="3"/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15">
      <c r="A27" s="3"/>
      <c r="B27" s="3"/>
      <c r="C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15">
      <c r="A28" s="3"/>
      <c r="B28" s="3"/>
      <c r="C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15">
      <c r="A29" s="3"/>
      <c r="B29" s="3"/>
      <c r="C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15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15">
      <c r="A31" s="3"/>
      <c r="B31" s="3"/>
      <c r="C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15">
      <c r="A32" s="3"/>
      <c r="B32" s="3"/>
      <c r="C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15">
      <c r="A33" s="3"/>
      <c r="B33" s="3"/>
      <c r="C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25" ht="1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25" ht="1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25" ht="1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25" ht="1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25" ht="1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</sheetData>
  <mergeCells count="5">
    <mergeCell ref="A2:C2"/>
    <mergeCell ref="D2:I2"/>
    <mergeCell ref="J2:K2"/>
    <mergeCell ref="A3:K3"/>
    <mergeCell ref="A4:K4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3BBA-EAA0-104A-88FC-A4E2427B1AFA}">
  <dimension ref="A1:F26"/>
  <sheetViews>
    <sheetView zoomScale="200" zoomScaleNormal="200" workbookViewId="0">
      <selection activeCell="C16" sqref="C16"/>
    </sheetView>
  </sheetViews>
  <sheetFormatPr baseColWidth="10" defaultColWidth="10.6640625" defaultRowHeight="13" x14ac:dyDescent="0.15"/>
  <cols>
    <col min="1" max="1" width="33.6640625" customWidth="1"/>
    <col min="2" max="2" width="17.33203125" customWidth="1"/>
    <col min="3" max="4" width="12.1640625" bestFit="1" customWidth="1"/>
  </cols>
  <sheetData>
    <row r="1" spans="1:5" ht="14" x14ac:dyDescent="0.15">
      <c r="A1" s="41" t="s">
        <v>54</v>
      </c>
      <c r="B1" s="138" t="s">
        <v>187</v>
      </c>
      <c r="C1" s="40"/>
      <c r="D1" s="24"/>
      <c r="E1" s="24"/>
    </row>
    <row r="2" spans="1:5" ht="14" x14ac:dyDescent="0.15">
      <c r="A2" s="41" t="s">
        <v>46</v>
      </c>
      <c r="B2" s="42">
        <v>250022</v>
      </c>
    </row>
    <row r="3" spans="1:5" x14ac:dyDescent="0.15">
      <c r="A3" s="24"/>
    </row>
    <row r="4" spans="1:5" ht="28" x14ac:dyDescent="0.15">
      <c r="A4" s="41" t="s">
        <v>47</v>
      </c>
      <c r="B4" s="41" t="s">
        <v>45</v>
      </c>
      <c r="C4" s="41" t="s">
        <v>48</v>
      </c>
      <c r="D4" s="41" t="s">
        <v>49</v>
      </c>
      <c r="E4" s="41" t="s">
        <v>55</v>
      </c>
    </row>
    <row r="5" spans="1:5" x14ac:dyDescent="0.15">
      <c r="A5" s="24" t="s">
        <v>50</v>
      </c>
      <c r="B5" s="43">
        <v>285.39080000000001</v>
      </c>
      <c r="C5" s="44">
        <v>157.78309999999999</v>
      </c>
      <c r="D5" s="42">
        <f>B5*C5</f>
        <v>45029.845135479998</v>
      </c>
      <c r="E5" s="45"/>
    </row>
    <row r="6" spans="1:5" x14ac:dyDescent="0.15">
      <c r="A6" s="24" t="s">
        <v>51</v>
      </c>
      <c r="B6" s="43">
        <v>105.1036</v>
      </c>
      <c r="C6" s="44">
        <f>NasdaqInicialValorUnitario</f>
        <v>157.78309999999999</v>
      </c>
      <c r="D6" s="42">
        <f t="shared" ref="D6:D8" si="0">B6*C6</f>
        <v>16583.571829159999</v>
      </c>
      <c r="E6" s="45">
        <v>0.2</v>
      </c>
    </row>
    <row r="7" spans="1:5" x14ac:dyDescent="0.15">
      <c r="A7" s="24" t="s">
        <v>52</v>
      </c>
      <c r="B7" s="43">
        <v>337.99270000000001</v>
      </c>
      <c r="C7" s="44">
        <v>538.95100000000002</v>
      </c>
      <c r="D7" s="42">
        <f t="shared" si="0"/>
        <v>182161.50365770003</v>
      </c>
      <c r="E7" s="45"/>
    </row>
    <row r="8" spans="1:5" x14ac:dyDescent="0.15">
      <c r="A8" s="24" t="s">
        <v>53</v>
      </c>
      <c r="B8" s="43">
        <v>122.5585</v>
      </c>
      <c r="C8" s="44">
        <f>DDInicialValorUnitario</f>
        <v>538.95100000000002</v>
      </c>
      <c r="D8" s="42">
        <f t="shared" si="0"/>
        <v>66053.026133499996</v>
      </c>
      <c r="E8" s="45">
        <v>0.8</v>
      </c>
    </row>
    <row r="9" spans="1:5" x14ac:dyDescent="0.15">
      <c r="A9" s="24" t="s">
        <v>143</v>
      </c>
      <c r="D9" s="94">
        <v>116002.04</v>
      </c>
    </row>
    <row r="10" spans="1:5" x14ac:dyDescent="0.15">
      <c r="A10" s="24" t="s">
        <v>144</v>
      </c>
      <c r="D10" s="94">
        <f>SUM(D5:D8)</f>
        <v>309827.94675584004</v>
      </c>
    </row>
    <row r="11" spans="1:5" x14ac:dyDescent="0.15">
      <c r="A11" s="24" t="s">
        <v>145</v>
      </c>
      <c r="D11" s="94">
        <f>D9+D10</f>
        <v>425829.98675584001</v>
      </c>
    </row>
    <row r="15" spans="1:5" x14ac:dyDescent="0.15">
      <c r="B15" s="24" t="s">
        <v>135</v>
      </c>
      <c r="C15" s="94">
        <f>D7+D5</f>
        <v>227191.34879318002</v>
      </c>
    </row>
    <row r="16" spans="1:5" x14ac:dyDescent="0.15">
      <c r="B16" s="24" t="s">
        <v>186</v>
      </c>
      <c r="C16" s="94">
        <f>ValorNasdaqComprometido+ValorDDComprometido</f>
        <v>82636.597962659987</v>
      </c>
    </row>
    <row r="17" spans="1:6" x14ac:dyDescent="0.15">
      <c r="A17" s="24"/>
      <c r="B17" s="24" t="s">
        <v>136</v>
      </c>
      <c r="C17" s="94">
        <f>C15*0.009</f>
        <v>2044.7221391386199</v>
      </c>
    </row>
    <row r="18" spans="1:6" x14ac:dyDescent="0.15">
      <c r="B18" s="24" t="s">
        <v>137</v>
      </c>
      <c r="C18" s="94">
        <f>C15*0.001</f>
        <v>227.19134879318003</v>
      </c>
    </row>
    <row r="19" spans="1:6" x14ac:dyDescent="0.15">
      <c r="B19" s="24" t="s">
        <v>138</v>
      </c>
      <c r="C19" s="42">
        <v>10254</v>
      </c>
    </row>
    <row r="20" spans="1:6" x14ac:dyDescent="0.15">
      <c r="B20" s="24"/>
      <c r="C20" s="94"/>
    </row>
    <row r="22" spans="1:6" x14ac:dyDescent="0.15">
      <c r="B22" s="24"/>
    </row>
    <row r="23" spans="1:6" x14ac:dyDescent="0.15">
      <c r="E23" s="24" t="s">
        <v>139</v>
      </c>
      <c r="F23">
        <v>10254</v>
      </c>
    </row>
    <row r="24" spans="1:6" x14ac:dyDescent="0.15">
      <c r="E24" s="24" t="s">
        <v>140</v>
      </c>
      <c r="F24">
        <v>24000</v>
      </c>
    </row>
    <row r="25" spans="1:6" x14ac:dyDescent="0.15">
      <c r="E25" s="24" t="s">
        <v>141</v>
      </c>
      <c r="F25">
        <v>20407</v>
      </c>
    </row>
    <row r="26" spans="1:6" x14ac:dyDescent="0.15">
      <c r="E26" s="24" t="s">
        <v>142</v>
      </c>
      <c r="F26">
        <v>15000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2F32-DCA7-4843-9F7C-D135F1E9C3FC}">
  <sheetPr>
    <tabColor rgb="FFB6D7A8"/>
    <outlinePr summaryBelow="0" summaryRight="0"/>
  </sheetPr>
  <dimension ref="A1:AE977"/>
  <sheetViews>
    <sheetView tabSelected="1" topLeftCell="A2" zoomScale="150" zoomScaleNormal="150" workbookViewId="0">
      <pane xSplit="3" topLeftCell="D1" activePane="topRight" state="frozen"/>
      <selection pane="topRight" activeCell="A17" sqref="A17"/>
    </sheetView>
  </sheetViews>
  <sheetFormatPr baseColWidth="10" defaultColWidth="12.6640625" defaultRowHeight="15" customHeight="1" x14ac:dyDescent="0.15"/>
  <cols>
    <col min="1" max="1" width="5.6640625" customWidth="1"/>
    <col min="2" max="2" width="13" customWidth="1"/>
    <col min="3" max="3" width="11.1640625" customWidth="1"/>
    <col min="4" max="4" width="7.33203125" customWidth="1"/>
    <col min="5" max="5" width="11.5" bestFit="1" customWidth="1"/>
    <col min="6" max="6" width="8.5" customWidth="1"/>
    <col min="7" max="7" width="9.83203125" customWidth="1"/>
    <col min="8" max="8" width="15.1640625" customWidth="1"/>
    <col min="9" max="9" width="15.1640625" style="51" customWidth="1"/>
    <col min="10" max="10" width="17.6640625" customWidth="1"/>
    <col min="11" max="12" width="18.33203125" customWidth="1"/>
    <col min="13" max="13" width="18.83203125" customWidth="1"/>
    <col min="14" max="14" width="14.83203125" customWidth="1"/>
    <col min="15" max="16" width="15.1640625" customWidth="1"/>
    <col min="17" max="30" width="12.5" customWidth="1"/>
  </cols>
  <sheetData>
    <row r="1" spans="1:31" ht="1.5" customHeight="1" x14ac:dyDescent="0.15">
      <c r="A1" s="1"/>
      <c r="B1" s="1"/>
      <c r="C1" s="1"/>
      <c r="D1" s="1"/>
      <c r="E1" s="1"/>
      <c r="F1" s="1"/>
      <c r="G1" s="1"/>
      <c r="H1" s="1"/>
      <c r="I1" s="13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1" ht="39" customHeight="1" x14ac:dyDescent="0.15">
      <c r="A2" s="139"/>
      <c r="B2" s="140"/>
      <c r="C2" s="140"/>
      <c r="D2" s="141" t="s">
        <v>0</v>
      </c>
      <c r="E2" s="142"/>
      <c r="F2" s="142"/>
      <c r="G2" s="142"/>
      <c r="H2" s="142"/>
      <c r="I2" s="142"/>
      <c r="J2" s="142"/>
      <c r="K2" s="143"/>
      <c r="L2" s="125"/>
      <c r="M2" s="144" t="s">
        <v>1</v>
      </c>
      <c r="N2" s="142"/>
      <c r="O2" s="143"/>
      <c r="P2" s="12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13" x14ac:dyDescent="0.15">
      <c r="A3" s="145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7"/>
      <c r="P3" s="12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1" ht="15.75" customHeight="1" x14ac:dyDescent="0.15">
      <c r="A4" s="148" t="s">
        <v>3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3"/>
      <c r="P4" s="12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1" ht="46.5" customHeight="1" x14ac:dyDescent="0.15">
      <c r="A5" s="27" t="s">
        <v>168</v>
      </c>
      <c r="B5" s="39" t="s">
        <v>169</v>
      </c>
      <c r="C5" s="27" t="s">
        <v>43</v>
      </c>
      <c r="D5" s="27" t="s">
        <v>170</v>
      </c>
      <c r="E5" s="27" t="s">
        <v>180</v>
      </c>
      <c r="F5" s="27" t="s">
        <v>175</v>
      </c>
      <c r="G5" s="27" t="s">
        <v>183</v>
      </c>
      <c r="H5" s="28" t="s">
        <v>176</v>
      </c>
      <c r="I5" s="136" t="s">
        <v>184</v>
      </c>
      <c r="J5" s="29" t="s">
        <v>177</v>
      </c>
      <c r="K5" s="29" t="s">
        <v>178</v>
      </c>
      <c r="L5" s="29" t="s">
        <v>182</v>
      </c>
      <c r="M5" s="29" t="s">
        <v>171</v>
      </c>
      <c r="N5" s="27" t="s">
        <v>172</v>
      </c>
      <c r="O5" s="27" t="s">
        <v>173</v>
      </c>
      <c r="P5" s="128" t="s">
        <v>181</v>
      </c>
      <c r="Q5" s="124" t="s">
        <v>174</v>
      </c>
      <c r="R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8" x14ac:dyDescent="0.15">
      <c r="A6" s="25">
        <v>1</v>
      </c>
      <c r="B6" s="23" t="s">
        <v>101</v>
      </c>
      <c r="C6" s="10" t="s">
        <v>71</v>
      </c>
      <c r="D6" s="11">
        <v>10</v>
      </c>
      <c r="E6" s="11">
        <v>0</v>
      </c>
      <c r="F6" s="12">
        <v>1270.5999999999999</v>
      </c>
      <c r="G6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1270.5999999999999</v>
      </c>
      <c r="H6" s="12">
        <v>1267.1400000000001</v>
      </c>
      <c r="I6" s="133">
        <f>IFERROR((PortafolioIndizado[[#This Row],[Current Unit Cost]] - PortafolioIndizado[[#This Row],[Average Unit Cost]]) / PortafolioIndizado[[#This Row],[Average Unit Cost]],0)</f>
        <v>-2.7231229340467567E-3</v>
      </c>
      <c r="J6" s="13">
        <f>PortafolioIndizado[[#This Row],[Shares]] * PortafolioIndizado[[#This Row],[Average Unit Cost]]</f>
        <v>12706</v>
      </c>
      <c r="K6" s="13">
        <f>PortafolioIndizado[[#This Row],[Shares]] * PortafolioIndizado[[#This Row],[Current Unit Cost]]</f>
        <v>12671.400000000001</v>
      </c>
      <c r="L6" s="13">
        <f>PortafolioIndizado[[#This Row],[To Buy]] * PortafolioIndizado[[#This Row],[Current Unit Cost]] + PortafolioIndizado[[#This Row],[Market Value]]</f>
        <v>12671.400000000001</v>
      </c>
      <c r="M6" s="13">
        <f>IFERROR(PortafolioIndizado[[#This Row],[Market Value]] - PortafolioIndizado[[#This Row],[Purchased Value]], 0)</f>
        <v>-34.599999999998545</v>
      </c>
      <c r="N6" s="14">
        <f>IFERROR(PortafolioIndizado[[#This Row],[Market Value]] / PortafolioIndizado[[#This Row],[Purchased Value]] - 1, 0)</f>
        <v>-2.7231229340467511E-3</v>
      </c>
      <c r="O6" s="15">
        <f>IFERROR(PortafolioIndizado[[#This Row],[Market Value]] / PortafolioIndizado[[#Totals],[Market Value]], "")</f>
        <v>0.42114338264741957</v>
      </c>
      <c r="P6" s="129">
        <f>IFERROR(PortafolioIndizado[[#This Row],[Potential Market Value]] / PortafolioIndizado[[#Totals],[Potential Market Value]], "")</f>
        <v>0.39779881766031605</v>
      </c>
      <c r="Q6" s="26">
        <v>0.4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4" x14ac:dyDescent="0.15">
      <c r="A7" s="25">
        <f>A6 + 1</f>
        <v>2</v>
      </c>
      <c r="B7" s="23" t="s">
        <v>87</v>
      </c>
      <c r="C7" s="10" t="s">
        <v>70</v>
      </c>
      <c r="D7" s="11">
        <v>2</v>
      </c>
      <c r="E7" s="11">
        <v>0</v>
      </c>
      <c r="F7" s="12">
        <v>809.37</v>
      </c>
      <c r="G7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809.37</v>
      </c>
      <c r="H7" s="12">
        <v>829.05</v>
      </c>
      <c r="I7" s="133">
        <f>IFERROR((PortafolioIndizado[[#This Row],[Current Unit Cost]] - PortafolioIndizado[[#This Row],[Average Unit Cost]]) / PortafolioIndizado[[#This Row],[Average Unit Cost]],0)</f>
        <v>2.4315208124837773E-2</v>
      </c>
      <c r="J7" s="13">
        <f>PortafolioIndizado[[#This Row],[Shares]] * PortafolioIndizado[[#This Row],[Average Unit Cost]]</f>
        <v>1618.74</v>
      </c>
      <c r="K7" s="13">
        <f>PortafolioIndizado[[#This Row],[Shares]] * PortafolioIndizado[[#This Row],[Current Unit Cost]]</f>
        <v>1658.1</v>
      </c>
      <c r="L7" s="13">
        <f>PortafolioIndizado[[#This Row],[To Buy]] * PortafolioIndizado[[#This Row],[Current Unit Cost]] + PortafolioIndizado[[#This Row],[Market Value]]</f>
        <v>1658.1</v>
      </c>
      <c r="M7" s="13">
        <f>IFERROR(PortafolioIndizado[[#This Row],[Market Value]] - PortafolioIndizado[[#This Row],[Purchased Value]], 0)</f>
        <v>39.3599999999999</v>
      </c>
      <c r="N7" s="14">
        <f>IFERROR(PortafolioIndizado[[#This Row],[Market Value]] / PortafolioIndizado[[#This Row],[Purchased Value]] - 1, 0)</f>
        <v>2.4315208124837673E-2</v>
      </c>
      <c r="O7" s="15">
        <f>IFERROR(PortafolioIndizado[[#This Row],[Market Value]] / PortafolioIndizado[[#Totals],[Market Value]], "")</f>
        <v>5.5108184002374341E-2</v>
      </c>
      <c r="P7" s="129">
        <f>IFERROR(PortafolioIndizado[[#This Row],[Potential Market Value]] / PortafolioIndizado[[#Totals],[Potential Market Value]], "")</f>
        <v>5.2053460514431708E-2</v>
      </c>
      <c r="Q7" s="26">
        <v>0.05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15">
      <c r="A8" s="25">
        <f t="shared" ref="A8:A16" si="0">A7 + 1</f>
        <v>3</v>
      </c>
      <c r="B8" s="23" t="s">
        <v>26</v>
      </c>
      <c r="C8" s="10" t="s">
        <v>72</v>
      </c>
      <c r="D8" s="11">
        <v>8</v>
      </c>
      <c r="E8" s="11">
        <v>6</v>
      </c>
      <c r="F8" s="12">
        <v>52.5</v>
      </c>
      <c r="G8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54.505714285714284</v>
      </c>
      <c r="H8" s="12">
        <v>57.18</v>
      </c>
      <c r="I8" s="133">
        <f>IFERROR((PortafolioIndizado[[#This Row],[Current Unit Cost]] - PortafolioIndizado[[#This Row],[Average Unit Cost]]) / PortafolioIndizado[[#This Row],[Average Unit Cost]],0)</f>
        <v>8.9142857142857135E-2</v>
      </c>
      <c r="J8" s="13">
        <f>PortafolioIndizado[[#This Row],[Shares]] * PortafolioIndizado[[#This Row],[Average Unit Cost]]</f>
        <v>420</v>
      </c>
      <c r="K8" s="13">
        <f>PortafolioIndizado[[#This Row],[Shares]] * PortafolioIndizado[[#This Row],[Current Unit Cost]]</f>
        <v>457.44</v>
      </c>
      <c r="L8" s="13">
        <f>PortafolioIndizado[[#This Row],[To Buy]] * PortafolioIndizado[[#This Row],[Current Unit Cost]] + PortafolioIndizado[[#This Row],[Market Value]]</f>
        <v>800.52</v>
      </c>
      <c r="M8" s="13">
        <f>IFERROR(PortafolioIndizado[[#This Row],[Market Value]] - PortafolioIndizado[[#This Row],[Purchased Value]], 0)</f>
        <v>37.44</v>
      </c>
      <c r="N8" s="14">
        <f>IFERROR(PortafolioIndizado[[#This Row],[Market Value]] / PortafolioIndizado[[#This Row],[Purchased Value]] - 1, 0)</f>
        <v>8.914285714285719E-2</v>
      </c>
      <c r="O8" s="15">
        <f>IFERROR(PortafolioIndizado[[#This Row],[Market Value]] / PortafolioIndizado[[#Totals],[Market Value]], "")</f>
        <v>1.520335787349745E-2</v>
      </c>
      <c r="P8" s="129">
        <f>IFERROR(PortafolioIndizado[[#This Row],[Potential Market Value]] / PortafolioIndizado[[#Totals],[Potential Market Value]], "")</f>
        <v>2.5131075454443565E-2</v>
      </c>
      <c r="Q8" s="26">
        <v>2.5000000000000001E-2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15">
      <c r="A9" s="25">
        <f>A8 + 1</f>
        <v>4</v>
      </c>
      <c r="B9" s="23" t="s">
        <v>27</v>
      </c>
      <c r="C9" s="10" t="s">
        <v>73</v>
      </c>
      <c r="D9" s="11">
        <v>2</v>
      </c>
      <c r="E9" s="11">
        <v>0</v>
      </c>
      <c r="F9" s="12">
        <v>505.44</v>
      </c>
      <c r="G9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505.44</v>
      </c>
      <c r="H9" s="12">
        <v>532.54999999999995</v>
      </c>
      <c r="I9" s="133">
        <f>IFERROR((PortafolioIndizado[[#This Row],[Current Unit Cost]] - PortafolioIndizado[[#This Row],[Average Unit Cost]]) / PortafolioIndizado[[#This Row],[Average Unit Cost]],0)</f>
        <v>5.3636435580879938E-2</v>
      </c>
      <c r="J9" s="13">
        <f>PortafolioIndizado[[#This Row],[Shares]] * PortafolioIndizado[[#This Row],[Average Unit Cost]]</f>
        <v>1010.88</v>
      </c>
      <c r="K9" s="13">
        <f>PortafolioIndizado[[#This Row],[Shares]] * PortafolioIndizado[[#This Row],[Current Unit Cost]]</f>
        <v>1065.0999999999999</v>
      </c>
      <c r="L9" s="13">
        <f>PortafolioIndizado[[#This Row],[To Buy]] * PortafolioIndizado[[#This Row],[Current Unit Cost]] + PortafolioIndizado[[#This Row],[Market Value]]</f>
        <v>1065.0999999999999</v>
      </c>
      <c r="M9" s="13">
        <f>IFERROR(PortafolioIndizado[[#This Row],[Market Value]] - PortafolioIndizado[[#This Row],[Purchased Value]], 0)</f>
        <v>54.219999999999914</v>
      </c>
      <c r="N9" s="14">
        <f>IFERROR(PortafolioIndizado[[#This Row],[Market Value]] / PortafolioIndizado[[#This Row],[Purchased Value]] - 1, 0)</f>
        <v>5.3636435580880049E-2</v>
      </c>
      <c r="O9" s="15">
        <f>IFERROR(PortafolioIndizado[[#This Row],[Market Value]] / PortafolioIndizado[[#Totals],[Market Value]], "")</f>
        <v>3.5399388927645443E-2</v>
      </c>
      <c r="P9" s="129">
        <f>IFERROR(PortafolioIndizado[[#This Row],[Potential Market Value]] / PortafolioIndizado[[#Totals],[Potential Market Value]], "")</f>
        <v>3.3437151434727225E-2</v>
      </c>
      <c r="Q9" s="26">
        <v>2.5000000000000001E-2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15">
      <c r="A10" s="25">
        <f t="shared" si="0"/>
        <v>5</v>
      </c>
      <c r="B10" s="23" t="s">
        <v>162</v>
      </c>
      <c r="C10" s="10" t="s">
        <v>163</v>
      </c>
      <c r="D10" s="11">
        <v>4</v>
      </c>
      <c r="E10" s="11">
        <v>1</v>
      </c>
      <c r="F10" s="12">
        <v>1445.5</v>
      </c>
      <c r="G10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1440.924</v>
      </c>
      <c r="H10" s="12">
        <v>1422.62</v>
      </c>
      <c r="I10" s="133">
        <f>IFERROR((PortafolioIndizado[[#This Row],[Current Unit Cost]] - PortafolioIndizado[[#This Row],[Average Unit Cost]]) / PortafolioIndizado[[#This Row],[Average Unit Cost]],0)</f>
        <v>-1.5828433068142588E-2</v>
      </c>
      <c r="J10" s="13">
        <f>PortafolioIndizado[[#This Row],[Shares]] * PortafolioIndizado[[#This Row],[Average Unit Cost]]</f>
        <v>5782</v>
      </c>
      <c r="K10" s="13">
        <f>PortafolioIndizado[[#This Row],[Shares]] * PortafolioIndizado[[#This Row],[Current Unit Cost]]</f>
        <v>5690.48</v>
      </c>
      <c r="L10" s="13">
        <f>PortafolioIndizado[[#This Row],[To Buy]] * PortafolioIndizado[[#This Row],[Current Unit Cost]] + PortafolioIndizado[[#This Row],[Market Value]]</f>
        <v>7113.0999999999995</v>
      </c>
      <c r="M10" s="13">
        <f>IFERROR(PortafolioIndizado[[#This Row],[Market Value]] - PortafolioIndizado[[#This Row],[Purchased Value]], 0)</f>
        <v>-91.520000000000437</v>
      </c>
      <c r="N10" s="14">
        <f>IFERROR(PortafolioIndizado[[#This Row],[Market Value]] / PortafolioIndizado[[#This Row],[Purchased Value]] - 1, 0)</f>
        <v>-1.5828433068142633E-2</v>
      </c>
      <c r="O10" s="15">
        <f>IFERROR(PortafolioIndizado[[#This Row],[Market Value]] / PortafolioIndizado[[#Totals],[Market Value]], "")</f>
        <v>0.18912732579568853</v>
      </c>
      <c r="P10" s="129">
        <f>IFERROR(PortafolioIndizado[[#This Row],[Potential Market Value]] / PortafolioIndizado[[#Totals],[Potential Market Value]], "")</f>
        <v>0.22330466798456317</v>
      </c>
      <c r="Q10" s="26">
        <v>0.25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4" x14ac:dyDescent="0.15">
      <c r="A11" s="25">
        <f t="shared" si="0"/>
        <v>6</v>
      </c>
      <c r="B11" s="31" t="s">
        <v>33</v>
      </c>
      <c r="C11" s="32" t="s">
        <v>80</v>
      </c>
      <c r="D11" s="33">
        <v>1</v>
      </c>
      <c r="E11" s="33">
        <v>0</v>
      </c>
      <c r="F11" s="34">
        <v>1338</v>
      </c>
      <c r="G11" s="34">
        <f>IFERROR( (PortafolioIndizado[[#This Row],[Purchased Value]] + PortafolioIndizado[[#This Row],[Current Unit Cost]] * PortafolioIndizado[[#This Row],[To Buy]])/(PortafolioIndizado[[#This Row],[Shares]] + PortafolioIndizado[[#This Row],[To Buy]]), 0)</f>
        <v>1338</v>
      </c>
      <c r="H11" s="34">
        <v>1394.46</v>
      </c>
      <c r="I11" s="134">
        <f>IFERROR((PortafolioIndizado[[#This Row],[Current Unit Cost]] - PortafolioIndizado[[#This Row],[Average Unit Cost]]) / PortafolioIndizado[[#This Row],[Average Unit Cost]],0)</f>
        <v>4.2197309417040384E-2</v>
      </c>
      <c r="J11" s="13">
        <f>PortafolioIndizado[[#This Row],[Shares]] * PortafolioIndizado[[#This Row],[Average Unit Cost]]</f>
        <v>1338</v>
      </c>
      <c r="K11" s="13">
        <f>PortafolioIndizado[[#This Row],[Shares]] * PortafolioIndizado[[#This Row],[Current Unit Cost]]</f>
        <v>1394.46</v>
      </c>
      <c r="L11" s="13">
        <f>PortafolioIndizado[[#This Row],[To Buy]] * PortafolioIndizado[[#This Row],[Current Unit Cost]] + PortafolioIndizado[[#This Row],[Market Value]]</f>
        <v>1394.46</v>
      </c>
      <c r="M11" s="13">
        <f>IFERROR(PortafolioIndizado[[#This Row],[Market Value]] - PortafolioIndizado[[#This Row],[Purchased Value]], 0)</f>
        <v>56.460000000000036</v>
      </c>
      <c r="N11" s="14">
        <f>IFERROR(PortafolioIndizado[[#This Row],[Market Value]] / PortafolioIndizado[[#This Row],[Purchased Value]] - 1, 0)</f>
        <v>4.2197309417040474E-2</v>
      </c>
      <c r="O11" s="15">
        <f>IFERROR(PortafolioIndizado[[#This Row],[Market Value]] / PortafolioIndizado[[#Totals],[Market Value]], "")</f>
        <v>4.6345912950938387E-2</v>
      </c>
      <c r="P11" s="130">
        <f>IFERROR(PortafolioIndizado[[#This Row],[Potential Market Value]] / PortafolioIndizado[[#Totals],[Potential Market Value]], "")</f>
        <v>4.3776894366416047E-2</v>
      </c>
      <c r="Q11" s="38">
        <v>0.03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4" x14ac:dyDescent="0.15">
      <c r="A12" s="25">
        <f t="shared" si="0"/>
        <v>7</v>
      </c>
      <c r="B12" s="23" t="s">
        <v>28</v>
      </c>
      <c r="C12" s="10" t="s">
        <v>74</v>
      </c>
      <c r="D12" s="11">
        <v>2</v>
      </c>
      <c r="E12" s="11">
        <v>0</v>
      </c>
      <c r="F12" s="12">
        <v>1079.9100000000001</v>
      </c>
      <c r="G12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1079.9100000000001</v>
      </c>
      <c r="H12" s="12">
        <v>1015.43</v>
      </c>
      <c r="I12" s="133">
        <f>IFERROR((PortafolioIndizado[[#This Row],[Current Unit Cost]] - PortafolioIndizado[[#This Row],[Average Unit Cost]]) / PortafolioIndizado[[#This Row],[Average Unit Cost]],0)</f>
        <v>-5.9708679426989403E-2</v>
      </c>
      <c r="J12" s="13">
        <f>PortafolioIndizado[[#This Row],[Shares]] * PortafolioIndizado[[#This Row],[Average Unit Cost]]</f>
        <v>2159.8200000000002</v>
      </c>
      <c r="K12" s="13">
        <f>PortafolioIndizado[[#This Row],[Shares]] * PortafolioIndizado[[#This Row],[Current Unit Cost]]</f>
        <v>2030.86</v>
      </c>
      <c r="L12" s="13">
        <f>PortafolioIndizado[[#This Row],[To Buy]] * PortafolioIndizado[[#This Row],[Current Unit Cost]] + PortafolioIndizado[[#This Row],[Market Value]]</f>
        <v>2030.86</v>
      </c>
      <c r="M12" s="13">
        <f>IFERROR(PortafolioIndizado[[#This Row],[Market Value]] - PortafolioIndizado[[#This Row],[Purchased Value]], 0)</f>
        <v>-128.96000000000026</v>
      </c>
      <c r="N12" s="14">
        <f>IFERROR(PortafolioIndizado[[#This Row],[Market Value]] / PortafolioIndizado[[#This Row],[Purchased Value]] - 1, 0)</f>
        <v>-5.9708679426989431E-2</v>
      </c>
      <c r="O12" s="15">
        <f>IFERROR(PortafolioIndizado[[#This Row],[Market Value]] / PortafolioIndizado[[#Totals],[Market Value]], "")</f>
        <v>6.7497139233497358E-2</v>
      </c>
      <c r="P12" s="129">
        <f>IFERROR(PortafolioIndizado[[#This Row],[Potential Market Value]] / PortafolioIndizado[[#Totals],[Potential Market Value]], "")</f>
        <v>6.3755678680621666E-2</v>
      </c>
      <c r="Q12" s="26">
        <v>0.06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4" x14ac:dyDescent="0.15">
      <c r="A13" s="25">
        <f t="shared" si="0"/>
        <v>8</v>
      </c>
      <c r="B13" s="23" t="s">
        <v>32</v>
      </c>
      <c r="C13" s="10" t="s">
        <v>79</v>
      </c>
      <c r="D13" s="11">
        <v>2</v>
      </c>
      <c r="E13" s="11">
        <v>0</v>
      </c>
      <c r="F13" s="12">
        <v>1115.3599999999999</v>
      </c>
      <c r="G13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1115.3599999999999</v>
      </c>
      <c r="H13" s="12">
        <v>1088.3800000000001</v>
      </c>
      <c r="I13" s="133">
        <f>IFERROR((PortafolioIndizado[[#This Row],[Current Unit Cost]] - PortafolioIndizado[[#This Row],[Average Unit Cost]]) / PortafolioIndizado[[#This Row],[Average Unit Cost]],0)</f>
        <v>-2.4189499354468326E-2</v>
      </c>
      <c r="J13" s="13">
        <f>PortafolioIndizado[[#This Row],[Shares]] * PortafolioIndizado[[#This Row],[Average Unit Cost]]</f>
        <v>2230.7199999999998</v>
      </c>
      <c r="K13" s="13">
        <f>PortafolioIndizado[[#This Row],[Shares]] * PortafolioIndizado[[#This Row],[Current Unit Cost]]</f>
        <v>2176.7600000000002</v>
      </c>
      <c r="L13" s="13">
        <f>PortafolioIndizado[[#This Row],[To Buy]] * PortafolioIndizado[[#This Row],[Current Unit Cost]] + PortafolioIndizado[[#This Row],[Market Value]]</f>
        <v>2176.7600000000002</v>
      </c>
      <c r="M13" s="13">
        <f>IFERROR(PortafolioIndizado[[#This Row],[Market Value]] - PortafolioIndizado[[#This Row],[Purchased Value]], 0)</f>
        <v>-53.959999999999582</v>
      </c>
      <c r="N13" s="14">
        <f>IFERROR(PortafolioIndizado[[#This Row],[Market Value]] / PortafolioIndizado[[#This Row],[Purchased Value]] - 1, 0)</f>
        <v>-2.4189499354468347E-2</v>
      </c>
      <c r="O13" s="15">
        <f>IFERROR(PortafolioIndizado[[#This Row],[Market Value]] / PortafolioIndizado[[#Totals],[Market Value]], "")</f>
        <v>7.2346234008207222E-2</v>
      </c>
      <c r="P13" s="129">
        <f>IFERROR(PortafolioIndizado[[#This Row],[Potential Market Value]] / PortafolioIndizado[[#Totals],[Potential Market Value]], "")</f>
        <v>6.8335981369877799E-2</v>
      </c>
      <c r="Q13" s="26">
        <v>0.05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4" x14ac:dyDescent="0.15">
      <c r="A14" s="25">
        <f t="shared" si="0"/>
        <v>9</v>
      </c>
      <c r="B14" s="23" t="s">
        <v>31</v>
      </c>
      <c r="C14" s="10" t="s">
        <v>78</v>
      </c>
      <c r="D14" s="11">
        <v>1</v>
      </c>
      <c r="E14" s="11">
        <v>0</v>
      </c>
      <c r="F14" s="12">
        <v>995.79</v>
      </c>
      <c r="G14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995.79</v>
      </c>
      <c r="H14" s="12">
        <v>1037.99</v>
      </c>
      <c r="I14" s="133">
        <f>IFERROR((PortafolioIndizado[[#This Row],[Current Unit Cost]] - PortafolioIndizado[[#This Row],[Average Unit Cost]]) / PortafolioIndizado[[#This Row],[Average Unit Cost]],0)</f>
        <v>4.2378413119232017E-2</v>
      </c>
      <c r="J14" s="13">
        <f>PortafolioIndizado[[#This Row],[Shares]] * PortafolioIndizado[[#This Row],[Average Unit Cost]]</f>
        <v>995.79</v>
      </c>
      <c r="K14" s="13">
        <f>PortafolioIndizado[[#This Row],[Shares]] * PortafolioIndizado[[#This Row],[Current Unit Cost]]</f>
        <v>1037.99</v>
      </c>
      <c r="L14" s="13">
        <f>PortafolioIndizado[[#This Row],[To Buy]] * PortafolioIndizado[[#This Row],[Current Unit Cost]] + PortafolioIndizado[[#This Row],[Market Value]]</f>
        <v>1037.99</v>
      </c>
      <c r="M14" s="13">
        <f>IFERROR(PortafolioIndizado[[#This Row],[Market Value]] - PortafolioIndizado[[#This Row],[Purchased Value]], 0)</f>
        <v>42.200000000000045</v>
      </c>
      <c r="N14" s="14">
        <f>IFERROR(PortafolioIndizado[[#This Row],[Market Value]] / PortafolioIndizado[[#This Row],[Purchased Value]] - 1, 0)</f>
        <v>4.2378413119231961E-2</v>
      </c>
      <c r="O14" s="15">
        <f>IFERROR(PortafolioIndizado[[#This Row],[Market Value]] / PortafolioIndizado[[#Totals],[Market Value]], "")</f>
        <v>3.4498367958883391E-2</v>
      </c>
      <c r="P14" s="129">
        <f>IFERROR(PortafolioIndizado[[#This Row],[Potential Market Value]] / PortafolioIndizado[[#Totals],[Potential Market Value]], "")</f>
        <v>3.2586075314742766E-2</v>
      </c>
      <c r="Q14" s="26">
        <v>0.04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15">
      <c r="A15" s="25">
        <f t="shared" si="0"/>
        <v>10</v>
      </c>
      <c r="B15" s="23" t="s">
        <v>29</v>
      </c>
      <c r="C15" s="10" t="s">
        <v>75</v>
      </c>
      <c r="D15" s="11">
        <v>3</v>
      </c>
      <c r="E15" s="11">
        <v>0</v>
      </c>
      <c r="F15" s="12">
        <v>462.33</v>
      </c>
      <c r="G15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462.33</v>
      </c>
      <c r="H15" s="12">
        <v>478.38</v>
      </c>
      <c r="I15" s="133">
        <f>IFERROR((PortafolioIndizado[[#This Row],[Current Unit Cost]] - PortafolioIndizado[[#This Row],[Average Unit Cost]]) / PortafolioIndizado[[#This Row],[Average Unit Cost]],0)</f>
        <v>3.4715462980987634E-2</v>
      </c>
      <c r="J15" s="13">
        <f>PortafolioIndizado[[#This Row],[Shares]] * PortafolioIndizado[[#This Row],[Average Unit Cost]]</f>
        <v>1386.99</v>
      </c>
      <c r="K15" s="13">
        <f>PortafolioIndizado[[#This Row],[Shares]] * PortafolioIndizado[[#This Row],[Current Unit Cost]]</f>
        <v>1435.1399999999999</v>
      </c>
      <c r="L15" s="13">
        <f>PortafolioIndizado[[#This Row],[To Buy]] * PortafolioIndizado[[#This Row],[Current Unit Cost]] + PortafolioIndizado[[#This Row],[Market Value]]</f>
        <v>1435.1399999999999</v>
      </c>
      <c r="M15" s="13">
        <f>IFERROR(PortafolioIndizado[[#This Row],[Market Value]] - PortafolioIndizado[[#This Row],[Purchased Value]], 0)</f>
        <v>48.149999999999864</v>
      </c>
      <c r="N15" s="14">
        <f>IFERROR(PortafolioIndizado[[#This Row],[Market Value]] / PortafolioIndizado[[#This Row],[Purchased Value]] - 1, 0)</f>
        <v>3.4715462980987599E-2</v>
      </c>
      <c r="O15" s="15">
        <f>IFERROR(PortafolioIndizado[[#This Row],[Market Value]] / PortafolioIndizado[[#Totals],[Market Value]], "")</f>
        <v>4.7697942940213206E-2</v>
      </c>
      <c r="P15" s="129">
        <f>IFERROR(PortafolioIndizado[[#This Row],[Potential Market Value]] / PortafolioIndizado[[#Totals],[Potential Market Value]], "")</f>
        <v>4.5053979447971487E-2</v>
      </c>
      <c r="Q15" s="26">
        <v>0.05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29" customHeight="1" x14ac:dyDescent="0.15">
      <c r="A16" s="25">
        <f t="shared" si="0"/>
        <v>11</v>
      </c>
      <c r="B16" s="23" t="s">
        <v>30</v>
      </c>
      <c r="C16" s="10" t="s">
        <v>62</v>
      </c>
      <c r="D16" s="11">
        <v>1</v>
      </c>
      <c r="E16" s="11">
        <v>0</v>
      </c>
      <c r="F16" s="12">
        <v>454.75</v>
      </c>
      <c r="G16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454.75</v>
      </c>
      <c r="H16" s="12">
        <v>470.36</v>
      </c>
      <c r="I16" s="133">
        <f>IFERROR((PortafolioIndizado[[#This Row],[Current Unit Cost]] - PortafolioIndizado[[#This Row],[Average Unit Cost]]) / PortafolioIndizado[[#This Row],[Average Unit Cost]],0)</f>
        <v>3.4326553051127022E-2</v>
      </c>
      <c r="J16" s="13">
        <f>PortafolioIndizado[[#This Row],[Shares]] * PortafolioIndizado[[#This Row],[Average Unit Cost]]</f>
        <v>454.75</v>
      </c>
      <c r="K16" s="13">
        <f>PortafolioIndizado[[#This Row],[Shares]] * PortafolioIndizado[[#This Row],[Current Unit Cost]]</f>
        <v>470.36</v>
      </c>
      <c r="L16" s="13">
        <f>PortafolioIndizado[[#This Row],[To Buy]] * PortafolioIndizado[[#This Row],[Current Unit Cost]] + PortafolioIndizado[[#This Row],[Market Value]]</f>
        <v>470.36</v>
      </c>
      <c r="M16" s="13">
        <f>IFERROR(PortafolioIndizado[[#This Row],[Market Value]] - PortafolioIndizado[[#This Row],[Purchased Value]], 0)</f>
        <v>15.610000000000014</v>
      </c>
      <c r="N16" s="14">
        <f>IFERROR(PortafolioIndizado[[#This Row],[Market Value]] / PortafolioIndizado[[#This Row],[Purchased Value]] - 1, 0)</f>
        <v>3.4326553051126973E-2</v>
      </c>
      <c r="O16" s="15">
        <f>IFERROR(PortafolioIndizado[[#This Row],[Market Value]] / PortafolioIndizado[[#Totals],[Market Value]], "")</f>
        <v>1.5632763661634883E-2</v>
      </c>
      <c r="P16" s="129">
        <f>IFERROR(PortafolioIndizado[[#This Row],[Potential Market Value]] / PortafolioIndizado[[#Totals],[Potential Market Value]], "")</f>
        <v>1.4766217771888367E-2</v>
      </c>
      <c r="Q16" s="26">
        <v>0.02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5.75" customHeight="1" x14ac:dyDescent="0.15">
      <c r="A17" s="30" t="s">
        <v>44</v>
      </c>
      <c r="B17" s="31"/>
      <c r="C17" s="32"/>
      <c r="D17" s="33"/>
      <c r="E17" s="126">
        <f>SUMPRODUCT(PortafolioIndizado[To Buy], PortafolioIndizado[Current Unit Cost])</f>
        <v>1765.6999999999998</v>
      </c>
      <c r="F17" s="33"/>
      <c r="G17" s="33"/>
      <c r="H17" s="33"/>
      <c r="I17" s="137"/>
      <c r="J17" s="35">
        <f>SUBTOTAL(109,PortafolioIndizado[Purchased Value])</f>
        <v>30103.690000000002</v>
      </c>
      <c r="K17" s="35">
        <f>SUBTOTAL(109,PortafolioIndizado[Market Value])</f>
        <v>30088.090000000007</v>
      </c>
      <c r="L17" s="35">
        <f>SUBTOTAL(109,PortafolioIndizado[Potential Market Value])</f>
        <v>31853.790000000005</v>
      </c>
      <c r="M17" s="35">
        <f>SUBTOTAL(109,PortafolioIndizado[Balance])</f>
        <v>-15.599999999999056</v>
      </c>
      <c r="N17" s="36">
        <f>SUBTOTAL(101,PortafolioIndizado[Balance %])</f>
        <v>1.9842045875755887E-2</v>
      </c>
      <c r="O17" s="37">
        <f>SUBTOTAL(109,PortafolioIndizado[Current Weight %])</f>
        <v>0.99999999999999978</v>
      </c>
      <c r="P17" s="37"/>
      <c r="Q17" s="38">
        <f>SUBTOTAL(109,PortafolioIndizado[Target Weight %])</f>
        <v>1.0000000000000002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5.75" customHeight="1" x14ac:dyDescent="0.15">
      <c r="A18" s="3"/>
      <c r="B18" s="3"/>
      <c r="C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1" ht="15.75" customHeight="1" x14ac:dyDescent="0.15">
      <c r="A19" s="3"/>
      <c r="B19" s="3"/>
      <c r="C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1" ht="15.75" customHeight="1" x14ac:dyDescent="0.15">
      <c r="A20" s="3"/>
      <c r="E20" s="13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1" ht="15.75" customHeight="1" x14ac:dyDescent="0.15">
      <c r="A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1" ht="15.75" customHeight="1" x14ac:dyDescent="0.15">
      <c r="A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1" ht="15.75" customHeight="1" x14ac:dyDescent="0.15">
      <c r="A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1" ht="15.75" customHeight="1" x14ac:dyDescent="0.15">
      <c r="A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1" ht="15.75" customHeight="1" x14ac:dyDescent="0.15">
      <c r="A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1" ht="15.75" customHeight="1" x14ac:dyDescent="0.15">
      <c r="A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1" ht="15.75" customHeight="1" x14ac:dyDescent="0.15">
      <c r="A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1" ht="15.75" customHeight="1" x14ac:dyDescent="0.15">
      <c r="A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1" ht="15.75" customHeight="1" x14ac:dyDescent="0.15">
      <c r="A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1" ht="15.75" customHeight="1" x14ac:dyDescent="0.15">
      <c r="A30" s="3"/>
      <c r="B30" s="3"/>
      <c r="C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1" ht="15.75" customHeight="1" x14ac:dyDescent="0.15">
      <c r="A31" s="3"/>
      <c r="B31" s="3"/>
      <c r="C31" s="3"/>
      <c r="F31" s="3"/>
      <c r="G31" s="3"/>
      <c r="H31" s="3"/>
      <c r="I31" s="13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1" ht="15.75" customHeight="1" x14ac:dyDescent="0.15">
      <c r="A32" s="3"/>
      <c r="B32" s="3"/>
      <c r="C32" s="3"/>
      <c r="F32" s="3"/>
      <c r="G32" s="3"/>
      <c r="H32" s="3"/>
      <c r="I32" s="13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 x14ac:dyDescent="0.15">
      <c r="A33" s="3"/>
      <c r="B33" s="3"/>
      <c r="C33" s="3"/>
      <c r="F33" s="3"/>
      <c r="G33" s="3"/>
      <c r="H33" s="3"/>
      <c r="I33" s="13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 x14ac:dyDescent="0.15">
      <c r="A34" s="3"/>
      <c r="B34" s="3"/>
      <c r="C34" s="3"/>
      <c r="F34" s="3"/>
      <c r="G34" s="3"/>
      <c r="H34" s="3"/>
      <c r="I34" s="13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 x14ac:dyDescent="0.15">
      <c r="A35" s="3"/>
      <c r="B35" s="3"/>
      <c r="C35" s="3"/>
      <c r="F35" s="3"/>
      <c r="G35" s="3"/>
      <c r="H35" s="3"/>
      <c r="I35" s="13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 x14ac:dyDescent="0.15">
      <c r="A36" s="3"/>
      <c r="B36" s="3"/>
      <c r="C36" s="3"/>
      <c r="F36" s="3"/>
      <c r="G36" s="3"/>
      <c r="H36" s="3"/>
      <c r="I36" s="13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 x14ac:dyDescent="0.15">
      <c r="A37" s="3"/>
      <c r="B37" s="3"/>
      <c r="C37" s="3"/>
      <c r="F37" s="3"/>
      <c r="G37" s="3"/>
      <c r="H37" s="3"/>
      <c r="I37" s="13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 x14ac:dyDescent="0.15">
      <c r="A38" s="3"/>
      <c r="B38" s="3"/>
      <c r="C38" s="3"/>
      <c r="F38" s="3"/>
      <c r="G38" s="3"/>
      <c r="H38" s="3"/>
      <c r="I38" s="13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 x14ac:dyDescent="0.15">
      <c r="A39" s="3"/>
      <c r="B39" s="3"/>
      <c r="C39" s="3"/>
      <c r="F39" s="3"/>
      <c r="G39" s="3"/>
      <c r="H39" s="3"/>
      <c r="I39" s="13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x14ac:dyDescent="0.15">
      <c r="A40" s="3"/>
      <c r="B40" s="3"/>
      <c r="C40" s="3"/>
      <c r="F40" s="3"/>
      <c r="G40" s="3"/>
      <c r="H40" s="3"/>
      <c r="I40" s="13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 x14ac:dyDescent="0.15">
      <c r="A41" s="3"/>
      <c r="B41" s="3"/>
      <c r="C41" s="3"/>
      <c r="F41" s="3"/>
      <c r="G41" s="3"/>
      <c r="H41" s="3"/>
      <c r="I41" s="13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 x14ac:dyDescent="0.15">
      <c r="A42" s="3"/>
      <c r="B42" s="3"/>
      <c r="C42" s="3"/>
      <c r="F42" s="3"/>
      <c r="G42" s="3"/>
      <c r="H42" s="3"/>
      <c r="I42" s="13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 x14ac:dyDescent="0.15">
      <c r="A43" s="3"/>
      <c r="B43" s="3"/>
      <c r="C43" s="3"/>
      <c r="F43" s="3"/>
      <c r="G43" s="3"/>
      <c r="H43" s="3"/>
      <c r="I43" s="13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 x14ac:dyDescent="0.15">
      <c r="A44" s="3"/>
      <c r="B44" s="3"/>
      <c r="C44" s="3"/>
      <c r="D44" s="3"/>
      <c r="E44" s="3"/>
      <c r="F44" s="3"/>
      <c r="G44" s="3"/>
      <c r="H44" s="3"/>
      <c r="I44" s="13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 x14ac:dyDescent="0.15">
      <c r="A45" s="3"/>
      <c r="B45" s="3"/>
      <c r="C45" s="3"/>
      <c r="D45" s="3"/>
      <c r="E45" s="3"/>
      <c r="F45" s="3"/>
      <c r="G45" s="3"/>
      <c r="H45" s="3"/>
      <c r="I45" s="13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 x14ac:dyDescent="0.15">
      <c r="A46" s="3"/>
      <c r="B46" s="3"/>
      <c r="C46" s="3"/>
      <c r="D46" s="3"/>
      <c r="E46" s="3"/>
      <c r="F46" s="3"/>
      <c r="G46" s="3"/>
      <c r="H46" s="3"/>
      <c r="I46" s="13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 x14ac:dyDescent="0.15">
      <c r="A47" s="3"/>
      <c r="B47" s="3"/>
      <c r="C47" s="3"/>
      <c r="D47" s="3"/>
      <c r="E47" s="3"/>
      <c r="F47" s="3"/>
      <c r="G47" s="3"/>
      <c r="H47" s="3"/>
      <c r="I47" s="13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 x14ac:dyDescent="0.15">
      <c r="A48" s="3"/>
      <c r="B48" s="3"/>
      <c r="C48" s="3"/>
      <c r="D48" s="3"/>
      <c r="E48" s="3"/>
      <c r="F48" s="3"/>
      <c r="G48" s="3"/>
      <c r="H48" s="3"/>
      <c r="I48" s="13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 x14ac:dyDescent="0.15">
      <c r="A49" s="3"/>
      <c r="B49" s="3"/>
      <c r="C49" s="3"/>
      <c r="D49" s="3"/>
      <c r="E49" s="3"/>
      <c r="F49" s="3"/>
      <c r="G49" s="3"/>
      <c r="H49" s="3"/>
      <c r="I49" s="13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 x14ac:dyDescent="0.15">
      <c r="A50" s="3"/>
      <c r="B50" s="3"/>
      <c r="C50" s="3"/>
      <c r="D50" s="3"/>
      <c r="E50" s="3"/>
      <c r="F50" s="3"/>
      <c r="G50" s="3"/>
      <c r="H50" s="3"/>
      <c r="I50" s="13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 x14ac:dyDescent="0.15">
      <c r="A51" s="3"/>
      <c r="B51" s="3"/>
      <c r="C51" s="3"/>
      <c r="D51" s="3"/>
      <c r="E51" s="3"/>
      <c r="F51" s="3"/>
      <c r="G51" s="3"/>
      <c r="H51" s="3"/>
      <c r="I51" s="13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 x14ac:dyDescent="0.15">
      <c r="A52" s="3"/>
      <c r="B52" s="3"/>
      <c r="C52" s="3"/>
      <c r="D52" s="3"/>
      <c r="E52" s="3"/>
      <c r="F52" s="3"/>
      <c r="G52" s="3"/>
      <c r="H52" s="3"/>
      <c r="I52" s="13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 x14ac:dyDescent="0.15">
      <c r="A53" s="3"/>
      <c r="B53" s="3"/>
      <c r="C53" s="3"/>
      <c r="D53" s="3"/>
      <c r="E53" s="3"/>
      <c r="F53" s="3"/>
      <c r="G53" s="3"/>
      <c r="H53" s="3"/>
      <c r="I53" s="13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 x14ac:dyDescent="0.15">
      <c r="A54" s="3"/>
      <c r="B54" s="3"/>
      <c r="C54" s="3"/>
      <c r="D54" s="3"/>
      <c r="E54" s="3"/>
      <c r="F54" s="3"/>
      <c r="G54" s="3"/>
      <c r="H54" s="3"/>
      <c r="I54" s="13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 x14ac:dyDescent="0.15">
      <c r="A55" s="3"/>
      <c r="B55" s="3"/>
      <c r="C55" s="3"/>
      <c r="D55" s="3"/>
      <c r="E55" s="3"/>
      <c r="F55" s="3"/>
      <c r="G55" s="3"/>
      <c r="H55" s="3"/>
      <c r="I55" s="13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.75" customHeight="1" x14ac:dyDescent="0.15">
      <c r="A56" s="3"/>
      <c r="B56" s="3"/>
      <c r="C56" s="3"/>
      <c r="D56" s="3"/>
      <c r="E56" s="3"/>
      <c r="F56" s="3"/>
      <c r="G56" s="3"/>
      <c r="H56" s="3"/>
      <c r="I56" s="13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.75" customHeight="1" x14ac:dyDescent="0.15">
      <c r="A57" s="3"/>
      <c r="B57" s="3"/>
      <c r="C57" s="3"/>
      <c r="D57" s="3"/>
      <c r="E57" s="3"/>
      <c r="F57" s="3"/>
      <c r="G57" s="3"/>
      <c r="H57" s="3"/>
      <c r="I57" s="13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.75" customHeight="1" x14ac:dyDescent="0.15">
      <c r="A58" s="3"/>
      <c r="B58" s="3"/>
      <c r="C58" s="3"/>
      <c r="D58" s="3"/>
      <c r="E58" s="3"/>
      <c r="F58" s="3"/>
      <c r="G58" s="3"/>
      <c r="H58" s="3"/>
      <c r="I58" s="13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.75" customHeight="1" x14ac:dyDescent="0.15">
      <c r="A59" s="3"/>
      <c r="B59" s="3"/>
      <c r="C59" s="3"/>
      <c r="D59" s="3"/>
      <c r="E59" s="3"/>
      <c r="F59" s="3"/>
      <c r="G59" s="3"/>
      <c r="H59" s="3"/>
      <c r="I59" s="13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.75" customHeight="1" x14ac:dyDescent="0.15">
      <c r="A60" s="3"/>
      <c r="B60" s="3"/>
      <c r="C60" s="3"/>
      <c r="D60" s="3"/>
      <c r="E60" s="3"/>
      <c r="F60" s="3"/>
      <c r="G60" s="3"/>
      <c r="H60" s="3"/>
      <c r="I60" s="13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.75" customHeight="1" x14ac:dyDescent="0.15">
      <c r="A61" s="3"/>
      <c r="B61" s="3"/>
      <c r="C61" s="3"/>
      <c r="D61" s="3"/>
      <c r="E61" s="3"/>
      <c r="F61" s="3"/>
      <c r="G61" s="3"/>
      <c r="H61" s="3"/>
      <c r="I61" s="13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.75" customHeight="1" x14ac:dyDescent="0.15">
      <c r="A62" s="3"/>
      <c r="B62" s="3"/>
      <c r="C62" s="3"/>
      <c r="D62" s="3"/>
      <c r="E62" s="3"/>
      <c r="F62" s="3"/>
      <c r="G62" s="3"/>
      <c r="H62" s="3"/>
      <c r="I62" s="13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.75" customHeight="1" x14ac:dyDescent="0.15">
      <c r="A63" s="3"/>
      <c r="B63" s="3"/>
      <c r="C63" s="3"/>
      <c r="D63" s="3"/>
      <c r="E63" s="3"/>
      <c r="F63" s="3"/>
      <c r="G63" s="3"/>
      <c r="H63" s="3"/>
      <c r="I63" s="13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.75" customHeight="1" x14ac:dyDescent="0.15">
      <c r="A64" s="3"/>
      <c r="B64" s="3"/>
      <c r="C64" s="3"/>
      <c r="D64" s="3"/>
      <c r="E64" s="3"/>
      <c r="F64" s="3"/>
      <c r="G64" s="3"/>
      <c r="H64" s="3"/>
      <c r="I64" s="13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.75" customHeight="1" x14ac:dyDescent="0.15">
      <c r="A65" s="3"/>
      <c r="B65" s="3"/>
      <c r="C65" s="3"/>
      <c r="D65" s="3"/>
      <c r="E65" s="3"/>
      <c r="F65" s="3"/>
      <c r="G65" s="3"/>
      <c r="H65" s="3"/>
      <c r="I65" s="13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.75" customHeight="1" x14ac:dyDescent="0.15">
      <c r="A66" s="3"/>
      <c r="B66" s="3"/>
      <c r="C66" s="3"/>
      <c r="D66" s="3"/>
      <c r="E66" s="3"/>
      <c r="F66" s="3"/>
      <c r="G66" s="3"/>
      <c r="H66" s="3"/>
      <c r="I66" s="13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.75" customHeight="1" x14ac:dyDescent="0.15">
      <c r="A67" s="3"/>
      <c r="B67" s="3"/>
      <c r="C67" s="3"/>
      <c r="D67" s="3"/>
      <c r="E67" s="3"/>
      <c r="F67" s="3"/>
      <c r="G67" s="3"/>
      <c r="H67" s="3"/>
      <c r="I67" s="13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.75" customHeight="1" x14ac:dyDescent="0.15">
      <c r="A68" s="3"/>
      <c r="B68" s="3"/>
      <c r="C68" s="3"/>
      <c r="D68" s="3"/>
      <c r="E68" s="3"/>
      <c r="F68" s="3"/>
      <c r="G68" s="3"/>
      <c r="H68" s="3"/>
      <c r="I68" s="13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.75" customHeight="1" x14ac:dyDescent="0.15">
      <c r="A69" s="3"/>
      <c r="B69" s="3"/>
      <c r="C69" s="3"/>
      <c r="D69" s="3"/>
      <c r="E69" s="3"/>
      <c r="F69" s="3"/>
      <c r="G69" s="3"/>
      <c r="H69" s="3"/>
      <c r="I69" s="13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.75" customHeight="1" x14ac:dyDescent="0.15">
      <c r="A70" s="3"/>
      <c r="B70" s="3"/>
      <c r="C70" s="3"/>
      <c r="D70" s="3"/>
      <c r="E70" s="3"/>
      <c r="F70" s="3"/>
      <c r="G70" s="3"/>
      <c r="H70" s="3"/>
      <c r="I70" s="13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.75" customHeight="1" x14ac:dyDescent="0.15">
      <c r="A71" s="3"/>
      <c r="B71" s="3"/>
      <c r="C71" s="3"/>
      <c r="D71" s="3"/>
      <c r="E71" s="3"/>
      <c r="F71" s="3"/>
      <c r="G71" s="3"/>
      <c r="H71" s="3"/>
      <c r="I71" s="13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.75" customHeight="1" x14ac:dyDescent="0.15">
      <c r="A72" s="3"/>
      <c r="B72" s="3"/>
      <c r="C72" s="3"/>
      <c r="D72" s="3"/>
      <c r="E72" s="3"/>
      <c r="F72" s="3"/>
      <c r="G72" s="3"/>
      <c r="H72" s="3"/>
      <c r="I72" s="13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.75" customHeight="1" x14ac:dyDescent="0.15">
      <c r="A73" s="3"/>
      <c r="B73" s="3"/>
      <c r="C73" s="3"/>
      <c r="D73" s="3"/>
      <c r="E73" s="3"/>
      <c r="F73" s="3"/>
      <c r="G73" s="3"/>
      <c r="H73" s="3"/>
      <c r="I73" s="13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.75" customHeight="1" x14ac:dyDescent="0.15">
      <c r="A74" s="3"/>
      <c r="B74" s="3"/>
      <c r="C74" s="3"/>
      <c r="D74" s="3"/>
      <c r="E74" s="3"/>
      <c r="F74" s="3"/>
      <c r="G74" s="3"/>
      <c r="H74" s="3"/>
      <c r="I74" s="13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.75" customHeight="1" x14ac:dyDescent="0.15">
      <c r="A75" s="3"/>
      <c r="B75" s="3"/>
      <c r="C75" s="3"/>
      <c r="D75" s="3"/>
      <c r="E75" s="3"/>
      <c r="F75" s="3"/>
      <c r="G75" s="3"/>
      <c r="H75" s="3"/>
      <c r="I75" s="13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.75" customHeight="1" x14ac:dyDescent="0.15">
      <c r="A76" s="3"/>
      <c r="B76" s="3"/>
      <c r="C76" s="3"/>
      <c r="D76" s="3"/>
      <c r="E76" s="3"/>
      <c r="F76" s="3"/>
      <c r="G76" s="3"/>
      <c r="H76" s="3"/>
      <c r="I76" s="13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.75" customHeight="1" x14ac:dyDescent="0.15">
      <c r="A77" s="3"/>
      <c r="B77" s="3"/>
      <c r="C77" s="3"/>
      <c r="D77" s="3"/>
      <c r="E77" s="3"/>
      <c r="F77" s="3"/>
      <c r="G77" s="3"/>
      <c r="H77" s="3"/>
      <c r="I77" s="13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.75" customHeight="1" x14ac:dyDescent="0.15">
      <c r="A78" s="3"/>
      <c r="B78" s="3"/>
      <c r="C78" s="3"/>
      <c r="D78" s="3"/>
      <c r="E78" s="3"/>
      <c r="F78" s="3"/>
      <c r="G78" s="3"/>
      <c r="H78" s="3"/>
      <c r="I78" s="13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.75" customHeight="1" x14ac:dyDescent="0.15">
      <c r="A79" s="3"/>
      <c r="B79" s="3"/>
      <c r="C79" s="3"/>
      <c r="D79" s="3"/>
      <c r="E79" s="3"/>
      <c r="F79" s="3"/>
      <c r="G79" s="3"/>
      <c r="H79" s="3"/>
      <c r="I79" s="13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.75" customHeight="1" x14ac:dyDescent="0.15">
      <c r="A80" s="3"/>
      <c r="B80" s="3"/>
      <c r="C80" s="3"/>
      <c r="D80" s="3"/>
      <c r="E80" s="3"/>
      <c r="F80" s="3"/>
      <c r="G80" s="3"/>
      <c r="H80" s="3"/>
      <c r="I80" s="13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.75" customHeight="1" x14ac:dyDescent="0.15">
      <c r="A81" s="3"/>
      <c r="B81" s="3"/>
      <c r="C81" s="3"/>
      <c r="D81" s="3"/>
      <c r="E81" s="3"/>
      <c r="F81" s="3"/>
      <c r="G81" s="3"/>
      <c r="H81" s="3"/>
      <c r="I81" s="13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.75" customHeight="1" x14ac:dyDescent="0.15">
      <c r="A82" s="3"/>
      <c r="B82" s="3"/>
      <c r="C82" s="3"/>
      <c r="D82" s="3"/>
      <c r="E82" s="3"/>
      <c r="F82" s="3"/>
      <c r="G82" s="3"/>
      <c r="H82" s="3"/>
      <c r="I82" s="13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.75" customHeight="1" x14ac:dyDescent="0.15">
      <c r="A83" s="3"/>
      <c r="B83" s="3"/>
      <c r="C83" s="3"/>
      <c r="D83" s="3"/>
      <c r="E83" s="3"/>
      <c r="F83" s="3"/>
      <c r="G83" s="3"/>
      <c r="H83" s="3"/>
      <c r="I83" s="13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.75" customHeight="1" x14ac:dyDescent="0.15">
      <c r="A84" s="3"/>
      <c r="B84" s="3"/>
      <c r="C84" s="3"/>
      <c r="D84" s="3"/>
      <c r="E84" s="3"/>
      <c r="F84" s="3"/>
      <c r="G84" s="3"/>
      <c r="H84" s="3"/>
      <c r="I84" s="13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 x14ac:dyDescent="0.15">
      <c r="A85" s="3"/>
      <c r="B85" s="3"/>
      <c r="C85" s="3"/>
      <c r="D85" s="3"/>
      <c r="E85" s="3"/>
      <c r="F85" s="3"/>
      <c r="G85" s="3"/>
      <c r="H85" s="3"/>
      <c r="I85" s="13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 x14ac:dyDescent="0.15">
      <c r="A86" s="3"/>
      <c r="B86" s="3"/>
      <c r="C86" s="3"/>
      <c r="D86" s="3"/>
      <c r="E86" s="3"/>
      <c r="F86" s="3"/>
      <c r="G86" s="3"/>
      <c r="H86" s="3"/>
      <c r="I86" s="13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 x14ac:dyDescent="0.15">
      <c r="A87" s="3"/>
      <c r="B87" s="3"/>
      <c r="C87" s="3"/>
      <c r="D87" s="3"/>
      <c r="E87" s="3"/>
      <c r="F87" s="3"/>
      <c r="G87" s="3"/>
      <c r="H87" s="3"/>
      <c r="I87" s="13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5.75" customHeight="1" x14ac:dyDescent="0.15">
      <c r="A88" s="3"/>
      <c r="B88" s="3"/>
      <c r="C88" s="3"/>
      <c r="D88" s="3"/>
      <c r="E88" s="3"/>
      <c r="F88" s="3"/>
      <c r="G88" s="3"/>
      <c r="H88" s="3"/>
      <c r="I88" s="13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5.75" customHeight="1" x14ac:dyDescent="0.15">
      <c r="A89" s="3"/>
      <c r="B89" s="3"/>
      <c r="C89" s="3"/>
      <c r="D89" s="3"/>
      <c r="E89" s="3"/>
      <c r="F89" s="3"/>
      <c r="G89" s="3"/>
      <c r="H89" s="3"/>
      <c r="I89" s="13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5.75" customHeight="1" x14ac:dyDescent="0.15">
      <c r="A90" s="3"/>
      <c r="B90" s="3"/>
      <c r="C90" s="3"/>
      <c r="D90" s="3"/>
      <c r="E90" s="3"/>
      <c r="F90" s="3"/>
      <c r="G90" s="3"/>
      <c r="H90" s="3"/>
      <c r="I90" s="13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.75" customHeight="1" x14ac:dyDescent="0.15">
      <c r="A91" s="3"/>
      <c r="B91" s="3"/>
      <c r="C91" s="3"/>
      <c r="D91" s="3"/>
      <c r="E91" s="3"/>
      <c r="F91" s="3"/>
      <c r="G91" s="3"/>
      <c r="H91" s="3"/>
      <c r="I91" s="13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.75" customHeight="1" x14ac:dyDescent="0.15">
      <c r="A92" s="3"/>
      <c r="B92" s="3"/>
      <c r="C92" s="3"/>
      <c r="D92" s="3"/>
      <c r="E92" s="3"/>
      <c r="F92" s="3"/>
      <c r="G92" s="3"/>
      <c r="H92" s="3"/>
      <c r="I92" s="13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.75" customHeight="1" x14ac:dyDescent="0.15">
      <c r="A93" s="3"/>
      <c r="B93" s="3"/>
      <c r="C93" s="3"/>
      <c r="D93" s="3"/>
      <c r="E93" s="3"/>
      <c r="F93" s="3"/>
      <c r="G93" s="3"/>
      <c r="H93" s="3"/>
      <c r="I93" s="13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.75" customHeight="1" x14ac:dyDescent="0.15">
      <c r="A94" s="3"/>
      <c r="B94" s="3"/>
      <c r="C94" s="3"/>
      <c r="D94" s="3"/>
      <c r="E94" s="3"/>
      <c r="F94" s="3"/>
      <c r="G94" s="3"/>
      <c r="H94" s="3"/>
      <c r="I94" s="13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.75" customHeight="1" x14ac:dyDescent="0.15">
      <c r="A95" s="3"/>
      <c r="B95" s="3"/>
      <c r="C95" s="3"/>
      <c r="D95" s="3"/>
      <c r="E95" s="3"/>
      <c r="F95" s="3"/>
      <c r="G95" s="3"/>
      <c r="H95" s="3"/>
      <c r="I95" s="13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.75" customHeight="1" x14ac:dyDescent="0.15">
      <c r="A96" s="3"/>
      <c r="B96" s="3"/>
      <c r="C96" s="3"/>
      <c r="D96" s="3"/>
      <c r="E96" s="3"/>
      <c r="F96" s="3"/>
      <c r="G96" s="3"/>
      <c r="H96" s="3"/>
      <c r="I96" s="13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.75" customHeight="1" x14ac:dyDescent="0.15">
      <c r="A97" s="3"/>
      <c r="B97" s="3"/>
      <c r="C97" s="3"/>
      <c r="D97" s="3"/>
      <c r="E97" s="3"/>
      <c r="F97" s="3"/>
      <c r="G97" s="3"/>
      <c r="H97" s="3"/>
      <c r="I97" s="13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.75" customHeight="1" x14ac:dyDescent="0.15">
      <c r="A98" s="3"/>
      <c r="B98" s="3"/>
      <c r="C98" s="3"/>
      <c r="D98" s="3"/>
      <c r="E98" s="3"/>
      <c r="F98" s="3"/>
      <c r="G98" s="3"/>
      <c r="H98" s="3"/>
      <c r="I98" s="13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75" customHeight="1" x14ac:dyDescent="0.15">
      <c r="A99" s="3"/>
      <c r="B99" s="3"/>
      <c r="C99" s="3"/>
      <c r="D99" s="3"/>
      <c r="E99" s="3"/>
      <c r="F99" s="3"/>
      <c r="G99" s="3"/>
      <c r="H99" s="3"/>
      <c r="I99" s="13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13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13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13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13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13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13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13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13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13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13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13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13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13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13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13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13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13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13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13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13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13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13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13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13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13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13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13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13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13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13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13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13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13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13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13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13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13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13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13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13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13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13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13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13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13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13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13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13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13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13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13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13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13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13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13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13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13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13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13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13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13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13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13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13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13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13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13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13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13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13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13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13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13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13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13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13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13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13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13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13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13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13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13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13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13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13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13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13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13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13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13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13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13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13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13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13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13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13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13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13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13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13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13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13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13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13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13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13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13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13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13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13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13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13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13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13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13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13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13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13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13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13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13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13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13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13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13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13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13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13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13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13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13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13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13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13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13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13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13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13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13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13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13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13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13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13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13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13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13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13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13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13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13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13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13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13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13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13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13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13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13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13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13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13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13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13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13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13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13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13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13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13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13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13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13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13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13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13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13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13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13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13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13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13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13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13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13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13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13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13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13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13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13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13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13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13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13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13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13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13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13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13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135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135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135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135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135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135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135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13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13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13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13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13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13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13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13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13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13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13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13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13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13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13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135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135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13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13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13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13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13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13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13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13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13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13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13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13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13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13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13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13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135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13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13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13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135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135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135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135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135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135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135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135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135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135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135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135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135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135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135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135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135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135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135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135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135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135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135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135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135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13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13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13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135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135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135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13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13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13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13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13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13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13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13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13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13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13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13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13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13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13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13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13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13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13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13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13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13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13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13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13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13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13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13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13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13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13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13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13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13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13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13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13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13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13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13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13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13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135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135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135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135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135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135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135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135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135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135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135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135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135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135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135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135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135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135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135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135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13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135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135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135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135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135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135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13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13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13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13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13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13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13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13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13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13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13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13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13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13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13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13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135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135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135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135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135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135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135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135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135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135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135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135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135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135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135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135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135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135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135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135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135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135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135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135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135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135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135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135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135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135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135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135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135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135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13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13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13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13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13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13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13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13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13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13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13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13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13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13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13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135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13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13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13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13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13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135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13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13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13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13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13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13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13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13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13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13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13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13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135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13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13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13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13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13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13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13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135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135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135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135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135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13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13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13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13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13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13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135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135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135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135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135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135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13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13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13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13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135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135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135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135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135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13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13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13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13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13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13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13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135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135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135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135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13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13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13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13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135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135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13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13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13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13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13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13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13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13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13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13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13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13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13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13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13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135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135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135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135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135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13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13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13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13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135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135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135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135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135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135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135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135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13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13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13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13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135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135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135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135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135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135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13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135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135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135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135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135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135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135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135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135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135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135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135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135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135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135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135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135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135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135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135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135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135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135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135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135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135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135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135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135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135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135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135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135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135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135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135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135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135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135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135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135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135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13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13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13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13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13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135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135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13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13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13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13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13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13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13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13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13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13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13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13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135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13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13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13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135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135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135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135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135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135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135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135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135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135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13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13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135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135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135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135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13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135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135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135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135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135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135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135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135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135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135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135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13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13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13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13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13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13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13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13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13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13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13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13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13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13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13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135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135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13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13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13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13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13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13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13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135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135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135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135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135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13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13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13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135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13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13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13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135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135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135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135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135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135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135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135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135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135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135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135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135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135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135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13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13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13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13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135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135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135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135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135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135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135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135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13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13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13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135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135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135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135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135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135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135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135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135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135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135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135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135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135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135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135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135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13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13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13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13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13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13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13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13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13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13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13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13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135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13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13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13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135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135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135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13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13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13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13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135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135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135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135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135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135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135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135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13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13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13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135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135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135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135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135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135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135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135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135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135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135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135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135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135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135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135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135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135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135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135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135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135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135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135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135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135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135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135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135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135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135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135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135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135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135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135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135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135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13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13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13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13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13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13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13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13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13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13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13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13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13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13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13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13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13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13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13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13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13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13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13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13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13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13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13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13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13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13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13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13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13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13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13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13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13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13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13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13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13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13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13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13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13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13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13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13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13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13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13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13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13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13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13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13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13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13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13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13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13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13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13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13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13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13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13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13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13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13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13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13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13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13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13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13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13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13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13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13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13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13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13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13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13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13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13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13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13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13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13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13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13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13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13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13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13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13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13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13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5" customHeight="1" x14ac:dyDescent="0.15">
      <c r="A972" s="3"/>
      <c r="B972" s="3"/>
      <c r="C972" s="3"/>
      <c r="D972" s="3"/>
      <c r="E972" s="3"/>
      <c r="F972" s="3"/>
      <c r="G972" s="3"/>
      <c r="H972" s="3"/>
      <c r="I972" s="135"/>
      <c r="J972" s="3"/>
      <c r="K972" s="3"/>
      <c r="L972" s="3"/>
      <c r="M972" s="3"/>
      <c r="N972" s="3"/>
      <c r="O972" s="3"/>
      <c r="P972" s="3"/>
    </row>
    <row r="973" spans="1:30" ht="15" customHeight="1" x14ac:dyDescent="0.15">
      <c r="A973" s="3"/>
      <c r="B973" s="3"/>
      <c r="C973" s="3"/>
      <c r="D973" s="3"/>
      <c r="E973" s="3"/>
      <c r="F973" s="3"/>
      <c r="G973" s="3"/>
      <c r="H973" s="3"/>
      <c r="I973" s="135"/>
      <c r="J973" s="3"/>
      <c r="K973" s="3"/>
      <c r="L973" s="3"/>
      <c r="M973" s="3"/>
      <c r="N973" s="3"/>
      <c r="O973" s="3"/>
      <c r="P973" s="3"/>
    </row>
    <row r="974" spans="1:30" ht="15" customHeight="1" x14ac:dyDescent="0.15">
      <c r="A974" s="3"/>
      <c r="B974" s="3"/>
      <c r="C974" s="3"/>
      <c r="D974" s="3"/>
      <c r="E974" s="3"/>
      <c r="F974" s="3"/>
      <c r="G974" s="3"/>
      <c r="H974" s="3"/>
      <c r="I974" s="135"/>
      <c r="J974" s="3"/>
      <c r="K974" s="3"/>
      <c r="L974" s="3"/>
      <c r="M974" s="3"/>
      <c r="N974" s="3"/>
      <c r="O974" s="3"/>
      <c r="P974" s="3"/>
    </row>
    <row r="975" spans="1:30" ht="15" customHeight="1" x14ac:dyDescent="0.15">
      <c r="A975" s="3"/>
      <c r="B975" s="3"/>
      <c r="C975" s="3"/>
      <c r="D975" s="3"/>
      <c r="E975" s="3"/>
      <c r="F975" s="3"/>
      <c r="G975" s="3"/>
      <c r="H975" s="3"/>
      <c r="I975" s="135"/>
      <c r="J975" s="3"/>
      <c r="K975" s="3"/>
      <c r="L975" s="3"/>
      <c r="M975" s="3"/>
      <c r="N975" s="3"/>
      <c r="O975" s="3"/>
      <c r="P975" s="3"/>
    </row>
    <row r="976" spans="1:30" ht="15" customHeight="1" x14ac:dyDescent="0.15">
      <c r="A976" s="3"/>
      <c r="B976" s="3"/>
      <c r="C976" s="3"/>
      <c r="D976" s="3"/>
      <c r="E976" s="3"/>
      <c r="F976" s="3"/>
      <c r="G976" s="3"/>
      <c r="H976" s="3"/>
      <c r="I976" s="135"/>
      <c r="J976" s="3"/>
      <c r="K976" s="3"/>
      <c r="L976" s="3"/>
      <c r="M976" s="3"/>
      <c r="N976" s="3"/>
      <c r="O976" s="3"/>
      <c r="P976" s="3"/>
    </row>
    <row r="977" spans="1:16" ht="15" customHeight="1" x14ac:dyDescent="0.15">
      <c r="A977" s="3"/>
      <c r="B977" s="3"/>
      <c r="C977" s="3"/>
      <c r="D977" s="3"/>
      <c r="E977" s="3"/>
      <c r="F977" s="3"/>
      <c r="G977" s="3"/>
      <c r="H977" s="3"/>
      <c r="I977" s="135"/>
      <c r="J977" s="3"/>
      <c r="K977" s="3"/>
      <c r="L977" s="3"/>
      <c r="M977" s="3"/>
      <c r="N977" s="3"/>
      <c r="O977" s="3"/>
      <c r="P977" s="3"/>
    </row>
  </sheetData>
  <mergeCells count="5">
    <mergeCell ref="A2:C2"/>
    <mergeCell ref="D2:K2"/>
    <mergeCell ref="M2:O2"/>
    <mergeCell ref="A3:O3"/>
    <mergeCell ref="A4:O4"/>
  </mergeCells>
  <pageMargins left="0.7" right="0.7" top="0.75" bottom="0.75" header="0" footer="0"/>
  <pageSetup orientation="portrait"/>
  <ignoredErrors>
    <ignoredError sqref="J9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6999-557F-F94A-BF29-C328F704D33A}">
  <dimension ref="A1:W37"/>
  <sheetViews>
    <sheetView zoomScale="170" zoomScaleNormal="170" workbookViewId="0">
      <pane xSplit="2" ySplit="3" topLeftCell="L13" activePane="bottomRight" state="frozen"/>
      <selection pane="topRight" activeCell="C1" sqref="C1"/>
      <selection pane="bottomLeft" activeCell="A4" sqref="A4"/>
      <selection pane="bottomRight" activeCell="S17" sqref="S4:S17"/>
    </sheetView>
  </sheetViews>
  <sheetFormatPr baseColWidth="10" defaultColWidth="10.6640625" defaultRowHeight="13" x14ac:dyDescent="0.15"/>
  <cols>
    <col min="1" max="1" width="13.33203125" customWidth="1"/>
    <col min="2" max="2" width="11.33203125" customWidth="1"/>
    <col min="3" max="3" width="16.1640625" style="76" bestFit="1" customWidth="1"/>
    <col min="4" max="4" width="11.33203125" style="59" customWidth="1"/>
    <col min="5" max="5" width="12.33203125" style="51" customWidth="1"/>
    <col min="6" max="6" width="15.5" style="42" customWidth="1"/>
    <col min="7" max="7" width="15" customWidth="1"/>
    <col min="8" max="9" width="12.33203125" style="51" customWidth="1"/>
    <col min="10" max="10" width="12.33203125" style="59" customWidth="1"/>
    <col min="11" max="11" width="13" style="59" customWidth="1"/>
    <col min="12" max="12" width="10.5" style="42" customWidth="1"/>
    <col min="13" max="13" width="11.1640625" style="42" customWidth="1"/>
    <col min="14" max="14" width="12.83203125" style="59" customWidth="1"/>
    <col min="15" max="15" width="16.5" style="70" bestFit="1" customWidth="1"/>
    <col min="16" max="16" width="13" style="70" customWidth="1"/>
    <col min="17" max="17" width="15.33203125" bestFit="1" customWidth="1"/>
    <col min="18" max="18" width="14.33203125" style="48" customWidth="1"/>
    <col min="19" max="19" width="14.33203125" style="50" bestFit="1" customWidth="1"/>
    <col min="20" max="20" width="43.33203125" style="50" customWidth="1"/>
    <col min="21" max="21" width="40.1640625" customWidth="1"/>
    <col min="22" max="22" width="25.83203125" customWidth="1"/>
    <col min="23" max="23" width="30.6640625" customWidth="1"/>
  </cols>
  <sheetData>
    <row r="1" spans="1:23" ht="14" thickBot="1" x14ac:dyDescent="0.2">
      <c r="A1" s="24" t="s">
        <v>56</v>
      </c>
      <c r="B1" s="49">
        <v>45702</v>
      </c>
      <c r="C1" s="74"/>
      <c r="D1" s="65"/>
      <c r="E1" s="55"/>
      <c r="F1" s="77"/>
      <c r="G1" s="50"/>
      <c r="H1" s="53"/>
      <c r="I1" s="53"/>
      <c r="J1" s="57"/>
      <c r="K1" s="57"/>
      <c r="L1" s="56"/>
      <c r="M1" s="56"/>
      <c r="N1" s="57"/>
      <c r="O1" s="68"/>
      <c r="P1" s="68"/>
      <c r="Q1" s="50"/>
      <c r="R1" s="90"/>
    </row>
    <row r="2" spans="1:23" ht="15" thickTop="1" x14ac:dyDescent="0.15">
      <c r="A2" s="95" t="s">
        <v>146</v>
      </c>
      <c r="B2" s="96"/>
      <c r="C2" s="96"/>
      <c r="D2" s="106">
        <f>SUBTOTAL(101,Table2[GDP (USD billion)])</f>
        <v>3235.6482501467999</v>
      </c>
      <c r="E2" s="97">
        <f>SUBTOTAL(101,Table2[Full Year GDP  Growth])</f>
        <v>1.95E-2</v>
      </c>
      <c r="F2" s="98">
        <f>SUBTOTAL(101,Table2[GDP per capita PPP (USD)])</f>
        <v>59009.24</v>
      </c>
      <c r="G2" s="99">
        <f>SUBTOTAL(101,Table2[Unemployment])</f>
        <v>4.689999999999999E-2</v>
      </c>
      <c r="H2" s="97">
        <f>SUBTOTAL(101,Table2[Inflation rate])</f>
        <v>2.1873076923076922E-2</v>
      </c>
      <c r="I2" s="97">
        <f>SUBTOTAL(101,Table2[Interest Rate])</f>
        <v>3.8953846153846151E-2</v>
      </c>
      <c r="J2" s="100">
        <f>SUBTOTAL(101,Table2[Foreign Exchange Reserves (USD Million)])</f>
        <v>424954.63569691894</v>
      </c>
      <c r="K2" s="100">
        <f>SUBTOTAL(101,Table2[Balance Trade (USD Million)])</f>
        <v>1439.23108</v>
      </c>
      <c r="L2" s="98"/>
      <c r="M2" s="98"/>
      <c r="N2" s="108">
        <f>SUBTOTAL(101,Table2[Balance Trade %])</f>
        <v>0.13770282226298447</v>
      </c>
      <c r="O2" s="100">
        <f>SUBTOTAL(101,Table2[Foreign Direct Investment (USD Million)])</f>
        <v>49478.041199999992</v>
      </c>
      <c r="P2" s="99">
        <f>SUBTOTAL(101,Table2[Debt to GDP])</f>
        <v>0.78894799999999987</v>
      </c>
      <c r="Q2" s="101"/>
      <c r="R2" s="101"/>
      <c r="S2" s="101">
        <f>SUBTOTAL(101,Table2[Economic Freedom])</f>
        <v>69.442307692307679</v>
      </c>
      <c r="T2" s="102"/>
      <c r="U2" s="103"/>
      <c r="V2" s="103"/>
      <c r="W2" s="104">
        <f>SUBTOTAL(103,Table2[Debilidades])</f>
        <v>13</v>
      </c>
    </row>
    <row r="3" spans="1:23" ht="56" x14ac:dyDescent="0.15">
      <c r="A3" s="46" t="s">
        <v>39</v>
      </c>
      <c r="B3" s="46" t="s">
        <v>40</v>
      </c>
      <c r="C3" s="75" t="s">
        <v>98</v>
      </c>
      <c r="D3" s="60" t="s">
        <v>92</v>
      </c>
      <c r="E3" s="62" t="s">
        <v>102</v>
      </c>
      <c r="F3" s="64" t="s">
        <v>100</v>
      </c>
      <c r="G3" s="46" t="s">
        <v>90</v>
      </c>
      <c r="H3" s="54" t="s">
        <v>88</v>
      </c>
      <c r="I3" s="54" t="s">
        <v>93</v>
      </c>
      <c r="J3" s="60" t="s">
        <v>97</v>
      </c>
      <c r="K3" s="60" t="s">
        <v>94</v>
      </c>
      <c r="L3" s="64" t="s">
        <v>133</v>
      </c>
      <c r="M3" s="64" t="s">
        <v>134</v>
      </c>
      <c r="N3" s="60" t="s">
        <v>103</v>
      </c>
      <c r="O3" s="60" t="s">
        <v>99</v>
      </c>
      <c r="P3" s="52" t="s">
        <v>89</v>
      </c>
      <c r="Q3" s="69" t="s">
        <v>95</v>
      </c>
      <c r="R3" s="69" t="s">
        <v>96</v>
      </c>
      <c r="S3" s="47" t="s">
        <v>91</v>
      </c>
      <c r="T3" s="47" t="s">
        <v>83</v>
      </c>
      <c r="U3" s="46" t="s">
        <v>57</v>
      </c>
      <c r="V3" s="46" t="s">
        <v>58</v>
      </c>
      <c r="W3" s="46" t="s">
        <v>59</v>
      </c>
    </row>
    <row r="4" spans="1:23" ht="14" x14ac:dyDescent="0.15">
      <c r="A4" s="3" t="s">
        <v>30</v>
      </c>
      <c r="B4" s="3" t="s">
        <v>62</v>
      </c>
      <c r="C4" s="73">
        <v>0.74</v>
      </c>
      <c r="D4" s="66">
        <v>501</v>
      </c>
      <c r="E4" s="84">
        <v>1.0999999999999999E-2</v>
      </c>
      <c r="F4" s="63">
        <v>127544</v>
      </c>
      <c r="G4" s="85">
        <v>1.9E-2</v>
      </c>
      <c r="H4" s="84">
        <v>1.6E-2</v>
      </c>
      <c r="I4" s="84">
        <v>2.53E-2</v>
      </c>
      <c r="J4" s="65">
        <v>380039.21</v>
      </c>
      <c r="K4" s="65">
        <v>2185.44</v>
      </c>
      <c r="L4" s="65">
        <v>44084.78</v>
      </c>
      <c r="M4" s="65">
        <v>41885.86</v>
      </c>
      <c r="N4" s="92">
        <f>IFERROR(  (Table2[[#This Row],[Exports (USD Million)]] / Table2[[#This Row],[Imports (USD Million)]] ) - 1,  0)</f>
        <v>5.2497907408371125E-2</v>
      </c>
      <c r="O4" s="65">
        <v>45252.95</v>
      </c>
      <c r="P4" s="85">
        <v>1.71</v>
      </c>
      <c r="Q4" s="87">
        <v>16</v>
      </c>
      <c r="R4" s="87"/>
      <c r="S4" s="88">
        <v>83.5</v>
      </c>
      <c r="T4" s="90"/>
      <c r="U4" s="90"/>
      <c r="V4" s="90"/>
      <c r="W4" s="90"/>
    </row>
    <row r="5" spans="1:23" ht="14" x14ac:dyDescent="0.15">
      <c r="A5" s="3" t="s">
        <v>24</v>
      </c>
      <c r="B5" s="3" t="s">
        <v>69</v>
      </c>
      <c r="C5" s="73">
        <v>1.1100000000000001</v>
      </c>
      <c r="D5" s="109">
        <v>885</v>
      </c>
      <c r="E5" s="110">
        <v>7.1999999999999998E-3</v>
      </c>
      <c r="F5" s="117">
        <v>82914</v>
      </c>
      <c r="G5" s="112">
        <v>0.03</v>
      </c>
      <c r="H5" s="113">
        <v>4.0000000000000001E-3</v>
      </c>
      <c r="I5" s="113">
        <v>5.0000000000000001E-3</v>
      </c>
      <c r="J5" s="114">
        <v>813887.68</v>
      </c>
      <c r="K5" s="118">
        <v>4336</v>
      </c>
      <c r="L5" s="118">
        <v>25324.14</v>
      </c>
      <c r="M5" s="118">
        <v>20837.29</v>
      </c>
      <c r="N5" s="119">
        <f>IFERROR(  (Table2[[#This Row],[Exports (USD Million)]] / Table2[[#This Row],[Imports (USD Million)]] ) - 1,  0)</f>
        <v>0.21532790492429665</v>
      </c>
      <c r="O5" s="118">
        <v>1028222.98</v>
      </c>
      <c r="P5" s="112">
        <v>0.38300000000000001</v>
      </c>
      <c r="Q5" s="120">
        <v>102</v>
      </c>
      <c r="R5" s="120">
        <v>-29</v>
      </c>
      <c r="S5" s="89">
        <v>83</v>
      </c>
      <c r="T5" s="90"/>
      <c r="U5" s="90"/>
      <c r="V5" s="90"/>
      <c r="W5" s="90"/>
    </row>
    <row r="6" spans="1:23" ht="70" x14ac:dyDescent="0.15">
      <c r="A6" s="3" t="s">
        <v>85</v>
      </c>
      <c r="B6" s="3" t="s">
        <v>86</v>
      </c>
      <c r="C6" s="73">
        <v>1.04</v>
      </c>
      <c r="D6" s="109">
        <v>546</v>
      </c>
      <c r="E6" s="110">
        <v>3.0000000000000001E-3</v>
      </c>
      <c r="F6" s="117">
        <v>115625</v>
      </c>
      <c r="G6" s="112">
        <v>0.04</v>
      </c>
      <c r="H6" s="110">
        <v>1.4E-2</v>
      </c>
      <c r="I6" s="110">
        <v>2.9000000000000001E-2</v>
      </c>
      <c r="J6" s="118">
        <v>12123</v>
      </c>
      <c r="K6" s="118">
        <v>4010.0569999999998</v>
      </c>
      <c r="L6" s="118">
        <v>16217.18</v>
      </c>
      <c r="M6" s="118">
        <v>12195.4</v>
      </c>
      <c r="N6" s="119">
        <f>IFERROR(  (Table2[[#This Row],[Exports (USD Million)]] / Table2[[#This Row],[Imports (USD Million)]] ) - 1,  0)</f>
        <v>0.32977844105154408</v>
      </c>
      <c r="O6" s="118">
        <v>11741.03</v>
      </c>
      <c r="P6" s="112">
        <v>0.437</v>
      </c>
      <c r="Q6" s="120"/>
      <c r="R6" s="120">
        <v>74.900000000000006</v>
      </c>
      <c r="S6" s="88">
        <v>82.6</v>
      </c>
      <c r="T6" s="90"/>
      <c r="U6" s="91" t="s">
        <v>159</v>
      </c>
      <c r="V6" s="91" t="s">
        <v>160</v>
      </c>
      <c r="W6" s="91" t="s">
        <v>161</v>
      </c>
    </row>
    <row r="7" spans="1:23" s="121" customFormat="1" ht="14" x14ac:dyDescent="0.15">
      <c r="A7" s="3" t="s">
        <v>76</v>
      </c>
      <c r="B7" s="3" t="s">
        <v>62</v>
      </c>
      <c r="C7" s="73">
        <f>1/32.75</f>
        <v>3.0534351145038167E-2</v>
      </c>
      <c r="D7" s="66">
        <f>6127.345*Table2[[#This Row],[Currency (to USD)]]</f>
        <v>187.09450381679389</v>
      </c>
      <c r="E7" s="84">
        <v>4.2999999999999997E-2</v>
      </c>
      <c r="F7" s="63"/>
      <c r="G7" s="85">
        <v>3.39E-2</v>
      </c>
      <c r="H7" s="84">
        <v>2.6599999999999999E-2</v>
      </c>
      <c r="I7" s="84">
        <v>0.02</v>
      </c>
      <c r="J7" s="58">
        <f>5776*100</f>
        <v>577600</v>
      </c>
      <c r="K7" s="65">
        <v>9970</v>
      </c>
      <c r="L7" s="65">
        <v>38711</v>
      </c>
      <c r="M7" s="65">
        <v>28738</v>
      </c>
      <c r="N7" s="92">
        <f>IFERROR(  (Table2[[#This Row],[Exports (USD Million)]] / Table2[[#This Row],[Imports (USD Million)]] ) - 1,  0)</f>
        <v>0.34703180457930261</v>
      </c>
      <c r="O7" s="65">
        <v>667</v>
      </c>
      <c r="P7" s="85"/>
      <c r="Q7" s="87"/>
      <c r="R7" s="87">
        <v>72.540000000000006</v>
      </c>
      <c r="S7" s="89">
        <v>80</v>
      </c>
      <c r="T7" s="90"/>
      <c r="U7" s="90"/>
      <c r="V7" s="90"/>
      <c r="W7" s="90"/>
    </row>
    <row r="8" spans="1:23" ht="14" x14ac:dyDescent="0.15">
      <c r="A8" s="3" t="s">
        <v>84</v>
      </c>
      <c r="B8" s="3"/>
      <c r="C8" s="73">
        <v>1.04</v>
      </c>
      <c r="D8" s="66">
        <v>85.76</v>
      </c>
      <c r="E8" s="84">
        <v>-1.0999999999999999E-2</v>
      </c>
      <c r="F8" s="63">
        <v>132414</v>
      </c>
      <c r="G8" s="85">
        <v>5.8999999999999997E-2</v>
      </c>
      <c r="H8" s="84">
        <v>1.9400000000000001E-2</v>
      </c>
      <c r="I8" s="84">
        <v>2.9000000000000001E-2</v>
      </c>
      <c r="J8" s="65">
        <v>2832.9</v>
      </c>
      <c r="K8" s="65">
        <v>-770</v>
      </c>
      <c r="L8" s="65">
        <v>1308.06</v>
      </c>
      <c r="M8" s="65">
        <v>1988.25</v>
      </c>
      <c r="N8" s="92">
        <f>IFERROR(  (Table2[[#This Row],[Exports (USD Million)]] / Table2[[#This Row],[Imports (USD Million)]] ) - 1,  0)</f>
        <v>-0.34210486608826862</v>
      </c>
      <c r="O8" s="65">
        <v>-24444</v>
      </c>
      <c r="P8" s="85">
        <v>0.25700000000000001</v>
      </c>
      <c r="Q8" s="87">
        <v>98.1</v>
      </c>
      <c r="R8" s="87">
        <v>-7.8</v>
      </c>
      <c r="S8" s="88">
        <v>79.2</v>
      </c>
      <c r="T8" s="90"/>
      <c r="U8" s="90"/>
      <c r="V8" s="90"/>
      <c r="W8" s="90"/>
    </row>
    <row r="9" spans="1:23" ht="52" customHeight="1" x14ac:dyDescent="0.15">
      <c r="A9" s="3" t="s">
        <v>23</v>
      </c>
      <c r="B9" s="3" t="s">
        <v>66</v>
      </c>
      <c r="C9" s="73">
        <v>9.2999999999999999E-2</v>
      </c>
      <c r="D9" s="66">
        <v>593</v>
      </c>
      <c r="E9" s="84">
        <v>6.0000000000000001E-3</v>
      </c>
      <c r="F9" s="63">
        <v>64191</v>
      </c>
      <c r="G9" s="85">
        <v>0.104</v>
      </c>
      <c r="H9" s="84">
        <v>8.9999999999999993E-3</v>
      </c>
      <c r="I9" s="84">
        <v>2.2499999999999999E-2</v>
      </c>
      <c r="J9" s="65">
        <v>67195.89</v>
      </c>
      <c r="K9" s="65">
        <v>577.82000000000005</v>
      </c>
      <c r="L9" s="65">
        <v>14898.47</v>
      </c>
      <c r="M9" s="65">
        <v>14316.43</v>
      </c>
      <c r="N9" s="92">
        <f>IFERROR(  (Table2[[#This Row],[Exports (USD Million)]] / Table2[[#This Row],[Imports (USD Million)]] ) - 1,  0)</f>
        <v>4.0655386852727959E-2</v>
      </c>
      <c r="O9" s="65">
        <v>5144.5</v>
      </c>
      <c r="P9" s="85">
        <v>0.315</v>
      </c>
      <c r="Q9" s="87">
        <v>101</v>
      </c>
      <c r="R9" s="87">
        <v>99.1</v>
      </c>
      <c r="S9" s="88">
        <v>77.5</v>
      </c>
      <c r="T9" s="90"/>
      <c r="U9" s="90"/>
      <c r="V9" s="90"/>
      <c r="W9" s="90"/>
    </row>
    <row r="10" spans="1:23" ht="14" x14ac:dyDescent="0.15">
      <c r="A10" s="3" t="s">
        <v>22</v>
      </c>
      <c r="B10" s="3" t="s">
        <v>65</v>
      </c>
      <c r="C10" s="73">
        <v>0.09</v>
      </c>
      <c r="D10" s="66">
        <v>486</v>
      </c>
      <c r="E10" s="84">
        <v>2.1000000000000001E-2</v>
      </c>
      <c r="F10" s="63">
        <v>90501</v>
      </c>
      <c r="G10" s="85">
        <v>4.2000000000000003E-2</v>
      </c>
      <c r="H10" s="84">
        <v>2.3E-2</v>
      </c>
      <c r="I10" s="84">
        <v>4.4999999999999998E-2</v>
      </c>
      <c r="J10" s="65">
        <v>85737.05</v>
      </c>
      <c r="K10" s="65">
        <v>8520.2900000000009</v>
      </c>
      <c r="L10" s="65">
        <v>15925.54</v>
      </c>
      <c r="M10" s="65">
        <v>7419.31</v>
      </c>
      <c r="N10" s="92">
        <f>IFERROR(  (Table2[[#This Row],[Exports (USD Million)]] / Table2[[#This Row],[Imports (USD Million)]] ) - 1,  0)</f>
        <v>1.1464987984057817</v>
      </c>
      <c r="O10" s="65">
        <v>-20031</v>
      </c>
      <c r="P10" s="85">
        <v>0.443</v>
      </c>
      <c r="Q10" s="87">
        <v>5.5</v>
      </c>
      <c r="R10" s="87">
        <v>-14.4</v>
      </c>
      <c r="S10" s="88">
        <v>77.5</v>
      </c>
      <c r="T10" s="90"/>
      <c r="U10" s="90"/>
      <c r="V10" s="90"/>
      <c r="W10" s="90"/>
    </row>
    <row r="11" spans="1:23" ht="14" x14ac:dyDescent="0.15">
      <c r="A11" s="3" t="s">
        <v>38</v>
      </c>
      <c r="B11" s="3" t="s">
        <v>67</v>
      </c>
      <c r="C11" s="73">
        <v>1.04</v>
      </c>
      <c r="D11" s="66">
        <v>1118</v>
      </c>
      <c r="E11" s="84">
        <v>8.9999999999999993E-3</v>
      </c>
      <c r="F11" s="63">
        <v>9970</v>
      </c>
      <c r="G11" s="85">
        <v>3.6999999999999998E-2</v>
      </c>
      <c r="H11" s="84">
        <v>3.3000000000000002E-2</v>
      </c>
      <c r="I11" s="84">
        <v>2.9000000000000001E-2</v>
      </c>
      <c r="J11" s="65">
        <v>83071.06</v>
      </c>
      <c r="K11" s="65">
        <v>10717.13</v>
      </c>
      <c r="L11" s="65">
        <v>68942.22</v>
      </c>
      <c r="M11" s="65">
        <v>58177.39</v>
      </c>
      <c r="N11" s="92">
        <f>IFERROR(  (Table2[[#This Row],[Exports (USD Million)]] / Table2[[#This Row],[Imports (USD Million)]] ) - 1,  0)</f>
        <v>0.1850345984926447</v>
      </c>
      <c r="O11" s="65">
        <v>13833.2</v>
      </c>
      <c r="P11" s="85">
        <v>0.46800000000000003</v>
      </c>
      <c r="Q11" s="87">
        <v>-1.6</v>
      </c>
      <c r="R11" s="87">
        <v>-28</v>
      </c>
      <c r="S11" s="88">
        <v>77.3</v>
      </c>
      <c r="T11" s="90"/>
      <c r="U11" s="90"/>
      <c r="V11" s="90"/>
      <c r="W11" s="90"/>
    </row>
    <row r="12" spans="1:23" ht="42" x14ac:dyDescent="0.15">
      <c r="A12" s="3" t="s">
        <v>29</v>
      </c>
      <c r="B12" s="3" t="s">
        <v>75</v>
      </c>
      <c r="C12" s="73">
        <v>0.63</v>
      </c>
      <c r="D12" s="109">
        <v>1724</v>
      </c>
      <c r="E12" s="110">
        <v>1.4999999999999999E-2</v>
      </c>
      <c r="F12" s="117">
        <v>59456</v>
      </c>
      <c r="G12" s="112">
        <v>0.04</v>
      </c>
      <c r="H12" s="110">
        <v>2.4E-2</v>
      </c>
      <c r="I12" s="110">
        <v>4.1000000000000002E-2</v>
      </c>
      <c r="J12" s="118">
        <v>66075.509999999995</v>
      </c>
      <c r="K12" s="118">
        <v>3226.49</v>
      </c>
      <c r="L12" s="118">
        <v>27979.16</v>
      </c>
      <c r="M12" s="118">
        <v>24747.64</v>
      </c>
      <c r="N12" s="119">
        <f>IFERROR(  (Table2[[#This Row],[Exports (USD Million)]] / Table2[[#This Row],[Imports (USD Million)]] ) - 1,  0)</f>
        <v>0.13057891580772951</v>
      </c>
      <c r="O12" s="118">
        <v>28553.03</v>
      </c>
      <c r="P12" s="112">
        <v>0.438</v>
      </c>
      <c r="Q12" s="120">
        <v>4</v>
      </c>
      <c r="R12" s="120">
        <v>92.2</v>
      </c>
      <c r="S12" s="88">
        <v>76.2</v>
      </c>
      <c r="T12" s="90"/>
      <c r="U12" s="90"/>
      <c r="V12" s="91" t="s">
        <v>164</v>
      </c>
      <c r="W12" s="91" t="s">
        <v>165</v>
      </c>
    </row>
    <row r="13" spans="1:23" ht="113" customHeight="1" x14ac:dyDescent="0.15">
      <c r="A13" s="3" t="s">
        <v>32</v>
      </c>
      <c r="B13" s="3" t="s">
        <v>79</v>
      </c>
      <c r="C13" s="72">
        <v>6.8999999999999997E-4</v>
      </c>
      <c r="D13" s="66">
        <v>1713</v>
      </c>
      <c r="E13" s="84">
        <v>0.02</v>
      </c>
      <c r="F13" s="63">
        <v>50572</v>
      </c>
      <c r="G13" s="85">
        <v>2.9000000000000001E-2</v>
      </c>
      <c r="H13" s="84">
        <v>2.1999999999999999E-2</v>
      </c>
      <c r="I13" s="84">
        <v>0.03</v>
      </c>
      <c r="J13" s="65">
        <v>411000</v>
      </c>
      <c r="K13" s="65">
        <v>-1890</v>
      </c>
      <c r="L13" s="65">
        <v>49120</v>
      </c>
      <c r="M13" s="65">
        <v>51000</v>
      </c>
      <c r="N13" s="92">
        <f>IFERROR(  (Table2[[#This Row],[Exports (USD Million)]] / Table2[[#This Row],[Imports (USD Million)]] ) - 1,  0)</f>
        <v>-3.6862745098039218E-2</v>
      </c>
      <c r="O13" s="65">
        <v>9385</v>
      </c>
      <c r="P13" s="85">
        <v>0.51500000000000001</v>
      </c>
      <c r="Q13" s="87">
        <v>63</v>
      </c>
      <c r="R13" s="87">
        <v>91.2</v>
      </c>
      <c r="S13" s="88">
        <v>73.099999999999994</v>
      </c>
      <c r="T13" s="90"/>
      <c r="U13" s="90"/>
      <c r="V13" s="90"/>
      <c r="W13" s="90"/>
    </row>
    <row r="14" spans="1:23" ht="140" x14ac:dyDescent="0.15">
      <c r="A14" s="3" t="s">
        <v>87</v>
      </c>
      <c r="B14" s="3" t="s">
        <v>70</v>
      </c>
      <c r="C14" s="73">
        <v>0.7</v>
      </c>
      <c r="D14" s="109">
        <v>2140</v>
      </c>
      <c r="E14" s="110">
        <v>1.2500000000000001E-2</v>
      </c>
      <c r="F14" s="117">
        <v>55818</v>
      </c>
      <c r="G14" s="112">
        <v>6.6000000000000003E-2</v>
      </c>
      <c r="H14" s="110">
        <v>1.9E-2</v>
      </c>
      <c r="I14" s="110">
        <v>0.03</v>
      </c>
      <c r="J14" s="118">
        <v>117896</v>
      </c>
      <c r="K14" s="118">
        <v>499.02</v>
      </c>
      <c r="L14" s="118">
        <v>25180</v>
      </c>
      <c r="M14" s="118">
        <v>23016</v>
      </c>
      <c r="N14" s="119">
        <f>IFERROR(  (Table2[[#This Row],[Exports (USD Million)]] / Table2[[#This Row],[Imports (USD Million)]] ) - 1,  0)</f>
        <v>9.402155022592984E-2</v>
      </c>
      <c r="O14" s="118">
        <v>19052.150000000001</v>
      </c>
      <c r="P14" s="112">
        <v>1.08</v>
      </c>
      <c r="Q14" s="120">
        <v>47.1</v>
      </c>
      <c r="R14" s="120">
        <v>47.9</v>
      </c>
      <c r="S14" s="88">
        <v>72.400000000000006</v>
      </c>
      <c r="T14" s="91" t="s">
        <v>158</v>
      </c>
      <c r="U14" s="91" t="s">
        <v>157</v>
      </c>
      <c r="V14" s="91" t="s">
        <v>154</v>
      </c>
      <c r="W14" s="91" t="s">
        <v>155</v>
      </c>
    </row>
    <row r="15" spans="1:23" ht="84" x14ac:dyDescent="0.15">
      <c r="A15" s="3" t="s">
        <v>18</v>
      </c>
      <c r="B15" s="3" t="s">
        <v>60</v>
      </c>
      <c r="C15" s="73">
        <v>1.04</v>
      </c>
      <c r="D15" s="66">
        <v>4456</v>
      </c>
      <c r="E15" s="84">
        <v>-2E-3</v>
      </c>
      <c r="F15" s="63">
        <v>61909</v>
      </c>
      <c r="G15" s="85">
        <v>6.2E-2</v>
      </c>
      <c r="H15" s="84">
        <v>2.3E-2</v>
      </c>
      <c r="I15" s="84">
        <v>2.9000000000000001E-2</v>
      </c>
      <c r="J15" s="65">
        <v>401731.47</v>
      </c>
      <c r="K15" s="65">
        <v>21591.18</v>
      </c>
      <c r="L15" s="65">
        <v>138131.4</v>
      </c>
      <c r="M15" s="65">
        <v>116155.95</v>
      </c>
      <c r="N15" s="92">
        <f>IFERROR(  (Table2[[#This Row],[Exports (USD Million)]] / Table2[[#This Row],[Imports (USD Million)]] ) - 1,  0)</f>
        <v>0.18918918918918926</v>
      </c>
      <c r="O15" s="65">
        <v>-22221</v>
      </c>
      <c r="P15" s="85">
        <v>0.629</v>
      </c>
      <c r="Q15" s="87">
        <v>85.1</v>
      </c>
      <c r="R15" s="87">
        <v>-22.4</v>
      </c>
      <c r="S15" s="88">
        <v>72.099999999999994</v>
      </c>
      <c r="T15" s="90"/>
      <c r="U15" s="91" t="s">
        <v>108</v>
      </c>
      <c r="V15" s="91" t="s">
        <v>109</v>
      </c>
      <c r="W15" s="91" t="s">
        <v>110</v>
      </c>
    </row>
    <row r="16" spans="1:23" ht="28" x14ac:dyDescent="0.15">
      <c r="A16" s="3" t="s">
        <v>35</v>
      </c>
      <c r="B16" s="3" t="s">
        <v>82</v>
      </c>
      <c r="C16" s="73">
        <f>1/3.67</f>
        <v>0.27247956403269757</v>
      </c>
      <c r="D16" s="66">
        <v>504</v>
      </c>
      <c r="E16" s="84">
        <v>3.5999999999999997E-2</v>
      </c>
      <c r="F16" s="63">
        <v>75627</v>
      </c>
      <c r="G16" s="85">
        <v>2.9499999999999998E-2</v>
      </c>
      <c r="H16" s="84">
        <v>2.8899999999999999E-2</v>
      </c>
      <c r="I16" s="84">
        <v>4.3999999999999997E-2</v>
      </c>
      <c r="J16" s="65">
        <f>826*Table2[[#This Row],[Currency (to USD)]]</f>
        <v>225.06811989100819</v>
      </c>
      <c r="K16" s="65"/>
      <c r="L16" s="65"/>
      <c r="M16" s="65"/>
      <c r="N16" s="92">
        <f>IFERROR(  (Table2[[#This Row],[Exports (USD Million)]] / Table2[[#This Row],[Imports (USD Million)]] ) - 1,  0)</f>
        <v>0</v>
      </c>
      <c r="O16" s="65"/>
      <c r="P16" s="85">
        <v>0.32400000000000001</v>
      </c>
      <c r="Q16" s="87"/>
      <c r="R16" s="87"/>
      <c r="S16" s="88">
        <v>71.099999999999994</v>
      </c>
      <c r="T16" s="90"/>
      <c r="U16" s="90"/>
      <c r="V16" s="90"/>
      <c r="W16" s="90"/>
    </row>
    <row r="17" spans="1:23" ht="84" x14ac:dyDescent="0.15">
      <c r="A17" s="3" t="s">
        <v>25</v>
      </c>
      <c r="B17" s="3" t="s">
        <v>71</v>
      </c>
      <c r="C17" s="73">
        <v>1</v>
      </c>
      <c r="D17" s="66">
        <v>27361</v>
      </c>
      <c r="E17" s="84">
        <v>2.8000000000000001E-2</v>
      </c>
      <c r="F17" s="63">
        <v>73637</v>
      </c>
      <c r="G17" s="85">
        <v>0.04</v>
      </c>
      <c r="H17" s="84">
        <v>0.03</v>
      </c>
      <c r="I17" s="84">
        <v>4.4999999999999998E-2</v>
      </c>
      <c r="J17" s="58">
        <v>34865</v>
      </c>
      <c r="K17" s="65">
        <v>-98430</v>
      </c>
      <c r="L17" s="65">
        <v>267000</v>
      </c>
      <c r="M17" s="65">
        <v>365000</v>
      </c>
      <c r="N17" s="92">
        <f>IFERROR(  (Table2[[#This Row],[Exports (USD Million)]] / Table2[[#This Row],[Imports (USD Million)]] ) - 1,  0)</f>
        <v>-0.26849315068493151</v>
      </c>
      <c r="O17" s="86">
        <v>75589</v>
      </c>
      <c r="P17" s="85">
        <v>1.22</v>
      </c>
      <c r="Q17" s="87">
        <v>50.9</v>
      </c>
      <c r="R17" s="87">
        <v>67.8</v>
      </c>
      <c r="S17" s="88">
        <v>70.099999999999994</v>
      </c>
      <c r="T17" s="90"/>
      <c r="U17" s="91" t="s">
        <v>123</v>
      </c>
      <c r="V17" s="91" t="s">
        <v>107</v>
      </c>
      <c r="W17" s="91" t="s">
        <v>104</v>
      </c>
    </row>
    <row r="18" spans="1:23" ht="14" x14ac:dyDescent="0.15">
      <c r="A18" s="3" t="s">
        <v>34</v>
      </c>
      <c r="B18" s="3" t="s">
        <v>81</v>
      </c>
      <c r="C18" s="73">
        <f>1/3.64</f>
        <v>0.27472527472527469</v>
      </c>
      <c r="D18" s="66">
        <v>213</v>
      </c>
      <c r="E18" s="84">
        <v>1.9E-2</v>
      </c>
      <c r="F18" s="63">
        <v>113157</v>
      </c>
      <c r="G18" s="85">
        <v>1E-3</v>
      </c>
      <c r="H18" s="84">
        <v>2.3999999999999998E-3</v>
      </c>
      <c r="I18" s="84">
        <v>5.0999999999999997E-2</v>
      </c>
      <c r="J18" s="65">
        <v>70031.990000000005</v>
      </c>
      <c r="K18" s="65">
        <v>5061.17</v>
      </c>
      <c r="L18" s="65">
        <v>8567.7800000000007</v>
      </c>
      <c r="M18" s="65">
        <v>3505.56</v>
      </c>
      <c r="N18" s="92">
        <f>IFERROR(  (Table2[[#This Row],[Exports (USD Million)]] / Table2[[#This Row],[Imports (USD Million)]] ) - 1,  0)</f>
        <v>1.4440545875694615</v>
      </c>
      <c r="O18" s="65">
        <v>218.88</v>
      </c>
      <c r="P18" s="85">
        <v>0.433</v>
      </c>
      <c r="Q18" s="87"/>
      <c r="R18" s="87"/>
      <c r="S18" s="88">
        <v>68.8</v>
      </c>
      <c r="T18" s="90"/>
      <c r="U18" s="90"/>
      <c r="V18" s="90"/>
      <c r="W18" s="90"/>
    </row>
    <row r="19" spans="1:23" ht="70" x14ac:dyDescent="0.15">
      <c r="A19" s="3" t="s">
        <v>19</v>
      </c>
      <c r="B19" s="3" t="s">
        <v>61</v>
      </c>
      <c r="C19" s="73">
        <v>1.26</v>
      </c>
      <c r="D19" s="66">
        <v>3340</v>
      </c>
      <c r="E19" s="84">
        <v>8.9999999999999993E-3</v>
      </c>
      <c r="F19" s="63">
        <v>54126</v>
      </c>
      <c r="G19" s="85">
        <v>4.3999999999999997E-2</v>
      </c>
      <c r="H19" s="84">
        <v>0.03</v>
      </c>
      <c r="I19" s="84">
        <v>4.4999999999999998E-2</v>
      </c>
      <c r="J19" s="65">
        <v>185835</v>
      </c>
      <c r="K19" s="65">
        <v>-3541.27</v>
      </c>
      <c r="L19" s="65">
        <v>87241.64</v>
      </c>
      <c r="M19" s="65">
        <v>90798.82</v>
      </c>
      <c r="N19" s="92">
        <f>IFERROR(  (Table2[[#This Row],[Exports (USD Million)]] / Table2[[#This Row],[Imports (USD Million)]] ) - 1,  0)</f>
        <v>-3.9176500311347784E-2</v>
      </c>
      <c r="O19" s="65">
        <v>-8299.85</v>
      </c>
      <c r="P19" s="85">
        <v>0.97599999999999998</v>
      </c>
      <c r="Q19" s="87">
        <v>-47</v>
      </c>
      <c r="R19" s="87">
        <v>-22</v>
      </c>
      <c r="S19" s="88">
        <v>68.599999999999994</v>
      </c>
      <c r="T19" s="91" t="s">
        <v>119</v>
      </c>
      <c r="U19" s="91" t="s">
        <v>120</v>
      </c>
      <c r="V19" s="91" t="s">
        <v>121</v>
      </c>
      <c r="W19" s="91" t="s">
        <v>122</v>
      </c>
    </row>
    <row r="20" spans="1:23" ht="70" x14ac:dyDescent="0.15">
      <c r="A20" s="3" t="s">
        <v>33</v>
      </c>
      <c r="B20" s="3" t="s">
        <v>80</v>
      </c>
      <c r="C20" s="73">
        <v>6.6E-3</v>
      </c>
      <c r="D20" s="66">
        <v>4213</v>
      </c>
      <c r="E20" s="84">
        <v>1E-3</v>
      </c>
      <c r="F20" s="63">
        <v>46268</v>
      </c>
      <c r="G20" s="85">
        <v>2.4E-2</v>
      </c>
      <c r="H20" s="84">
        <v>3.5999999999999997E-2</v>
      </c>
      <c r="I20" s="84">
        <v>5.0000000000000001E-3</v>
      </c>
      <c r="J20" s="65">
        <v>1240600</v>
      </c>
      <c r="K20" s="65">
        <v>-18216.45</v>
      </c>
      <c r="L20" s="65">
        <v>52698.944560000004</v>
      </c>
      <c r="M20" s="65">
        <v>71187.803669999994</v>
      </c>
      <c r="N20" s="92">
        <f>IFERROR(  (Table2[[#This Row],[Exports (USD Million)]] / Table2[[#This Row],[Imports (USD Million)]] ) - 1,  0)</f>
        <v>-0.25971947660736128</v>
      </c>
      <c r="O20" s="65">
        <v>20421.04</v>
      </c>
      <c r="P20" s="85">
        <v>2.5499999999999998</v>
      </c>
      <c r="Q20" s="87">
        <v>14</v>
      </c>
      <c r="R20" s="87">
        <v>35.200000000000003</v>
      </c>
      <c r="S20" s="88">
        <v>67.5</v>
      </c>
      <c r="T20" s="91" t="s">
        <v>112</v>
      </c>
      <c r="U20" s="91" t="s">
        <v>111</v>
      </c>
      <c r="V20" s="91" t="s">
        <v>113</v>
      </c>
      <c r="W20" s="91" t="s">
        <v>114</v>
      </c>
    </row>
    <row r="21" spans="1:23" ht="140" x14ac:dyDescent="0.15">
      <c r="A21" s="3" t="s">
        <v>131</v>
      </c>
      <c r="B21" s="3" t="s">
        <v>132</v>
      </c>
      <c r="C21" s="72">
        <f>1/16032</f>
        <v>6.2375249500997999E-5</v>
      </c>
      <c r="D21" s="109">
        <v>1371</v>
      </c>
      <c r="E21" s="110">
        <v>5.0299999999999997E-2</v>
      </c>
      <c r="F21" s="111">
        <v>13890</v>
      </c>
      <c r="G21" s="112">
        <v>4.9099999999999998E-2</v>
      </c>
      <c r="H21" s="113">
        <v>7.6E-3</v>
      </c>
      <c r="I21" s="113">
        <v>5.7500000000000002E-2</v>
      </c>
      <c r="J21" s="114">
        <v>156100</v>
      </c>
      <c r="K21" s="114">
        <v>3450</v>
      </c>
      <c r="L21" s="114">
        <v>21452</v>
      </c>
      <c r="M21" s="114">
        <v>18000</v>
      </c>
      <c r="N21" s="115">
        <f>IFERROR(  (Table2[[#This Row],[Exports (USD Million)]] / Table2[[#This Row],[Imports (USD Million)]] ) - 1,  0)</f>
        <v>0.19177777777777782</v>
      </c>
      <c r="O21" s="114">
        <v>15028</v>
      </c>
      <c r="P21" s="112">
        <v>0.39300000000000002</v>
      </c>
      <c r="Q21" s="116">
        <v>12.46</v>
      </c>
      <c r="R21" s="116">
        <v>127</v>
      </c>
      <c r="S21" s="88">
        <v>63.5</v>
      </c>
      <c r="T21" s="91" t="s">
        <v>149</v>
      </c>
      <c r="U21" s="91" t="s">
        <v>150</v>
      </c>
      <c r="V21" s="91" t="s">
        <v>147</v>
      </c>
      <c r="W21" s="91" t="s">
        <v>148</v>
      </c>
    </row>
    <row r="22" spans="1:23" ht="14" x14ac:dyDescent="0.15">
      <c r="A22" s="3" t="s">
        <v>21</v>
      </c>
      <c r="B22" s="3" t="s">
        <v>64</v>
      </c>
      <c r="C22" s="73">
        <v>1.04</v>
      </c>
      <c r="D22" s="66">
        <v>1581</v>
      </c>
      <c r="E22" s="84">
        <v>3.2000000000000001E-2</v>
      </c>
      <c r="F22" s="63">
        <v>46357</v>
      </c>
      <c r="G22" s="85">
        <v>0.1061</v>
      </c>
      <c r="H22" s="84">
        <v>2.9000000000000001E-2</v>
      </c>
      <c r="I22" s="84">
        <v>2.9000000000000001E-2</v>
      </c>
      <c r="J22" s="65">
        <v>1079037.1000000001</v>
      </c>
      <c r="K22" s="65">
        <v>-4121.5</v>
      </c>
      <c r="L22" s="65">
        <v>31119.748680000001</v>
      </c>
      <c r="M22" s="65">
        <v>35432.58771</v>
      </c>
      <c r="N22" s="92">
        <f>IFERROR(  (Table2[[#This Row],[Exports (USD Million)]] / Table2[[#This Row],[Imports (USD Million)]] ) - 1,  0)</f>
        <v>-0.12171956124962346</v>
      </c>
      <c r="O22" s="65">
        <v>2474.9499999999998</v>
      </c>
      <c r="P22" s="85">
        <v>1.08</v>
      </c>
      <c r="Q22" s="87">
        <v>-5.0999999999999996</v>
      </c>
      <c r="R22" s="87">
        <v>85</v>
      </c>
      <c r="S22" s="88">
        <v>63.3</v>
      </c>
      <c r="T22" s="90"/>
      <c r="U22" s="90"/>
      <c r="V22" s="90"/>
      <c r="W22" s="90"/>
    </row>
    <row r="23" spans="1:23" ht="112" x14ac:dyDescent="0.15">
      <c r="A23" s="3" t="s">
        <v>20</v>
      </c>
      <c r="B23" s="3" t="s">
        <v>63</v>
      </c>
      <c r="C23" s="73">
        <v>1.04</v>
      </c>
      <c r="D23" s="66">
        <v>3031</v>
      </c>
      <c r="E23" s="84">
        <v>1.0999999999999999E-2</v>
      </c>
      <c r="F23" s="63">
        <v>55214</v>
      </c>
      <c r="G23" s="85">
        <v>7.2999999999999995E-2</v>
      </c>
      <c r="H23" s="54">
        <v>1.4E-2</v>
      </c>
      <c r="I23" s="54">
        <v>2.9000000000000001E-2</v>
      </c>
      <c r="J23" s="58">
        <v>305477.40000000002</v>
      </c>
      <c r="K23" s="65">
        <v>-3905</v>
      </c>
      <c r="L23" s="65">
        <v>54682.239999999998</v>
      </c>
      <c r="M23" s="65">
        <v>58768.63</v>
      </c>
      <c r="N23" s="92">
        <f>IFERROR(  (Table2[[#This Row],[Exports (USD Million)]] / Table2[[#This Row],[Imports (USD Million)]] ) - 1,  0)</f>
        <v>-6.9533524943494518E-2</v>
      </c>
      <c r="O23" s="65">
        <v>4819.87</v>
      </c>
      <c r="P23" s="85">
        <v>1.1100000000000001</v>
      </c>
      <c r="Q23" s="87">
        <v>95.3</v>
      </c>
      <c r="R23" s="87">
        <v>92</v>
      </c>
      <c r="S23" s="88">
        <v>62.5</v>
      </c>
      <c r="T23" s="91" t="s">
        <v>124</v>
      </c>
      <c r="U23" s="90"/>
      <c r="V23" s="91" t="s">
        <v>126</v>
      </c>
      <c r="W23" s="91" t="s">
        <v>125</v>
      </c>
    </row>
    <row r="24" spans="1:23" ht="126" x14ac:dyDescent="0.15">
      <c r="A24" s="3" t="s">
        <v>26</v>
      </c>
      <c r="B24" s="3" t="s">
        <v>72</v>
      </c>
      <c r="C24" s="73">
        <f>1/20.26</f>
        <v>4.9358341559723587E-2</v>
      </c>
      <c r="D24" s="109">
        <v>1789</v>
      </c>
      <c r="E24" s="110">
        <v>1.2999999999999999E-2</v>
      </c>
      <c r="F24" s="117">
        <v>22367</v>
      </c>
      <c r="G24" s="112">
        <v>2.4E-2</v>
      </c>
      <c r="H24" s="110">
        <v>3.5900000000000001E-2</v>
      </c>
      <c r="I24" s="110">
        <v>9.5000000000000001E-2</v>
      </c>
      <c r="J24" s="118">
        <v>232056</v>
      </c>
      <c r="K24" s="118">
        <v>2567</v>
      </c>
      <c r="L24" s="118">
        <v>51687</v>
      </c>
      <c r="M24" s="118">
        <v>49120</v>
      </c>
      <c r="N24" s="119">
        <f>IFERROR(  (Table2[[#This Row],[Exports (USD Million)]] / Table2[[#This Row],[Imports (USD Million)]] ) - 1,  0)</f>
        <v>5.2259771986970627E-2</v>
      </c>
      <c r="O24" s="118">
        <v>3217</v>
      </c>
      <c r="P24" s="112">
        <v>0.497</v>
      </c>
      <c r="Q24" s="120">
        <v>51.7</v>
      </c>
      <c r="R24" s="120">
        <v>46.7</v>
      </c>
      <c r="S24" s="89">
        <v>62</v>
      </c>
      <c r="T24" s="91" t="s">
        <v>156</v>
      </c>
      <c r="U24" s="91" t="s">
        <v>153</v>
      </c>
      <c r="V24" s="91" t="s">
        <v>152</v>
      </c>
      <c r="W24" s="91" t="s">
        <v>151</v>
      </c>
    </row>
    <row r="25" spans="1:23" ht="70" x14ac:dyDescent="0.15">
      <c r="A25" s="3" t="s">
        <v>36</v>
      </c>
      <c r="B25" s="3" t="s">
        <v>68</v>
      </c>
      <c r="C25" s="73">
        <v>1.04</v>
      </c>
      <c r="D25" s="66">
        <v>2255</v>
      </c>
      <c r="E25" s="84">
        <v>5.0000000000000001E-3</v>
      </c>
      <c r="F25" s="63">
        <v>52700</v>
      </c>
      <c r="G25" s="85">
        <v>6.2E-2</v>
      </c>
      <c r="H25" s="84">
        <v>1.4999999999999999E-2</v>
      </c>
      <c r="I25" s="84">
        <v>2.9000000000000001E-2</v>
      </c>
      <c r="J25" s="65">
        <v>306329.2</v>
      </c>
      <c r="K25" s="65">
        <v>5980</v>
      </c>
      <c r="L25" s="65">
        <v>51625.56</v>
      </c>
      <c r="M25" s="65">
        <v>45366.75</v>
      </c>
      <c r="N25" s="92">
        <f>IFERROR(  (Table2[[#This Row],[Exports (USD Million)]] / Table2[[#This Row],[Imports (USD Million)]] ) - 1,  0)</f>
        <v>0.13796029030071577</v>
      </c>
      <c r="O25" s="65">
        <v>4777.12</v>
      </c>
      <c r="P25" s="85">
        <v>1.35</v>
      </c>
      <c r="Q25" s="87">
        <v>86.8</v>
      </c>
      <c r="R25" s="87">
        <v>98.2</v>
      </c>
      <c r="S25" s="88">
        <v>60.1</v>
      </c>
      <c r="T25" s="91" t="s">
        <v>130</v>
      </c>
      <c r="U25" s="91" t="s">
        <v>127</v>
      </c>
      <c r="V25" s="91" t="s">
        <v>128</v>
      </c>
      <c r="W25" s="91" t="s">
        <v>129</v>
      </c>
    </row>
    <row r="26" spans="1:23" ht="14" x14ac:dyDescent="0.15">
      <c r="A26" s="3" t="s">
        <v>37</v>
      </c>
      <c r="B26" s="3" t="s">
        <v>77</v>
      </c>
      <c r="C26" s="73">
        <f>1/33.77</f>
        <v>2.9612081729345572E-2</v>
      </c>
      <c r="D26" s="66">
        <v>515</v>
      </c>
      <c r="E26" s="84">
        <v>2.5000000000000001E-2</v>
      </c>
      <c r="F26" s="63">
        <v>21113</v>
      </c>
      <c r="G26" s="85">
        <v>8.8000000000000005E-3</v>
      </c>
      <c r="H26" s="54">
        <v>1.32E-2</v>
      </c>
      <c r="I26" s="54">
        <v>2.2499999999999999E-2</v>
      </c>
      <c r="J26" s="58">
        <v>242084</v>
      </c>
      <c r="K26" s="65">
        <v>-10.6</v>
      </c>
      <c r="L26" s="65">
        <v>24766</v>
      </c>
      <c r="M26" s="65">
        <v>24777</v>
      </c>
      <c r="N26" s="92">
        <f>IFERROR(  (Table2[[#This Row],[Exports (USD Million)]] / Table2[[#This Row],[Imports (USD Million)]] ) - 1,  0)</f>
        <v>-4.4396012430880649E-4</v>
      </c>
      <c r="O26" s="65">
        <v>1976.18</v>
      </c>
      <c r="P26" s="85">
        <v>0.61899999999999999</v>
      </c>
      <c r="Q26" s="87">
        <v>48.5</v>
      </c>
      <c r="R26" s="87">
        <v>59</v>
      </c>
      <c r="S26" s="88">
        <v>59</v>
      </c>
      <c r="T26" s="90"/>
      <c r="U26" s="90"/>
      <c r="V26" s="90"/>
      <c r="W26" s="90"/>
    </row>
    <row r="27" spans="1:23" ht="14" x14ac:dyDescent="0.15">
      <c r="A27" s="3" t="s">
        <v>27</v>
      </c>
      <c r="B27" s="3" t="s">
        <v>73</v>
      </c>
      <c r="C27" s="73">
        <f>1/5.71</f>
        <v>0.17513134851138354</v>
      </c>
      <c r="D27" s="66">
        <v>2174</v>
      </c>
      <c r="E27" s="84">
        <v>2.9000000000000001E-2</v>
      </c>
      <c r="F27" s="63">
        <v>18554</v>
      </c>
      <c r="G27" s="85">
        <v>6.2E-2</v>
      </c>
      <c r="H27" s="84">
        <v>4.5600000000000002E-2</v>
      </c>
      <c r="I27" s="84">
        <v>0.13250000000000001</v>
      </c>
      <c r="J27" s="65">
        <v>329730</v>
      </c>
      <c r="K27" s="65">
        <v>2164</v>
      </c>
      <c r="L27" s="65">
        <v>25180</v>
      </c>
      <c r="M27" s="65">
        <v>23016</v>
      </c>
      <c r="N27" s="92">
        <f>IFERROR(  (Table2[[#This Row],[Exports (USD Million)]] / Table2[[#This Row],[Imports (USD Million)]] ) - 1,  0)</f>
        <v>9.402155022592984E-2</v>
      </c>
      <c r="O27" s="65">
        <v>2800</v>
      </c>
      <c r="P27" s="85">
        <v>0.8468</v>
      </c>
      <c r="Q27" s="87">
        <v>49.1</v>
      </c>
      <c r="R27" s="87"/>
      <c r="S27" s="88">
        <v>53.2</v>
      </c>
      <c r="T27" s="90"/>
      <c r="U27" s="91"/>
      <c r="V27" s="91"/>
      <c r="W27" s="91"/>
    </row>
    <row r="28" spans="1:23" ht="18" customHeight="1" x14ac:dyDescent="0.15">
      <c r="A28" s="3" t="s">
        <v>31</v>
      </c>
      <c r="B28" s="3" t="s">
        <v>78</v>
      </c>
      <c r="C28" s="73">
        <v>1.2E-2</v>
      </c>
      <c r="D28" s="66">
        <v>3550</v>
      </c>
      <c r="E28" s="84">
        <v>6.4000000000000001E-2</v>
      </c>
      <c r="F28" s="63">
        <v>9172</v>
      </c>
      <c r="G28" s="85">
        <v>8.3000000000000004E-2</v>
      </c>
      <c r="H28" s="84">
        <v>4.3099999999999999E-2</v>
      </c>
      <c r="I28" s="84">
        <v>6.25E-2</v>
      </c>
      <c r="J28" s="65">
        <v>638260</v>
      </c>
      <c r="K28" s="65">
        <v>-22990</v>
      </c>
      <c r="L28" s="65">
        <v>36430</v>
      </c>
      <c r="M28" s="65">
        <v>59420</v>
      </c>
      <c r="N28" s="92">
        <f>IFERROR(  (Table2[[#This Row],[Exports (USD Million)]] / Table2[[#This Row],[Imports (USD Million)]] ) - 1,  0)</f>
        <v>-0.3869067653988556</v>
      </c>
      <c r="O28" s="65">
        <v>5373</v>
      </c>
      <c r="P28" s="85">
        <v>0.81589999999999996</v>
      </c>
      <c r="Q28" s="87">
        <v>120</v>
      </c>
      <c r="R28" s="87">
        <v>93.7</v>
      </c>
      <c r="S28" s="88">
        <v>52.9</v>
      </c>
      <c r="T28" s="91" t="s">
        <v>118</v>
      </c>
      <c r="U28" s="91" t="s">
        <v>115</v>
      </c>
      <c r="V28" s="91" t="s">
        <v>116</v>
      </c>
      <c r="W28" s="91" t="s">
        <v>117</v>
      </c>
    </row>
    <row r="29" spans="1:23" ht="70" x14ac:dyDescent="0.15">
      <c r="A29" s="3" t="s">
        <v>28</v>
      </c>
      <c r="B29" s="3" t="s">
        <v>74</v>
      </c>
      <c r="C29" s="73">
        <v>0.14000000000000001</v>
      </c>
      <c r="D29" s="66">
        <v>17795</v>
      </c>
      <c r="E29" s="84">
        <v>0.05</v>
      </c>
      <c r="F29" s="63">
        <v>22135</v>
      </c>
      <c r="G29" s="85">
        <v>5.0999999999999997E-2</v>
      </c>
      <c r="H29" s="84">
        <v>5.0000000000000001E-3</v>
      </c>
      <c r="I29" s="54">
        <v>3.1E-2</v>
      </c>
      <c r="J29" s="58">
        <v>3209000</v>
      </c>
      <c r="K29" s="65">
        <v>105000</v>
      </c>
      <c r="L29" s="65">
        <v>336000</v>
      </c>
      <c r="M29" s="65">
        <v>231000</v>
      </c>
      <c r="N29" s="92">
        <f>IFERROR(  (Table2[[#This Row],[Exports (USD Million)]] / Table2[[#This Row],[Imports (USD Million)]] ) - 1,  0)</f>
        <v>0.45454545454545459</v>
      </c>
      <c r="O29" s="65">
        <v>13400</v>
      </c>
      <c r="P29" s="85">
        <v>0.83399999999999996</v>
      </c>
      <c r="Q29" s="87">
        <v>49.1</v>
      </c>
      <c r="R29" s="87">
        <v>86.4</v>
      </c>
      <c r="S29" s="88">
        <v>48.5</v>
      </c>
      <c r="T29" s="90"/>
      <c r="U29" s="90"/>
      <c r="V29" s="91" t="s">
        <v>105</v>
      </c>
      <c r="W29" s="91" t="s">
        <v>106</v>
      </c>
    </row>
    <row r="30" spans="1:23" ht="14" x14ac:dyDescent="0.15">
      <c r="A30" s="3" t="s">
        <v>146</v>
      </c>
      <c r="B30" s="3"/>
      <c r="C30" s="3"/>
      <c r="D30" s="105">
        <f>SUBTOTAL(101,Table2[GDP (USD billion)])</f>
        <v>3235.6482501467999</v>
      </c>
      <c r="E30" s="80">
        <f>SUBTOTAL(101,Table2[Full Year GDP  Growth])</f>
        <v>1.95E-2</v>
      </c>
      <c r="F30" s="78">
        <f>SUBTOTAL(101,Table2[GDP per capita PPP (USD)])</f>
        <v>59009.24</v>
      </c>
      <c r="G30" s="81">
        <f>SUBTOTAL(101,Table2[Unemployment])</f>
        <v>4.689999999999999E-2</v>
      </c>
      <c r="H30" s="80">
        <f>SUBTOTAL(101,Table2[Inflation rate])</f>
        <v>2.1873076923076922E-2</v>
      </c>
      <c r="I30" s="82">
        <f>SUBTOTAL(101,Table2[Interest Rate])</f>
        <v>3.8953846153846151E-2</v>
      </c>
      <c r="J30" s="83">
        <f>SUBTOTAL(101,Table2[Foreign Exchange Reserves (USD Million)])</f>
        <v>424954.63569691894</v>
      </c>
      <c r="K30" s="83">
        <f>SUBTOTAL(101,Table2[Balance Trade (USD Million)])</f>
        <v>1439.23108</v>
      </c>
      <c r="L30" s="78"/>
      <c r="M30" s="78"/>
      <c r="N30" s="107">
        <f>SUBTOTAL(101,Table2[Balance Trade %])</f>
        <v>0.13770282226298447</v>
      </c>
      <c r="O30" s="83">
        <f>SUBTOTAL(101,Table2[Foreign Direct Investment (USD Million)])</f>
        <v>49478.041199999992</v>
      </c>
      <c r="P30" s="81">
        <f>SUBTOTAL(101,Table2[Debt to GDP])</f>
        <v>0.78894799999999987</v>
      </c>
      <c r="Q30" s="79"/>
      <c r="R30" s="79"/>
      <c r="S30" s="61">
        <f>SUBTOTAL(101,Table2[Economic Freedom])</f>
        <v>69.442307692307679</v>
      </c>
      <c r="T30" s="48"/>
      <c r="U30" s="90"/>
      <c r="V30" s="90"/>
      <c r="W30" s="90">
        <f>SUBTOTAL(103,Table2[Debilidades])</f>
        <v>13</v>
      </c>
    </row>
    <row r="32" spans="1:23" x14ac:dyDescent="0.15">
      <c r="E32" s="67"/>
      <c r="O32" s="71"/>
    </row>
    <row r="37" spans="11:11" x14ac:dyDescent="0.15">
      <c r="K37" s="93"/>
    </row>
  </sheetData>
  <phoneticPr fontId="10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AA992"/>
  <sheetViews>
    <sheetView zoomScale="160" zoomScaleNormal="160" workbookViewId="0">
      <selection activeCell="F19" sqref="F19"/>
    </sheetView>
  </sheetViews>
  <sheetFormatPr baseColWidth="10" defaultColWidth="12.6640625" defaultRowHeight="15" customHeight="1" x14ac:dyDescent="0.15"/>
  <cols>
    <col min="1" max="1" width="0.33203125" customWidth="1"/>
    <col min="2" max="2" width="2.83203125" customWidth="1"/>
    <col min="3" max="3" width="23.33203125" customWidth="1"/>
    <col min="4" max="4" width="14.1640625" customWidth="1"/>
    <col min="5" max="5" width="15.83203125" customWidth="1"/>
    <col min="6" max="6" width="17.1640625" customWidth="1"/>
    <col min="7" max="7" width="16.1640625" customWidth="1"/>
    <col min="8" max="10" width="14.1640625" customWidth="1"/>
    <col min="11" max="11" width="12.5" customWidth="1"/>
    <col min="12" max="13" width="13" customWidth="1"/>
    <col min="14" max="27" width="12.5" customWidth="1"/>
  </cols>
  <sheetData>
    <row r="1" spans="1:27" ht="1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39" customHeight="1" x14ac:dyDescent="0.15">
      <c r="A2" s="1"/>
      <c r="B2" s="139"/>
      <c r="C2" s="140"/>
      <c r="D2" s="140"/>
      <c r="E2" s="141" t="s">
        <v>0</v>
      </c>
      <c r="F2" s="142"/>
      <c r="G2" s="142"/>
      <c r="H2" s="142"/>
      <c r="I2" s="142"/>
      <c r="J2" s="143"/>
      <c r="K2" s="144" t="s">
        <v>1</v>
      </c>
      <c r="L2" s="142"/>
      <c r="M2" s="14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" x14ac:dyDescent="0.15">
      <c r="A3" s="1"/>
      <c r="B3" s="145" t="s">
        <v>2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1"/>
      <c r="B4" s="151" t="s">
        <v>14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6.5" customHeight="1" x14ac:dyDescent="0.15">
      <c r="A5" s="1"/>
      <c r="B5" s="4"/>
      <c r="C5" s="4" t="s">
        <v>15</v>
      </c>
      <c r="D5" s="6" t="s">
        <v>16</v>
      </c>
      <c r="E5" s="6" t="s">
        <v>4</v>
      </c>
      <c r="F5" s="6" t="s">
        <v>5</v>
      </c>
      <c r="G5" s="7" t="s">
        <v>6</v>
      </c>
      <c r="H5" s="4" t="s">
        <v>7</v>
      </c>
      <c r="I5" s="4" t="s">
        <v>8</v>
      </c>
      <c r="J5" s="5" t="s">
        <v>9</v>
      </c>
      <c r="K5" s="6" t="s">
        <v>10</v>
      </c>
      <c r="L5" s="6" t="s">
        <v>11</v>
      </c>
      <c r="M5" s="8" t="s">
        <v>12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3" customHeight="1" x14ac:dyDescent="0.15">
      <c r="A6" s="1"/>
      <c r="B6" s="9">
        <v>1</v>
      </c>
      <c r="C6" s="10"/>
      <c r="D6" s="10" t="s">
        <v>17</v>
      </c>
      <c r="E6" s="11"/>
      <c r="F6" s="12"/>
      <c r="G6" s="12"/>
      <c r="H6" s="13"/>
      <c r="I6" s="13"/>
      <c r="J6" s="13" t="str">
        <f t="shared" ref="J6:J30" si="0">IF(G6="","",I6-H6)</f>
        <v/>
      </c>
      <c r="K6" s="14" t="str">
        <f t="shared" ref="K6:K30" si="1">IF(G6="","",IFERROR(I6/H6-1,"0%"))</f>
        <v/>
      </c>
      <c r="L6" s="15" t="str">
        <f t="shared" ref="L6:L30" si="2">IFERROR(IF(I6="","",I6/$I$32),"")</f>
        <v/>
      </c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1"/>
      <c r="B7" s="9">
        <v>2</v>
      </c>
      <c r="C7" s="10"/>
      <c r="D7" s="10"/>
      <c r="E7" s="11"/>
      <c r="F7" s="12"/>
      <c r="G7" s="12"/>
      <c r="H7" s="13" t="str">
        <f t="shared" ref="H7:H30" si="3">IF(G7="","",E7*F7)</f>
        <v/>
      </c>
      <c r="I7" s="13" t="str">
        <f t="shared" ref="I7:I30" si="4">IF(G7="","",E7*G7)</f>
        <v/>
      </c>
      <c r="J7" s="13" t="str">
        <f t="shared" si="0"/>
        <v/>
      </c>
      <c r="K7" s="14" t="str">
        <f t="shared" si="1"/>
        <v/>
      </c>
      <c r="L7" s="15" t="str">
        <f t="shared" si="2"/>
        <v/>
      </c>
      <c r="M7" s="1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1"/>
      <c r="B8" s="9">
        <v>3</v>
      </c>
      <c r="C8" s="10"/>
      <c r="D8" s="10"/>
      <c r="E8" s="11"/>
      <c r="F8" s="12"/>
      <c r="G8" s="12"/>
      <c r="H8" s="13" t="str">
        <f t="shared" si="3"/>
        <v/>
      </c>
      <c r="I8" s="13" t="str">
        <f t="shared" si="4"/>
        <v/>
      </c>
      <c r="J8" s="13" t="str">
        <f t="shared" si="0"/>
        <v/>
      </c>
      <c r="K8" s="14" t="str">
        <f t="shared" si="1"/>
        <v/>
      </c>
      <c r="L8" s="15" t="str">
        <f t="shared" si="2"/>
        <v/>
      </c>
      <c r="M8" s="16"/>
      <c r="N8" s="1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1"/>
      <c r="B9" s="9">
        <v>4</v>
      </c>
      <c r="C9" s="10"/>
      <c r="D9" s="10"/>
      <c r="E9" s="11"/>
      <c r="F9" s="12"/>
      <c r="G9" s="12"/>
      <c r="H9" s="13" t="str">
        <f t="shared" si="3"/>
        <v/>
      </c>
      <c r="I9" s="13" t="str">
        <f t="shared" si="4"/>
        <v/>
      </c>
      <c r="J9" s="13" t="str">
        <f t="shared" si="0"/>
        <v/>
      </c>
      <c r="K9" s="14" t="str">
        <f t="shared" si="1"/>
        <v/>
      </c>
      <c r="L9" s="15" t="str">
        <f t="shared" si="2"/>
        <v/>
      </c>
      <c r="M9" s="16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1"/>
      <c r="B10" s="9">
        <v>5</v>
      </c>
      <c r="C10" s="10"/>
      <c r="D10" s="10"/>
      <c r="E10" s="11"/>
      <c r="F10" s="12"/>
      <c r="G10" s="12"/>
      <c r="H10" s="13" t="str">
        <f t="shared" si="3"/>
        <v/>
      </c>
      <c r="I10" s="13" t="str">
        <f t="shared" si="4"/>
        <v/>
      </c>
      <c r="J10" s="13" t="str">
        <f t="shared" si="0"/>
        <v/>
      </c>
      <c r="K10" s="14" t="str">
        <f t="shared" si="1"/>
        <v/>
      </c>
      <c r="L10" s="15" t="str">
        <f t="shared" si="2"/>
        <v/>
      </c>
      <c r="M10" s="16"/>
      <c r="N10" s="1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1"/>
      <c r="B11" s="9">
        <v>6</v>
      </c>
      <c r="C11" s="10"/>
      <c r="D11" s="10"/>
      <c r="E11" s="11"/>
      <c r="F11" s="12"/>
      <c r="G11" s="12"/>
      <c r="H11" s="13" t="str">
        <f t="shared" si="3"/>
        <v/>
      </c>
      <c r="I11" s="13" t="str">
        <f t="shared" si="4"/>
        <v/>
      </c>
      <c r="J11" s="13" t="str">
        <f t="shared" si="0"/>
        <v/>
      </c>
      <c r="K11" s="14" t="str">
        <f t="shared" si="1"/>
        <v/>
      </c>
      <c r="L11" s="15" t="str">
        <f t="shared" si="2"/>
        <v/>
      </c>
      <c r="M11" s="16"/>
      <c r="N11" s="1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1"/>
      <c r="B12" s="9">
        <v>7</v>
      </c>
      <c r="C12" s="10"/>
      <c r="D12" s="10"/>
      <c r="E12" s="11"/>
      <c r="F12" s="12"/>
      <c r="G12" s="12"/>
      <c r="H12" s="13" t="str">
        <f t="shared" si="3"/>
        <v/>
      </c>
      <c r="I12" s="13" t="str">
        <f t="shared" si="4"/>
        <v/>
      </c>
      <c r="J12" s="13" t="str">
        <f t="shared" si="0"/>
        <v/>
      </c>
      <c r="K12" s="14" t="str">
        <f t="shared" si="1"/>
        <v/>
      </c>
      <c r="L12" s="15" t="str">
        <f t="shared" si="2"/>
        <v/>
      </c>
      <c r="M12" s="16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1"/>
      <c r="B13" s="9">
        <v>8</v>
      </c>
      <c r="C13" s="10"/>
      <c r="D13" s="10"/>
      <c r="E13" s="11"/>
      <c r="F13" s="12"/>
      <c r="G13" s="12"/>
      <c r="H13" s="13" t="str">
        <f t="shared" si="3"/>
        <v/>
      </c>
      <c r="I13" s="13" t="str">
        <f t="shared" si="4"/>
        <v/>
      </c>
      <c r="J13" s="13" t="str">
        <f t="shared" si="0"/>
        <v/>
      </c>
      <c r="K13" s="14" t="str">
        <f t="shared" si="1"/>
        <v/>
      </c>
      <c r="L13" s="15" t="str">
        <f t="shared" si="2"/>
        <v/>
      </c>
      <c r="M13" s="16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1"/>
      <c r="B14" s="9">
        <v>9</v>
      </c>
      <c r="C14" s="10"/>
      <c r="D14" s="10"/>
      <c r="E14" s="11"/>
      <c r="F14" s="12"/>
      <c r="G14" s="12"/>
      <c r="H14" s="13" t="str">
        <f t="shared" si="3"/>
        <v/>
      </c>
      <c r="I14" s="13" t="str">
        <f t="shared" si="4"/>
        <v/>
      </c>
      <c r="J14" s="13" t="str">
        <f t="shared" si="0"/>
        <v/>
      </c>
      <c r="K14" s="14" t="str">
        <f t="shared" si="1"/>
        <v/>
      </c>
      <c r="L14" s="15" t="str">
        <f t="shared" si="2"/>
        <v/>
      </c>
      <c r="M14" s="16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1"/>
      <c r="B15" s="9">
        <v>10</v>
      </c>
      <c r="C15" s="10"/>
      <c r="D15" s="10"/>
      <c r="E15" s="11"/>
      <c r="F15" s="12"/>
      <c r="G15" s="12"/>
      <c r="H15" s="13" t="str">
        <f t="shared" si="3"/>
        <v/>
      </c>
      <c r="I15" s="13" t="str">
        <f t="shared" si="4"/>
        <v/>
      </c>
      <c r="J15" s="13" t="str">
        <f t="shared" si="0"/>
        <v/>
      </c>
      <c r="K15" s="14" t="str">
        <f t="shared" si="1"/>
        <v/>
      </c>
      <c r="L15" s="15" t="str">
        <f t="shared" si="2"/>
        <v/>
      </c>
      <c r="M15" s="16"/>
      <c r="N15" s="1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1"/>
      <c r="B16" s="9">
        <v>11</v>
      </c>
      <c r="C16" s="10"/>
      <c r="D16" s="10"/>
      <c r="E16" s="11"/>
      <c r="F16" s="12"/>
      <c r="G16" s="12"/>
      <c r="H16" s="13" t="str">
        <f t="shared" si="3"/>
        <v/>
      </c>
      <c r="I16" s="13" t="str">
        <f t="shared" si="4"/>
        <v/>
      </c>
      <c r="J16" s="13" t="str">
        <f t="shared" si="0"/>
        <v/>
      </c>
      <c r="K16" s="14" t="str">
        <f t="shared" si="1"/>
        <v/>
      </c>
      <c r="L16" s="15" t="str">
        <f t="shared" si="2"/>
        <v/>
      </c>
      <c r="M16" s="16"/>
      <c r="N16" s="1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1"/>
      <c r="B17" s="9">
        <v>12</v>
      </c>
      <c r="C17" s="10"/>
      <c r="D17" s="10"/>
      <c r="E17" s="11"/>
      <c r="F17" s="12"/>
      <c r="G17" s="12"/>
      <c r="H17" s="13" t="str">
        <f t="shared" si="3"/>
        <v/>
      </c>
      <c r="I17" s="13" t="str">
        <f t="shared" si="4"/>
        <v/>
      </c>
      <c r="J17" s="13" t="str">
        <f t="shared" si="0"/>
        <v/>
      </c>
      <c r="K17" s="14" t="str">
        <f t="shared" si="1"/>
        <v/>
      </c>
      <c r="L17" s="15" t="str">
        <f t="shared" si="2"/>
        <v/>
      </c>
      <c r="M17" s="16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1"/>
      <c r="B18" s="9">
        <v>13</v>
      </c>
      <c r="C18" s="10"/>
      <c r="D18" s="10"/>
      <c r="E18" s="11"/>
      <c r="F18" s="12"/>
      <c r="G18" s="12"/>
      <c r="H18" s="13" t="str">
        <f t="shared" si="3"/>
        <v/>
      </c>
      <c r="I18" s="13" t="str">
        <f t="shared" si="4"/>
        <v/>
      </c>
      <c r="J18" s="13" t="str">
        <f t="shared" si="0"/>
        <v/>
      </c>
      <c r="K18" s="14" t="str">
        <f t="shared" si="1"/>
        <v/>
      </c>
      <c r="L18" s="15" t="str">
        <f t="shared" si="2"/>
        <v/>
      </c>
      <c r="M18" s="16"/>
      <c r="N18" s="1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1"/>
      <c r="B19" s="9">
        <v>14</v>
      </c>
      <c r="C19" s="10"/>
      <c r="D19" s="10"/>
      <c r="E19" s="11"/>
      <c r="F19" s="12"/>
      <c r="G19" s="12"/>
      <c r="H19" s="13" t="str">
        <f t="shared" si="3"/>
        <v/>
      </c>
      <c r="I19" s="13" t="str">
        <f t="shared" si="4"/>
        <v/>
      </c>
      <c r="J19" s="13" t="str">
        <f t="shared" si="0"/>
        <v/>
      </c>
      <c r="K19" s="14" t="str">
        <f t="shared" si="1"/>
        <v/>
      </c>
      <c r="L19" s="15" t="str">
        <f t="shared" si="2"/>
        <v/>
      </c>
      <c r="M19" s="16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1"/>
      <c r="B20" s="9">
        <v>15</v>
      </c>
      <c r="C20" s="10"/>
      <c r="D20" s="10"/>
      <c r="E20" s="11"/>
      <c r="F20" s="12"/>
      <c r="G20" s="12"/>
      <c r="H20" s="13" t="str">
        <f t="shared" si="3"/>
        <v/>
      </c>
      <c r="I20" s="13" t="str">
        <f t="shared" si="4"/>
        <v/>
      </c>
      <c r="J20" s="13" t="str">
        <f t="shared" si="0"/>
        <v/>
      </c>
      <c r="K20" s="14" t="str">
        <f t="shared" si="1"/>
        <v/>
      </c>
      <c r="L20" s="15" t="str">
        <f t="shared" si="2"/>
        <v/>
      </c>
      <c r="M20" s="16"/>
      <c r="N20" s="1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1"/>
      <c r="B21" s="9">
        <v>16</v>
      </c>
      <c r="C21" s="10"/>
      <c r="D21" s="10"/>
      <c r="E21" s="11"/>
      <c r="F21" s="12"/>
      <c r="G21" s="12"/>
      <c r="H21" s="13" t="str">
        <f t="shared" si="3"/>
        <v/>
      </c>
      <c r="I21" s="13" t="str">
        <f t="shared" si="4"/>
        <v/>
      </c>
      <c r="J21" s="13" t="str">
        <f t="shared" si="0"/>
        <v/>
      </c>
      <c r="K21" s="14" t="str">
        <f t="shared" si="1"/>
        <v/>
      </c>
      <c r="L21" s="15" t="str">
        <f t="shared" si="2"/>
        <v/>
      </c>
      <c r="M21" s="16"/>
      <c r="N21" s="1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1"/>
      <c r="B22" s="9">
        <v>17</v>
      </c>
      <c r="C22" s="10"/>
      <c r="D22" s="10"/>
      <c r="E22" s="11"/>
      <c r="F22" s="12"/>
      <c r="G22" s="12"/>
      <c r="H22" s="13" t="str">
        <f t="shared" si="3"/>
        <v/>
      </c>
      <c r="I22" s="13" t="str">
        <f t="shared" si="4"/>
        <v/>
      </c>
      <c r="J22" s="13" t="str">
        <f t="shared" si="0"/>
        <v/>
      </c>
      <c r="K22" s="14" t="str">
        <f t="shared" si="1"/>
        <v/>
      </c>
      <c r="L22" s="15" t="str">
        <f t="shared" si="2"/>
        <v/>
      </c>
      <c r="M22" s="16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"/>
      <c r="B23" s="9">
        <v>18</v>
      </c>
      <c r="C23" s="10"/>
      <c r="D23" s="10"/>
      <c r="E23" s="11"/>
      <c r="F23" s="12"/>
      <c r="G23" s="12"/>
      <c r="H23" s="13" t="str">
        <f t="shared" si="3"/>
        <v/>
      </c>
      <c r="I23" s="13" t="str">
        <f t="shared" si="4"/>
        <v/>
      </c>
      <c r="J23" s="13" t="str">
        <f t="shared" si="0"/>
        <v/>
      </c>
      <c r="K23" s="14" t="str">
        <f t="shared" si="1"/>
        <v/>
      </c>
      <c r="L23" s="15" t="str">
        <f t="shared" si="2"/>
        <v/>
      </c>
      <c r="M23" s="16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"/>
      <c r="B24" s="9">
        <v>19</v>
      </c>
      <c r="C24" s="10"/>
      <c r="D24" s="10"/>
      <c r="E24" s="11"/>
      <c r="F24" s="12"/>
      <c r="G24" s="12"/>
      <c r="H24" s="13" t="str">
        <f t="shared" si="3"/>
        <v/>
      </c>
      <c r="I24" s="13" t="str">
        <f t="shared" si="4"/>
        <v/>
      </c>
      <c r="J24" s="13" t="str">
        <f t="shared" si="0"/>
        <v/>
      </c>
      <c r="K24" s="14" t="str">
        <f t="shared" si="1"/>
        <v/>
      </c>
      <c r="L24" s="15" t="str">
        <f t="shared" si="2"/>
        <v/>
      </c>
      <c r="M24" s="16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"/>
      <c r="B25" s="9">
        <v>20</v>
      </c>
      <c r="C25" s="10"/>
      <c r="D25" s="10"/>
      <c r="E25" s="11"/>
      <c r="F25" s="12"/>
      <c r="G25" s="12"/>
      <c r="H25" s="13" t="str">
        <f t="shared" si="3"/>
        <v/>
      </c>
      <c r="I25" s="13" t="str">
        <f t="shared" si="4"/>
        <v/>
      </c>
      <c r="J25" s="13" t="str">
        <f t="shared" si="0"/>
        <v/>
      </c>
      <c r="K25" s="14" t="str">
        <f t="shared" si="1"/>
        <v/>
      </c>
      <c r="L25" s="15" t="str">
        <f t="shared" si="2"/>
        <v/>
      </c>
      <c r="M25" s="16"/>
      <c r="N25" s="1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"/>
      <c r="B26" s="9">
        <v>21</v>
      </c>
      <c r="C26" s="10"/>
      <c r="D26" s="10"/>
      <c r="E26" s="11"/>
      <c r="F26" s="12"/>
      <c r="G26" s="12"/>
      <c r="H26" s="13" t="str">
        <f t="shared" si="3"/>
        <v/>
      </c>
      <c r="I26" s="13" t="str">
        <f t="shared" si="4"/>
        <v/>
      </c>
      <c r="J26" s="13" t="str">
        <f t="shared" si="0"/>
        <v/>
      </c>
      <c r="K26" s="14" t="str">
        <f t="shared" si="1"/>
        <v/>
      </c>
      <c r="L26" s="15" t="str">
        <f t="shared" si="2"/>
        <v/>
      </c>
      <c r="M26" s="16"/>
      <c r="N26" s="1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"/>
      <c r="B27" s="9">
        <v>22</v>
      </c>
      <c r="C27" s="10"/>
      <c r="D27" s="10"/>
      <c r="E27" s="11"/>
      <c r="F27" s="12"/>
      <c r="G27" s="12"/>
      <c r="H27" s="13" t="str">
        <f t="shared" si="3"/>
        <v/>
      </c>
      <c r="I27" s="13" t="str">
        <f t="shared" si="4"/>
        <v/>
      </c>
      <c r="J27" s="13" t="str">
        <f t="shared" si="0"/>
        <v/>
      </c>
      <c r="K27" s="14" t="str">
        <f t="shared" si="1"/>
        <v/>
      </c>
      <c r="L27" s="15" t="str">
        <f t="shared" si="2"/>
        <v/>
      </c>
      <c r="M27" s="16"/>
      <c r="N27" s="1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"/>
      <c r="B28" s="9">
        <v>23</v>
      </c>
      <c r="C28" s="10"/>
      <c r="D28" s="10"/>
      <c r="E28" s="11"/>
      <c r="F28" s="12"/>
      <c r="G28" s="12"/>
      <c r="H28" s="13" t="str">
        <f t="shared" si="3"/>
        <v/>
      </c>
      <c r="I28" s="13" t="str">
        <f t="shared" si="4"/>
        <v/>
      </c>
      <c r="J28" s="13" t="str">
        <f t="shared" si="0"/>
        <v/>
      </c>
      <c r="K28" s="14" t="str">
        <f t="shared" si="1"/>
        <v/>
      </c>
      <c r="L28" s="15" t="str">
        <f t="shared" si="2"/>
        <v/>
      </c>
      <c r="M28" s="16"/>
      <c r="N28" s="1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"/>
      <c r="B29" s="9">
        <v>24</v>
      </c>
      <c r="C29" s="10"/>
      <c r="D29" s="10"/>
      <c r="E29" s="11"/>
      <c r="F29" s="12"/>
      <c r="G29" s="12"/>
      <c r="H29" s="13" t="str">
        <f t="shared" si="3"/>
        <v/>
      </c>
      <c r="I29" s="13" t="str">
        <f t="shared" si="4"/>
        <v/>
      </c>
      <c r="J29" s="13" t="str">
        <f t="shared" si="0"/>
        <v/>
      </c>
      <c r="K29" s="14" t="str">
        <f t="shared" si="1"/>
        <v/>
      </c>
      <c r="L29" s="15" t="str">
        <f t="shared" si="2"/>
        <v/>
      </c>
      <c r="M29" s="16"/>
      <c r="N29" s="1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"/>
      <c r="B30" s="9">
        <v>25</v>
      </c>
      <c r="C30" s="10"/>
      <c r="D30" s="10"/>
      <c r="E30" s="11"/>
      <c r="F30" s="12"/>
      <c r="G30" s="12"/>
      <c r="H30" s="13" t="str">
        <f t="shared" si="3"/>
        <v/>
      </c>
      <c r="I30" s="13" t="str">
        <f t="shared" si="4"/>
        <v/>
      </c>
      <c r="J30" s="13" t="str">
        <f t="shared" si="0"/>
        <v/>
      </c>
      <c r="K30" s="14" t="str">
        <f t="shared" si="1"/>
        <v/>
      </c>
      <c r="L30" s="15" t="str">
        <f t="shared" si="2"/>
        <v/>
      </c>
      <c r="M30" s="16"/>
      <c r="N30" s="1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8"/>
      <c r="B31" s="3"/>
      <c r="C31" s="3"/>
      <c r="D31" s="3"/>
      <c r="E31" s="3"/>
      <c r="F31" s="19"/>
      <c r="G31" s="20"/>
      <c r="H31" s="20"/>
      <c r="I31" s="20"/>
      <c r="J31" s="20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8"/>
      <c r="B32" s="3"/>
      <c r="C32" s="3"/>
      <c r="D32" s="3"/>
      <c r="E32" s="3"/>
      <c r="F32" s="3"/>
      <c r="G32" s="149" t="s">
        <v>13</v>
      </c>
      <c r="H32" s="150"/>
      <c r="I32" s="21">
        <f>SUM(I6:I30)</f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8"/>
      <c r="B33" s="3"/>
      <c r="C33" s="3"/>
      <c r="D33" s="3"/>
      <c r="E33" s="3"/>
      <c r="F33" s="3"/>
      <c r="G33" s="3"/>
      <c r="H33" s="3"/>
      <c r="I33" s="19"/>
      <c r="J33" s="19"/>
      <c r="K33" s="3"/>
      <c r="L33" s="3"/>
      <c r="M33" s="2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1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1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1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1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1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1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1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1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1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1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1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1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1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1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1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1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1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1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1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1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1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1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1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1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1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1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1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1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1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1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1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1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1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1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1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1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1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1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1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1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1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1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1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1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1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1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1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1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1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1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1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1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1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1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1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1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1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1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1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1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1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1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1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1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1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1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1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1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1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1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1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1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1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1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1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1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1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1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1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1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1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1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1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1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1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1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1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1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1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1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1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1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1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1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1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1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1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1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1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1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1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1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1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1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1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1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1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1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1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1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1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1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1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1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1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1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1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1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1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1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1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1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1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1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1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1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1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1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1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1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1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1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1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1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1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1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1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1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1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1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1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1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1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1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1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1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1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1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1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1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1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1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1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1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1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1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1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1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1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1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1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1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1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1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1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1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1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1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1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1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1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1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1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1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1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1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1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1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1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1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1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1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1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1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1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1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1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1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1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1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1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1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1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1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1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1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1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1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1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1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1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1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1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1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1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1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1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1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1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1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1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1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1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1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1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1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1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1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1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1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1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1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1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1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1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1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1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1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1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1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1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1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1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1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1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1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1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1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1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1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1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1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1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1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1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1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1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1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1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1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1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1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1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1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1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1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1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1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1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1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1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1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1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1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1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1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1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1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1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1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1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1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1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1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1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1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1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1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1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1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1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1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1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1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1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1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1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1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1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1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1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1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1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1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1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1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1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1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1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1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1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1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1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1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1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1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1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1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1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1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1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1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1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1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1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1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1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1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1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1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1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1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1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1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1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1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1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1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1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1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1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1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1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1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1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1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1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1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1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1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1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1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1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1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1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1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1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1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1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1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1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1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1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1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1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1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1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1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1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1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1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1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1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1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1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1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1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1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1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1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1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1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1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1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1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1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1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1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1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1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1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1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1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1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1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1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1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1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1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1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1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1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1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1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1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1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1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1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1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1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1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1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1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1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1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1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1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1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1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1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1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1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1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1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1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1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1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1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1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1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1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1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1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1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1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1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1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1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1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1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1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1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1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1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1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1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1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1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1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1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1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1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1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1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1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1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1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1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1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1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1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1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1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1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1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1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1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1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1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1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1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1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1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1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1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1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1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1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1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1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1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1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1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1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1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1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1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1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1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1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1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1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1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1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1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1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1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1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1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1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1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1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1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1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1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1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1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1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1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1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1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1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1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1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1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1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1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1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1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1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1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1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1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1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1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1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1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1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1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1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1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1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1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1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1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1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1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1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1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1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1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1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1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1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1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1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1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1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1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1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1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1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1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1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1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1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1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1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1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1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1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1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1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1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1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1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1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1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1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1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1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1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1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1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1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1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1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1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1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1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1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1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1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1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1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1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1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1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1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1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1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1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1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1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1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1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1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1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1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1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1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1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1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1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1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1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1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1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1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1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1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1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1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1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1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1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1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1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1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1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1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1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1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1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1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1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1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1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1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1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1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1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1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1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1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1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1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1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1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1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1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1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1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1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1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1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1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1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1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1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1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1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1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1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1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1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1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1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1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1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1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1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1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1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1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1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1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1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1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1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1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1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1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1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1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1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1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1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1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1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1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1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1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1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1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1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1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1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1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1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1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1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1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1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1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1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1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1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1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1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1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1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1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1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1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1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1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1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1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1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1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1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1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1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1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1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1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1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1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1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1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1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1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1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1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1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1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1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1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1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1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1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1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1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1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1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1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1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1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1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1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1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1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1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1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1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1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1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1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1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1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1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1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1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1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1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1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1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1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1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1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1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1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1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1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1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1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1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1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1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1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1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1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1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1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1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1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1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1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1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1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1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1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1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1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1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1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1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1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1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1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1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1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1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1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1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1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1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1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1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1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1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1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1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1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1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1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1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1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1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1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1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1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1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1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1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1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1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1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1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1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1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1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1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1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1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1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1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1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1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1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1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1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1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1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1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1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1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1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1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1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1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1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1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1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1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1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1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1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1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1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1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1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1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1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1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1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1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1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1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1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1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1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1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1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1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1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1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1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1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1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1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1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1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1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1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1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1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1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1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1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1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1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1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1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1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1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1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1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1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1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1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1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1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1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1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1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1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1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1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1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1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1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1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1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1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1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1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1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1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1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1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1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1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1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1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1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1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1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1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1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1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1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1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1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1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1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1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1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1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1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1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1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1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1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1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1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1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1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1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1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1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1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1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1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1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1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1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1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1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1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1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1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1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1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1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1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1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1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1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1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1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1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mergeCells count="6">
    <mergeCell ref="G32:H32"/>
    <mergeCell ref="B2:D2"/>
    <mergeCell ref="E2:J2"/>
    <mergeCell ref="K2:M2"/>
    <mergeCell ref="B3:M3"/>
    <mergeCell ref="B4:M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Indizado PPR</vt:lpstr>
      <vt:lpstr>Allianz</vt:lpstr>
      <vt:lpstr>Indizado FIRE</vt:lpstr>
      <vt:lpstr>Analisis de Indizados</vt:lpstr>
      <vt:lpstr>Patrimonial</vt:lpstr>
      <vt:lpstr>AportacionesAcumuladas</vt:lpstr>
      <vt:lpstr>DDComprometidoUnidades</vt:lpstr>
      <vt:lpstr>DDComprometidoValorUnitario</vt:lpstr>
      <vt:lpstr>DDInicialUnidades</vt:lpstr>
      <vt:lpstr>DDInicialValorUnitario</vt:lpstr>
      <vt:lpstr>DDPonderacion</vt:lpstr>
      <vt:lpstr>Fecha</vt:lpstr>
      <vt:lpstr>NasdaqComprometidoUnidades</vt:lpstr>
      <vt:lpstr>NasdaqComprometidoValorUnitario</vt:lpstr>
      <vt:lpstr>NasdaqInicialUnidades</vt:lpstr>
      <vt:lpstr>NasdaqInicialValorUnitario</vt:lpstr>
      <vt:lpstr>NasdaqPonderacion</vt:lpstr>
      <vt:lpstr>'Indizado FIRE'!RendimientoPromedio</vt:lpstr>
      <vt:lpstr>RendimientoPromedio</vt:lpstr>
      <vt:lpstr>ValorDDComprometido</vt:lpstr>
      <vt:lpstr>ValorDDInicial</vt:lpstr>
      <vt:lpstr>'Indizado FIRE'!ValorlTotalPortafolio</vt:lpstr>
      <vt:lpstr>ValorlTotalPortafolio</vt:lpstr>
      <vt:lpstr>ValorNasdaqComprometido</vt:lpstr>
      <vt:lpstr>ValorNasdaqInicial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Ramos, Ivan (NonEmp)</cp:lastModifiedBy>
  <dcterms:modified xsi:type="dcterms:W3CDTF">2025-04-28T14:44:00Z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f47cd8-41fa-4235-8c80-86b50baa48d7_Enabled">
    <vt:lpwstr>true</vt:lpwstr>
  </property>
  <property fmtid="{D5CDD505-2E9C-101B-9397-08002B2CF9AE}" pid="3" name="MSIP_Label_66f47cd8-41fa-4235-8c80-86b50baa48d7_SetDate">
    <vt:lpwstr>2025-02-02T04:47:44Z</vt:lpwstr>
  </property>
  <property fmtid="{D5CDD505-2E9C-101B-9397-08002B2CF9AE}" pid="4" name="MSIP_Label_66f47cd8-41fa-4235-8c80-86b50baa48d7_Method">
    <vt:lpwstr>Standard</vt:lpwstr>
  </property>
  <property fmtid="{D5CDD505-2E9C-101B-9397-08002B2CF9AE}" pid="5" name="MSIP_Label_66f47cd8-41fa-4235-8c80-86b50baa48d7_Name">
    <vt:lpwstr>Kroger Internal</vt:lpwstr>
  </property>
  <property fmtid="{D5CDD505-2E9C-101B-9397-08002B2CF9AE}" pid="6" name="MSIP_Label_66f47cd8-41fa-4235-8c80-86b50baa48d7_SiteId">
    <vt:lpwstr>8331e14a-9134-4288-bf5a-5e2c8412f074</vt:lpwstr>
  </property>
  <property fmtid="{D5CDD505-2E9C-101B-9397-08002B2CF9AE}" pid="7" name="MSIP_Label_66f47cd8-41fa-4235-8c80-86b50baa48d7_ActionId">
    <vt:lpwstr>c15807d1-f13e-468e-81a5-c8e256b2e7ab</vt:lpwstr>
  </property>
  <property fmtid="{D5CDD505-2E9C-101B-9397-08002B2CF9AE}" pid="8" name="MSIP_Label_66f47cd8-41fa-4235-8c80-86b50baa48d7_ContentBits">
    <vt:lpwstr>0</vt:lpwstr>
  </property>
</Properties>
</file>