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C:\Users\josue\Documents\MarketStocksTracker\tracker-poetry\src\tracker_poetry\"/>
    </mc:Choice>
  </mc:AlternateContent>
  <xr:revisionPtr revIDLastSave="0" documentId="8_{7DC94A8B-1E5B-45E1-B961-CCB924DD7802}" xr6:coauthVersionLast="47" xr6:coauthVersionMax="47" xr10:uidLastSave="{00000000-0000-0000-0000-000000000000}"/>
  <bookViews>
    <workbookView xWindow="45960" yWindow="-120" windowWidth="29040" windowHeight="15840" firstSheet="2" activeTab="2" xr2:uid="{00000000-000D-0000-FFFF-FFFF00000000}"/>
  </bookViews>
  <sheets>
    <sheet name="Indizado PPR" sheetId="1" r:id="rId1"/>
    <sheet name="Allianz" sheetId="4" r:id="rId2"/>
    <sheet name="Indizado FIRE" sheetId="5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2">PortafolioIndizado[[#Totals],[Balance %]]</definedName>
    <definedName name="RendimientoPromedio">PortafolioPPR[[#Totals],[Balance %]]</definedName>
    <definedName name="TipoCambio">'Indizado FIRE'!$D$4</definedName>
    <definedName name="UnidadesBono">Allianz!$B$9</definedName>
    <definedName name="ValorDDComprometido">Allianz!$D$8</definedName>
    <definedName name="ValorDDInicial">Allianz!$D$7</definedName>
    <definedName name="ValorlTotalPortafolio" localSheetId="2">PortafolioIndizado[[#Totals],[Market Value]]</definedName>
    <definedName name="ValorlTotalPortafolio">PortafolioPPR[[#Totals],[Market Value]]</definedName>
    <definedName name="ValorNasdaqComprometido">Allianz!$D$6</definedName>
    <definedName name="ValorNasdaqInicial">Allianz!$D$5</definedName>
    <definedName name="ValorUnitarioBono">Allianz!$C$9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 s="1"/>
  <c r="E6" i="1"/>
  <c r="E7" i="1"/>
  <c r="D8" i="1"/>
  <c r="D9" i="4"/>
  <c r="D4" i="5" a="1"/>
  <c r="D4" i="5" s="1"/>
  <c r="J15" i="5" s="1" a="1"/>
  <c r="J15" i="5" s="1"/>
  <c r="I6" i="5" a="1"/>
  <c r="I6" i="5" s="1"/>
  <c r="I7" i="5" a="1"/>
  <c r="I7" i="5" s="1"/>
  <c r="I8" i="5" a="1"/>
  <c r="I8" i="5" s="1"/>
  <c r="J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C8" i="4"/>
  <c r="C6" i="4"/>
  <c r="J8" i="1" l="1"/>
  <c r="I8" i="1"/>
  <c r="J16" i="5"/>
  <c r="N16" i="5" s="1"/>
  <c r="J13" i="5"/>
  <c r="J12" i="5"/>
  <c r="J11" i="5"/>
  <c r="J7" i="5"/>
  <c r="J6" i="5"/>
  <c r="K6" i="5" s="1"/>
  <c r="J14" i="5"/>
  <c r="J9" i="5"/>
  <c r="N15" i="5"/>
  <c r="J10" i="5"/>
  <c r="N8" i="5"/>
  <c r="K8" i="5"/>
  <c r="D6" i="1"/>
  <c r="D7" i="1"/>
  <c r="G6" i="1"/>
  <c r="A7" i="1"/>
  <c r="L16" i="5"/>
  <c r="L6" i="5"/>
  <c r="L7" i="5"/>
  <c r="L8" i="5"/>
  <c r="M8" i="5" s="1"/>
  <c r="L9" i="5"/>
  <c r="L10" i="5"/>
  <c r="L11" i="5"/>
  <c r="L12" i="5"/>
  <c r="L13" i="5"/>
  <c r="L14" i="5"/>
  <c r="F2" i="3"/>
  <c r="F30" i="3"/>
  <c r="N15" i="3"/>
  <c r="N12" i="3"/>
  <c r="N27" i="3"/>
  <c r="N14" i="3"/>
  <c r="N29" i="3"/>
  <c r="N13" i="3"/>
  <c r="N16" i="3"/>
  <c r="N22" i="3"/>
  <c r="N23" i="3"/>
  <c r="N11" i="3"/>
  <c r="N28" i="3"/>
  <c r="N21" i="3"/>
  <c r="N6" i="3"/>
  <c r="N25" i="3"/>
  <c r="N20" i="3"/>
  <c r="N8" i="3"/>
  <c r="N24" i="3"/>
  <c r="N10" i="3"/>
  <c r="N18" i="3"/>
  <c r="N4" i="3"/>
  <c r="N9" i="3"/>
  <c r="N5" i="3"/>
  <c r="N26" i="3"/>
  <c r="N7" i="3"/>
  <c r="N19" i="3"/>
  <c r="N17" i="3"/>
  <c r="W2" i="3"/>
  <c r="S2" i="3"/>
  <c r="P2" i="3"/>
  <c r="O2" i="3"/>
  <c r="K2" i="3"/>
  <c r="I2" i="3"/>
  <c r="H2" i="3"/>
  <c r="G2" i="3"/>
  <c r="E2" i="3"/>
  <c r="M7" i="5" l="1"/>
  <c r="M6" i="5"/>
  <c r="N11" i="5"/>
  <c r="O11" i="5" s="1"/>
  <c r="M11" i="5"/>
  <c r="N13" i="5"/>
  <c r="M13" i="5"/>
  <c r="K16" i="5"/>
  <c r="M16" i="5"/>
  <c r="K13" i="5"/>
  <c r="N7" i="5"/>
  <c r="K7" i="5"/>
  <c r="K12" i="5"/>
  <c r="M12" i="5"/>
  <c r="N6" i="5"/>
  <c r="K10" i="5"/>
  <c r="M10" i="5"/>
  <c r="K9" i="5"/>
  <c r="M9" i="5"/>
  <c r="K14" i="5"/>
  <c r="M14" i="5"/>
  <c r="N12" i="5"/>
  <c r="K11" i="5"/>
  <c r="H16" i="5"/>
  <c r="H14" i="5"/>
  <c r="N14" i="5"/>
  <c r="N9" i="5"/>
  <c r="N10" i="5"/>
  <c r="F17" i="5"/>
  <c r="K15" i="5"/>
  <c r="H9" i="5"/>
  <c r="O8" i="5"/>
  <c r="H8" i="5"/>
  <c r="O16" i="5"/>
  <c r="H13" i="5"/>
  <c r="H10" i="5"/>
  <c r="H12" i="5"/>
  <c r="H11" i="5"/>
  <c r="H7" i="5"/>
  <c r="P16" i="5"/>
  <c r="P8" i="5"/>
  <c r="N30" i="3"/>
  <c r="N2" i="3"/>
  <c r="C21" i="3"/>
  <c r="J7" i="3"/>
  <c r="C7" i="3"/>
  <c r="D7" i="3" s="1"/>
  <c r="C18" i="3"/>
  <c r="C26" i="3"/>
  <c r="C16" i="3"/>
  <c r="J16" i="3" s="1"/>
  <c r="C27" i="3"/>
  <c r="C24" i="3"/>
  <c r="S17" i="5"/>
  <c r="L15" i="5"/>
  <c r="A7" i="5"/>
  <c r="A8" i="5" s="1"/>
  <c r="A9" i="5" s="1"/>
  <c r="A10" i="5" s="1"/>
  <c r="A11" i="5" s="1"/>
  <c r="A12" i="5" s="1"/>
  <c r="A13" i="5" s="1"/>
  <c r="A14" i="5" s="1"/>
  <c r="A15" i="5" s="1"/>
  <c r="A16" i="5" s="1"/>
  <c r="M15" i="5" l="1"/>
  <c r="M17" i="5" s="1"/>
  <c r="R6" i="5" s="1"/>
  <c r="P7" i="5"/>
  <c r="P11" i="5"/>
  <c r="O7" i="5"/>
  <c r="P12" i="5"/>
  <c r="O13" i="5"/>
  <c r="P13" i="5"/>
  <c r="O12" i="5"/>
  <c r="P14" i="5"/>
  <c r="O10" i="5"/>
  <c r="P10" i="5"/>
  <c r="O9" i="5"/>
  <c r="O14" i="5"/>
  <c r="P9" i="5"/>
  <c r="O15" i="5"/>
  <c r="H15" i="5"/>
  <c r="J2" i="3"/>
  <c r="P15" i="5"/>
  <c r="D30" i="3"/>
  <c r="D2" i="3"/>
  <c r="L17" i="5"/>
  <c r="P6" i="5"/>
  <c r="G7" i="1"/>
  <c r="F7" i="1"/>
  <c r="F6" i="1"/>
  <c r="D5" i="4"/>
  <c r="D6" i="4"/>
  <c r="D7" i="4"/>
  <c r="D8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K25" i="2"/>
  <c r="J25" i="2"/>
  <c r="I25" i="2"/>
  <c r="L25" i="2" s="1"/>
  <c r="H25" i="2"/>
  <c r="K24" i="2"/>
  <c r="J24" i="2"/>
  <c r="I24" i="2"/>
  <c r="L24" i="2" s="1"/>
  <c r="H24" i="2"/>
  <c r="K23" i="2"/>
  <c r="J23" i="2"/>
  <c r="I23" i="2"/>
  <c r="L23" i="2" s="1"/>
  <c r="H23" i="2"/>
  <c r="K22" i="2"/>
  <c r="J22" i="2"/>
  <c r="I22" i="2"/>
  <c r="L22" i="2" s="1"/>
  <c r="H22" i="2"/>
  <c r="K21" i="2"/>
  <c r="J21" i="2"/>
  <c r="I21" i="2"/>
  <c r="L21" i="2" s="1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K16" i="2"/>
  <c r="J16" i="2"/>
  <c r="I16" i="2"/>
  <c r="L16" i="2" s="1"/>
  <c r="H16" i="2"/>
  <c r="K15" i="2"/>
  <c r="J15" i="2"/>
  <c r="I15" i="2"/>
  <c r="L15" i="2" s="1"/>
  <c r="H15" i="2"/>
  <c r="K14" i="2"/>
  <c r="J14" i="2"/>
  <c r="I14" i="2"/>
  <c r="L14" i="2" s="1"/>
  <c r="H14" i="2"/>
  <c r="K13" i="2"/>
  <c r="J13" i="2"/>
  <c r="I13" i="2"/>
  <c r="L13" i="2" s="1"/>
  <c r="H13" i="2"/>
  <c r="L12" i="2"/>
  <c r="K12" i="2"/>
  <c r="J12" i="2"/>
  <c r="I12" i="2"/>
  <c r="H12" i="2"/>
  <c r="K11" i="2"/>
  <c r="J11" i="2"/>
  <c r="I11" i="2"/>
  <c r="L11" i="2" s="1"/>
  <c r="H11" i="2"/>
  <c r="K10" i="2"/>
  <c r="J10" i="2"/>
  <c r="I10" i="2"/>
  <c r="L10" i="2" s="1"/>
  <c r="H10" i="2"/>
  <c r="K9" i="2"/>
  <c r="J9" i="2"/>
  <c r="I9" i="2"/>
  <c r="L9" i="2" s="1"/>
  <c r="H9" i="2"/>
  <c r="K8" i="2"/>
  <c r="J8" i="2"/>
  <c r="I8" i="2"/>
  <c r="L8" i="2" s="1"/>
  <c r="H8" i="2"/>
  <c r="I7" i="2"/>
  <c r="J7" i="2" s="1"/>
  <c r="H7" i="2"/>
  <c r="K7" i="2" s="1"/>
  <c r="Q10" i="5" l="1"/>
  <c r="Q16" i="5"/>
  <c r="Q9" i="5"/>
  <c r="Q12" i="5"/>
  <c r="Q13" i="5"/>
  <c r="Q14" i="5"/>
  <c r="Q11" i="5"/>
  <c r="Q8" i="5"/>
  <c r="Q6" i="5"/>
  <c r="Q7" i="5"/>
  <c r="Q15" i="5"/>
  <c r="R7" i="5"/>
  <c r="R12" i="5"/>
  <c r="R10" i="5"/>
  <c r="R11" i="5"/>
  <c r="R14" i="5"/>
  <c r="R8" i="5"/>
  <c r="R13" i="5"/>
  <c r="R9" i="5"/>
  <c r="R16" i="5"/>
  <c r="R15" i="5"/>
  <c r="C16" i="4"/>
  <c r="H7" i="1"/>
  <c r="I7" i="1" s="1"/>
  <c r="H6" i="1"/>
  <c r="I6" i="1" s="1"/>
  <c r="D10" i="4"/>
  <c r="D11" i="4" s="1"/>
  <c r="C15" i="4"/>
  <c r="N17" i="5"/>
  <c r="O6" i="5"/>
  <c r="O17" i="5" s="1"/>
  <c r="P17" i="5"/>
  <c r="G9" i="1"/>
  <c r="I32" i="2"/>
  <c r="L7" i="2" s="1"/>
  <c r="K6" i="2"/>
  <c r="J6" i="2"/>
  <c r="K6" i="1" l="1"/>
  <c r="K7" i="1"/>
  <c r="C18" i="4"/>
  <c r="C17" i="4"/>
  <c r="J7" i="1"/>
  <c r="J6" i="1"/>
  <c r="H9" i="1"/>
  <c r="J9" i="1" s="1"/>
  <c r="I9" i="1"/>
  <c r="L6" i="2"/>
  <c r="K9" i="1" l="1"/>
  <c r="Q17" i="5"/>
  <c r="W30" i="3"/>
  <c r="I30" i="3"/>
  <c r="O30" i="3"/>
  <c r="G30" i="3"/>
  <c r="P30" i="3"/>
  <c r="K30" i="3"/>
  <c r="J30" i="3"/>
  <c r="H30" i="3"/>
  <c r="S30" i="3"/>
  <c r="E3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4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<sst xmlns="http://schemas.openxmlformats.org/spreadsheetml/2006/main" count="230" uniqueCount="192">
  <si>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</si>
  <si>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</si>
  <si>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</si>
  <si>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de Retiro</t>
  </si>
  <si>
    <t>Number</t>
  </si>
  <si>
    <t>Name</t>
  </si>
  <si>
    <t>Ticker</t>
  </si>
  <si>
    <t>Shares</t>
  </si>
  <si>
    <t>Average Unit Cost</t>
  </si>
  <si>
    <t>Current Unit Cost</t>
  </si>
  <si>
    <t>Purchased Value</t>
  </si>
  <si>
    <t>Market Value</t>
  </si>
  <si>
    <t>Balance</t>
  </si>
  <si>
    <t>Balance %</t>
  </si>
  <si>
    <t>Weight %</t>
  </si>
  <si>
    <t>Allianz Nasdaq</t>
  </si>
  <si>
    <t>151NQ</t>
  </si>
  <si>
    <t>Allianz Dinamico Dolares</t>
  </si>
  <si>
    <t>151DD</t>
  </si>
  <si>
    <t>Bono De Fidelidad</t>
  </si>
  <si>
    <t>151BON</t>
  </si>
  <si>
    <t>Total</t>
  </si>
  <si>
    <t xml:space="preserve">Fecha </t>
  </si>
  <si>
    <t>31/3/2025</t>
  </si>
  <si>
    <t>Aportaciones Acumuladas</t>
  </si>
  <si>
    <t>Portafolio</t>
  </si>
  <si>
    <t>Unidades Acumuladas</t>
  </si>
  <si>
    <t>Valor por unidad</t>
  </si>
  <si>
    <t>Monto en Moneda</t>
  </si>
  <si>
    <t>Ponderación</t>
  </si>
  <si>
    <t>151NQO Allianz Nasdaq Inicial</t>
  </si>
  <si>
    <t>151NQC Allianz Nasdaq Comprometido</t>
  </si>
  <si>
    <t>151DDO Dinámico Dólares Inicial</t>
  </si>
  <si>
    <t>151DDC Dinámico Dólares Comprometido</t>
  </si>
  <si>
    <t>Bono Fidelidad</t>
  </si>
  <si>
    <t>Valor Portafolio</t>
  </si>
  <si>
    <t>Saldo Del fondo (Portafolio + Bono)</t>
  </si>
  <si>
    <t>Fondo Inicial</t>
  </si>
  <si>
    <t>Fondo Comprometido</t>
  </si>
  <si>
    <t>Cargo Adm. 0.9%</t>
  </si>
  <si>
    <t>Cargo Gest 0.01%</t>
  </si>
  <si>
    <t xml:space="preserve">Aportacion Actual </t>
  </si>
  <si>
    <t>Allianz</t>
  </si>
  <si>
    <t>Budget</t>
  </si>
  <si>
    <t>Infonavit</t>
  </si>
  <si>
    <t>Inversion</t>
  </si>
  <si>
    <t xml:space="preserve">    Portafolio Indizado</t>
  </si>
  <si>
    <t>Ticker Full Name</t>
  </si>
  <si>
    <t>To Buy</t>
  </si>
  <si>
    <t>Potential Average Unit Cost</t>
  </si>
  <si>
    <t>Current Unit Cost (Original)</t>
  </si>
  <si>
    <t>Unit Cost Diff %</t>
  </si>
  <si>
    <t>Potential Purchased Value</t>
  </si>
  <si>
    <t>Current Weight %</t>
  </si>
  <si>
    <t>Potential Weight %</t>
  </si>
  <si>
    <t>Target Weight %</t>
  </si>
  <si>
    <t>Estados Unidos</t>
  </si>
  <si>
    <t>SPLG</t>
  </si>
  <si>
    <t>Canada</t>
  </si>
  <si>
    <t>EWC</t>
  </si>
  <si>
    <t>Mexico</t>
  </si>
  <si>
    <t>NAFTRAC</t>
  </si>
  <si>
    <t>Brasil</t>
  </si>
  <si>
    <t>EWZ</t>
  </si>
  <si>
    <t>Euro Zona</t>
  </si>
  <si>
    <t>VGK</t>
  </si>
  <si>
    <t>Japon</t>
  </si>
  <si>
    <t>EWJ</t>
  </si>
  <si>
    <t>China</t>
  </si>
  <si>
    <t>MCHI</t>
  </si>
  <si>
    <t>Corea del Sur</t>
  </si>
  <si>
    <t>EWY</t>
  </si>
  <si>
    <t>India</t>
  </si>
  <si>
    <t>INDA</t>
  </si>
  <si>
    <t>Australia</t>
  </si>
  <si>
    <t>EWA</t>
  </si>
  <si>
    <t>Singapur</t>
  </si>
  <si>
    <t>EWS</t>
  </si>
  <si>
    <t>Último Análisis</t>
  </si>
  <si>
    <t>Averages</t>
  </si>
  <si>
    <t>Pais/Region</t>
  </si>
  <si>
    <t>Instrumento</t>
  </si>
  <si>
    <t>Currency (to USD)</t>
  </si>
  <si>
    <t>GDP (USD billion)</t>
  </si>
  <si>
    <t>Full Year GDP  Growth</t>
  </si>
  <si>
    <t>GDP per capita PPP (USD)</t>
  </si>
  <si>
    <t>Unemployment</t>
  </si>
  <si>
    <t>Inflation rate</t>
  </si>
  <si>
    <t>Interest Rate</t>
  </si>
  <si>
    <t>Foreign Exchange Reserves (USD Million)</t>
  </si>
  <si>
    <t>Balance Trade (USD Million)</t>
  </si>
  <si>
    <t>Exports (USD Million)</t>
  </si>
  <si>
    <t>Imports (USD Million)</t>
  </si>
  <si>
    <t>Balance Trade %</t>
  </si>
  <si>
    <t>Foreign Direct Investment (USD Million)</t>
  </si>
  <si>
    <t>Debt to GDP</t>
  </si>
  <si>
    <t>Business Confidence</t>
  </si>
  <si>
    <t>Consumer Confidence</t>
  </si>
  <si>
    <t>Economic Freedom</t>
  </si>
  <si>
    <t>Resumen</t>
  </si>
  <si>
    <t>Notas</t>
  </si>
  <si>
    <t>Fortalezas</t>
  </si>
  <si>
    <t>Debilidades</t>
  </si>
  <si>
    <t>Suiza</t>
  </si>
  <si>
    <t>EWL</t>
  </si>
  <si>
    <t>Irlanda</t>
  </si>
  <si>
    <t>EIRL</t>
  </si>
  <si>
    <t>Su crecimiento se ve volatil en los ultimos años, muy atractivo algunos años arriba del 10% otros pesimo incluso negativo pero 9.1% muy arriba del promedio de euro zona de 1.4%. Desempleo promedio, 77/100 de corrupcion , nivel sano</t>
  </si>
  <si>
    <t>Muchas firmas internacionales</t>
  </si>
  <si>
    <t>Poco que exportar de commodities, politica basada en atraccion de firmas extranjeras</t>
  </si>
  <si>
    <t>Taiwan</t>
  </si>
  <si>
    <t>Luxemburgo</t>
  </si>
  <si>
    <t>Suecia</t>
  </si>
  <si>
    <t>EWD</t>
  </si>
  <si>
    <t>Noruega</t>
  </si>
  <si>
    <t>ENOR</t>
  </si>
  <si>
    <t>Holanda</t>
  </si>
  <si>
    <t>EWN</t>
  </si>
  <si>
    <t>Buena libertad economica, altos estandares de vida, abundantes recursos naturales</t>
  </si>
  <si>
    <t>Sobre dependencia de China</t>
  </si>
  <si>
    <t>Crecimiento promedio de 1.9% annual en la ultima decada, economia desarrolladase espera un crecimiento un poco arriba del G7 promedio , trae un desempleo ligeramente arriba del historico , 75/100 de corrupcion, ha tenido mejores años, pero mejor que muchos paises emergentes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</si>
  <si>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minera, GPD ppp muy superior al promedio alto estandar de vida</t>
  </si>
  <si>
    <t>Rico en recursos naturales como petroleo, forestacion y mnieria. Fuerte presencia de servicios financieros y tecnologicos, Gobernanza limpia, arriba del promedio de Economic Freedom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</si>
  <si>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primas, trae un endeudamiento fuerte</t>
  </si>
  <si>
    <t>Alemania</t>
  </si>
  <si>
    <t>EWG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</si>
  <si>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</si>
  <si>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</si>
  <si>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</si>
  <si>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Emiratos Arabes</t>
  </si>
  <si>
    <t>UAE</t>
  </si>
  <si>
    <t>USA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</si>
  <si>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</si>
  <si>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sosteniado desde la pandemia, se ha despegado de otras potencias mundiales, dolar fortalecido</t>
  </si>
  <si>
    <t>Deficit comercial amplio, Deficit presupuestario dado al alto endeudamiento nacional</t>
  </si>
  <si>
    <t>Quatar</t>
  </si>
  <si>
    <t>QAT</t>
  </si>
  <si>
    <t>UK</t>
  </si>
  <si>
    <t>EWU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</si>
  <si>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</si>
  <si>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</si>
  <si>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</si>
  <si>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</si>
  <si>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Su economia se basa fuertemente en el sector manufacturero de la electronica, los vehiculos de motor y la robotica, orientada a la exportacion</t>
  </si>
  <si>
    <t>Al parecer, esta limitado su crecimineto a menos del 1% en los proximos años, Ha perdido relevancia desde los años 90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</si>
  <si>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</si>
  <si>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</si>
  <si>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Indonesia</t>
  </si>
  <si>
    <t>EIDO</t>
  </si>
  <si>
    <t>Su eonomia se basa en sus ricos recursos naturales, aunque el gobierno ha querido dejar de depender de esto y ahora insentiva inversion en infraestructura para procesos manufactoureros para mover la cadena de valor, expecteatiba de crecimiento notable arriba del promeido Asia-ex Japon hacia 2028. Su turismo se esta incrementando. SE PUEDE CONSIDERAR UNA PEQUEÑA PORCION DEL PORTFOLIO POR SU CRECIMIENTO SOSTENIDO Y POTENCIAL FUTURO</t>
  </si>
  <si>
    <t xml:space="preserve">Economia Emergente, trae una tasa de interes relativamente alta respecto a su inflacion, esta por debajo del promedio de econmomic freedom, deuda debajo del promedio, su corrupcion promedio </t>
  </si>
  <si>
    <t>Crecimineto sostenido del GDP promedio 5%, potencial de crecimineto si resuleve sus temas gubernamentales y carencias de economia emergente, tiene un buen balance trade arriba del promedio, deuda debajo del promedio, tiene mucha poblacion para mano de obra</t>
  </si>
  <si>
    <t>Corrupcion, pobreza, poco acceso a la educacion, infraestructura ineficiente. Tambien exposicion a clima extremo como huracanes, tormentas tropicales y tsunamis, trae un desempleo importante de 4.9%, la mano de obra no es cualificada</t>
  </si>
  <si>
    <t>España</t>
  </si>
  <si>
    <t>EWP</t>
  </si>
  <si>
    <t>Francia</t>
  </si>
  <si>
    <t>EWQ</t>
  </si>
  <si>
    <t>Crecimiento superior a Alemania e Italia, acercandose a la media de la Union Europea</t>
  </si>
  <si>
    <t>Economia diversificada, principales marcas de consumo discrecional , sector aeroespacial con Airbus, sectro agricola mas fuerte de la UE: lacteos, cereales y vino. Paris nuevo centro financiero de la UE desde el brexit</t>
  </si>
  <si>
    <t>Inestabilidad politica interna, deficit fiscal importante del estado, protestas publicas</t>
  </si>
  <si>
    <t>Hub manufacturero, economia emergente, no se espera un crecimineto en los siguientes años, simplemente seguir con un crecimiento promedio latinoamericano, debido a multiples retos, muy alta corrupcion respecto a otros paises con 26/100 y alta delincuencia, economicos. SU CRECIMIENTO SE PRONOSTICA ESTABLE PERO BAJO, Y MIENTRAS NO HAYA CAMBIO DE GOBIERNO, DIFICILMENTE LAS COSAS VAN A CAMBIAR.</t>
  </si>
  <si>
    <t>Su inversion extranjera directa se ve mermada comparada con otros paises, en 2023 se convirtió en el mayor partner de USA, su Economic Feedom Index esta por debajo del promedio</t>
  </si>
  <si>
    <t xml:space="preserve">Desempleo bajo historicamente, cercania con Estados Unidos, gran polacion empleable, la segunda economia en latinoamerica, cuarta en el continente,  </t>
  </si>
  <si>
    <t>Trae un crecimiento de pib decreciente desde pandemia, no termina de repuntar, sigue estando propenso a inflacion moderada alta, tasa de interes alta para los empresarios, subempleo, infraestructura tambaleante, violencia relacionada a las drogas, alta corrupcion</t>
  </si>
  <si>
    <t>Italia</t>
  </si>
  <si>
    <t>EWI</t>
  </si>
  <si>
    <t>Inestabilidad politica en ultimas decadas y sobreendeudamiento hacen preveer un crecimiento por debajo del 1% dentro de los siguientes años, futuro menguado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</si>
  <si>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</si>
  <si>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</si>
  <si>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</si>
  <si>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Tailandia</t>
  </si>
  <si>
    <t>THD</t>
  </si>
  <si>
    <t>Se. mantendrá en rapido crecimiento en los proximos años, aunqeu significativamente inferiorres al ritmo que crecia Chinacuando tenia un PIB per capita similar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</si>
  <si>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</si>
  <si>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</si>
  <si>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</si>
  <si>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</si>
  <si>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</si>
  <si>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Portafolio Patrimonial</t>
  </si>
  <si>
    <t>Nombre        (Empresa/Sector)</t>
  </si>
  <si>
    <t>Símbolo        (Ticker)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</si>
  <si>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</si>
  <si>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</si>
  <si>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</si>
  <si>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</si>
  <si>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</si>
  <si>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</si>
  <si>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</si>
  <si>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</si>
  <si>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</si>
  <si>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`</t>
  </si>
  <si>
    <t>Valor Total del Portafolio: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</si>
</sst>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_(&quot;$&quot;* #,##0.0000_);_(&quot;$&quot;* \(#,##0.0000\);_(&quot;$&quot;* &quot;-&quot;??_);_(@_)"/>
    <numFmt numFmtId="167" formatCode="0.0%"/>
    <numFmt numFmtId="168" formatCode="_(&quot;$&quot;* #,##0_);_(&quot;$&quot;* \(#,##0\);_(&quot;$&quot;* &quot;-&quot;??_);_(@_)"/>
    <numFmt numFmtId="169" formatCode="0.0"/>
    <numFmt numFmtId="170" formatCode="0.000"/>
    <numFmt numFmtId="171" formatCode="0.00000"/>
    <numFmt numFmtId="172" formatCode="0.0000000"/>
    <numFmt numFmtId="173" formatCode="_-[$$-80A]* #,##0.00_-;\-[$$-80A]* #,##0.00_-;_-[$$-80A]* &quot;-&quot;??_-;_-@_-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 vertical="center" wrapText="1"/>
    </xf>
    <xf numFmtId="10" fontId="6" fillId="6" borderId="6" xfId="0" applyNumberFormat="1" applyFont="1" applyFill="1" applyBorder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6" fillId="10" borderId="7" xfId="0" applyNumberFormat="1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6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164" fontId="1" fillId="9" borderId="10" xfId="0" applyNumberFormat="1" applyFont="1" applyFill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10" fontId="6" fillId="2" borderId="10" xfId="0" applyNumberFormat="1" applyFont="1" applyFill="1" applyBorder="1" applyAlignment="1">
      <alignment horizontal="center" vertical="center" wrapText="1"/>
    </xf>
    <xf numFmtId="10" fontId="6" fillId="6" borderId="11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8" fillId="12" borderId="0" xfId="0" applyFont="1" applyFill="1" applyAlignment="1">
      <alignment horizontal="left" vertical="center" wrapText="1"/>
    </xf>
    <xf numFmtId="44" fontId="0" fillId="0" borderId="0" xfId="1" applyFont="1"/>
    <xf numFmtId="165" fontId="0" fillId="0" borderId="0" xfId="0" applyNumberFormat="1"/>
    <xf numFmtId="166" fontId="0" fillId="0" borderId="0" xfId="1" applyNumberFormat="1" applyFont="1"/>
    <xf numFmtId="9" fontId="0" fillId="0" borderId="0" xfId="2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0" fontId="0" fillId="0" borderId="0" xfId="2" applyNumberFormat="1" applyFont="1"/>
    <xf numFmtId="167" fontId="7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7" fillId="0" borderId="0" xfId="2" applyNumberFormat="1" applyFont="1" applyAlignment="1">
      <alignment horizontal="center" vertical="center"/>
    </xf>
    <xf numFmtId="10" fontId="7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168" fontId="0" fillId="0" borderId="0" xfId="1" applyNumberFormat="1" applyFont="1" applyAlignment="1">
      <alignment horizontal="left" vertical="top"/>
    </xf>
    <xf numFmtId="168" fontId="7" fillId="0" borderId="0" xfId="1" applyNumberFormat="1" applyFont="1" applyAlignment="1">
      <alignment horizontal="center" vertical="center"/>
    </xf>
    <xf numFmtId="168" fontId="0" fillId="0" borderId="0" xfId="1" applyNumberFormat="1" applyFont="1"/>
    <xf numFmtId="168" fontId="7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7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7" fillId="0" borderId="0" xfId="1" applyFont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/>
    </xf>
    <xf numFmtId="168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169" fontId="0" fillId="0" borderId="0" xfId="2" applyNumberFormat="1" applyFont="1" applyAlignment="1">
      <alignment horizontal="left" vertical="top"/>
    </xf>
    <xf numFmtId="169" fontId="7" fillId="0" borderId="0" xfId="2" applyNumberFormat="1" applyFont="1" applyAlignment="1">
      <alignment horizontal="center" vertical="center" wrapText="1"/>
    </xf>
    <xf numFmtId="169" fontId="0" fillId="0" borderId="0" xfId="2" applyNumberFormat="1" applyFont="1"/>
    <xf numFmtId="172" fontId="0" fillId="0" borderId="0" xfId="2" applyNumberFormat="1" applyFont="1"/>
    <xf numFmtId="171" fontId="4" fillId="0" borderId="0" xfId="0" applyNumberFormat="1" applyFont="1" applyAlignment="1">
      <alignment horizontal="center" vertical="center" wrapText="1"/>
    </xf>
    <xf numFmtId="170" fontId="4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170" fontId="7" fillId="0" borderId="0" xfId="0" applyNumberFormat="1" applyFont="1" applyAlignment="1">
      <alignment horizontal="center" vertical="center" wrapText="1"/>
    </xf>
    <xf numFmtId="170" fontId="0" fillId="0" borderId="0" xfId="0" applyNumberFormat="1"/>
    <xf numFmtId="44" fontId="7" fillId="0" borderId="0" xfId="1" applyFont="1" applyAlignment="1">
      <alignment horizontal="left" vertical="top"/>
    </xf>
    <xf numFmtId="4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0" fontId="7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8" fontId="0" fillId="0" borderId="0" xfId="1" applyNumberFormat="1" applyFont="1" applyAlignment="1">
      <alignment vertical="center"/>
    </xf>
    <xf numFmtId="169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68" fontId="7" fillId="0" borderId="0" xfId="1" applyNumberFormat="1" applyFont="1"/>
    <xf numFmtId="44" fontId="0" fillId="0" borderId="0" xfId="0" applyNumberFormat="1"/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0" fontId="10" fillId="0" borderId="13" xfId="0" applyNumberFormat="1" applyFont="1" applyBorder="1" applyAlignment="1">
      <alignment horizontal="center"/>
    </xf>
    <xf numFmtId="44" fontId="10" fillId="0" borderId="13" xfId="0" applyNumberFormat="1" applyFont="1" applyBorder="1" applyAlignment="1">
      <alignment horizontal="center"/>
    </xf>
    <xf numFmtId="167" fontId="10" fillId="0" borderId="13" xfId="0" applyNumberFormat="1" applyFont="1" applyBorder="1" applyAlignment="1">
      <alignment horizontal="center"/>
    </xf>
    <xf numFmtId="168" fontId="10" fillId="0" borderId="13" xfId="0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168" fontId="4" fillId="0" borderId="0" xfId="0" applyNumberFormat="1" applyFont="1" applyAlignment="1">
      <alignment horizontal="center" vertical="center" wrapText="1"/>
    </xf>
    <xf numFmtId="168" fontId="10" fillId="0" borderId="13" xfId="0" applyNumberFormat="1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/>
    </xf>
    <xf numFmtId="9" fontId="10" fillId="0" borderId="13" xfId="0" applyNumberFormat="1" applyFont="1" applyBorder="1" applyAlignment="1">
      <alignment horizontal="center"/>
    </xf>
    <xf numFmtId="168" fontId="4" fillId="0" borderId="0" xfId="1" applyNumberFormat="1" applyFont="1" applyFill="1" applyAlignment="1">
      <alignment horizontal="center" vertical="center" wrapText="1"/>
    </xf>
    <xf numFmtId="10" fontId="0" fillId="0" borderId="0" xfId="2" applyNumberFormat="1" applyFont="1" applyFill="1" applyAlignment="1">
      <alignment horizontal="center" vertical="center"/>
    </xf>
    <xf numFmtId="44" fontId="7" fillId="0" borderId="0" xfId="1" applyFont="1" applyFill="1" applyAlignment="1">
      <alignment horizontal="center" vertical="center"/>
    </xf>
    <xf numFmtId="167" fontId="0" fillId="0" borderId="0" xfId="2" applyNumberFormat="1" applyFont="1" applyFill="1" applyAlignment="1">
      <alignment horizontal="center" vertical="center"/>
    </xf>
    <xf numFmtId="10" fontId="7" fillId="0" borderId="0" xfId="2" applyNumberFormat="1" applyFont="1" applyFill="1" applyAlignment="1">
      <alignment horizontal="center" vertical="center"/>
    </xf>
    <xf numFmtId="168" fontId="7" fillId="0" borderId="0" xfId="1" applyNumberFormat="1" applyFont="1" applyFill="1" applyAlignment="1">
      <alignment horizontal="center" vertical="center"/>
    </xf>
    <xf numFmtId="9" fontId="7" fillId="0" borderId="0" xfId="2" applyFont="1" applyFill="1" applyAlignment="1">
      <alignment horizontal="center" vertical="center"/>
    </xf>
    <xf numFmtId="169" fontId="7" fillId="0" borderId="0" xfId="2" applyNumberFormat="1" applyFont="1" applyFill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8" fontId="0" fillId="0" borderId="0" xfId="1" applyNumberFormat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69" fontId="0" fillId="0" borderId="0" xfId="2" applyNumberFormat="1" applyFont="1" applyFill="1" applyAlignment="1">
      <alignment horizontal="center" vertical="center"/>
    </xf>
    <xf numFmtId="0" fontId="0" fillId="13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10" fontId="1" fillId="7" borderId="4" xfId="0" applyNumberFormat="1" applyFont="1" applyFill="1" applyBorder="1" applyAlignment="1">
      <alignment horizontal="center" vertical="center" wrapText="1"/>
    </xf>
    <xf numFmtId="44" fontId="1" fillId="9" borderId="10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10" fontId="6" fillId="2" borderId="1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0" fontId="1" fillId="2" borderId="0" xfId="2" applyNumberFormat="1" applyFont="1" applyFill="1" applyAlignment="1">
      <alignment horizontal="center" vertical="center" wrapText="1"/>
    </xf>
    <xf numFmtId="10" fontId="1" fillId="9" borderId="6" xfId="2" applyNumberFormat="1" applyFont="1" applyFill="1" applyBorder="1" applyAlignment="1">
      <alignment horizontal="center" vertical="center" wrapText="1"/>
    </xf>
    <xf numFmtId="10" fontId="1" fillId="9" borderId="10" xfId="2" applyNumberFormat="1" applyFont="1" applyFill="1" applyBorder="1" applyAlignment="1">
      <alignment horizontal="center" vertical="center" wrapText="1"/>
    </xf>
    <xf numFmtId="10" fontId="4" fillId="0" borderId="0" xfId="2" applyNumberFormat="1" applyFont="1" applyAlignment="1">
      <alignment horizontal="center" vertical="center" wrapText="1"/>
    </xf>
    <xf numFmtId="10" fontId="1" fillId="7" borderId="8" xfId="2" applyNumberFormat="1" applyFont="1" applyFill="1" applyBorder="1" applyAlignment="1">
      <alignment horizontal="center" vertical="center" wrapText="1"/>
    </xf>
    <xf numFmtId="10" fontId="1" fillId="9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horizontal="right" vertical="center" wrapText="1"/>
    </xf>
    <xf numFmtId="173" fontId="0" fillId="0" borderId="0" xfId="0" applyNumberFormat="1"/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73" fontId="1" fillId="6" borderId="2" xfId="0" applyNumberFormat="1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10" fontId="1" fillId="7" borderId="3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vertical="center" wrapText="1"/>
    </xf>
    <xf numFmtId="0" fontId="0" fillId="0" borderId="0" xfId="0"/>
    <xf numFmtId="0" fontId="3" fillId="0" borderId="7" xfId="0" applyFont="1" applyBorder="1"/>
    <xf numFmtId="164" fontId="6" fillId="6" borderId="1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1" fillId="6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0" fontId="1" fillId="11" borderId="1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11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numFmt numFmtId="167" formatCode="0.0%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0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  <extLst>
        <x:ext xmlns:xlrvr="http://schemas.microsoft.com/office/spreadsheetml/2020/richvaluerefresh" uri="{6D21E516-79A1-49C6-A8DF-7D825B72F6C7}">
          <xlrvr:refreshIntervals>
            <xlrvr:refreshInterval resourceIdInt="268435456" interval="-1"/>
          </xlrvr:refreshIntervals>
        </x:ext>
      </extLst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5">
  <rv s="0">
    <v>es-ES</v>
    <v>avyqcw</v>
    <v>268435456</v>
    <v>1</v>
    <v>Con tecnología de Refinitiv</v>
    <v>0</v>
    <v>1</v>
    <v>USD/MXN</v>
    <v>3</v>
    <v>4</v>
    <v>Finance</v>
    <v>5</v>
    <v>19.411000000000001</v>
    <v>-0.1865</v>
    <v>-9.6080000000000002E-3</v>
    <v>19.411000000000001</v>
    <v>USD</v>
    <v>45810.776412037034</v>
    <v>19.439699999999998</v>
    <v>21.2882</v>
    <v>19.197600000000001</v>
    <v>16.628299999999999</v>
    <v>MXN</v>
    <v>US Dollar/Mexican Peso FX Spot Rate</v>
    <v>19.224499999999999</v>
    <v>USDMXN</v>
    <v>Par de divisa</v>
    <v>USD/MXN</v>
  </rv>
  <rv s="1">
    <v>0</v>
  </rv>
  <rv s="2">
    <v>https://www.bing.com/financeapi/forcetrigger?t=a23ebh&amp;q=ARCX%3aSPLG&amp;form=skydnc</v>
    <v>Learn more on Bing</v>
  </rv>
  <rv s="3">
    <v>es-ES</v>
    <v>a23ebh</v>
    <v>268435456</v>
    <v>1</v>
    <v>Con tecnología de Refinitiv</v>
    <v>6</v>
    <v>7</v>
    <v>SPDR Ptf S&amp;P 500 (ARCX:SPLG)</v>
    <v>8</v>
    <v>9</v>
    <v>Finance</v>
    <v>10</v>
    <v>ARCX</v>
    <v>69.150000000000006</v>
    <v>0.99950000000000006</v>
    <v>0.23499999999999999</v>
    <v>3.3900000000000002E-3</v>
    <v>67522819728.129997</v>
    <v>69.33</v>
    <v>45810.776396585155</v>
    <v>2.0000000000000001E-4</v>
    <v>NYSE Arca</v>
    <v>2</v>
    <v>69.599999999999994</v>
    <v>72.14</v>
    <v>68.83</v>
    <v>56.669899999999998</v>
    <v>USD</v>
    <v>SPDR Ptf S&amp;P 500</v>
    <v>69.564999999999998</v>
    <v>SPLG</v>
    <v>ETF</v>
    <v>SPDR Ptf S&amp;P 500 (ARCX:SPLG)</v>
    <v>6364493</v>
    <v>7625942</v>
  </rv>
  <rv s="1">
    <v>3</v>
  </rv>
  <rv s="2">
    <v>https://www.bing.com/financeapi/forcetrigger?t=a1sezr&amp;q=ARCX%3aEWC&amp;form=skydnc</v>
    <v>Learn more on Bing</v>
  </rv>
  <rv s="3">
    <v>es-ES</v>
    <v>a1sezr</v>
    <v>268435456</v>
    <v>1</v>
    <v>Con tecnología de Refinitiv</v>
    <v>6</v>
    <v>7</v>
    <v>iShares:MSCI Canada (ARCX:EWC)</v>
    <v>8</v>
    <v>9</v>
    <v>Finance</v>
    <v>10</v>
    <v>ARCX</v>
    <v>45.07</v>
    <v>1.0922000000000001</v>
    <v>0.3</v>
    <v>6.6730000000000001E-3</v>
    <v>2776364288.52</v>
    <v>44.96</v>
    <v>45810.776349316409</v>
    <v>5.0000000000000001E-3</v>
    <v>NYSE Arca</v>
    <v>5</v>
    <v>45.265000000000001</v>
    <v>45.265000000000001</v>
    <v>44.954999999999998</v>
    <v>35.74</v>
    <v>USD</v>
    <v>iShares:MSCI Canada</v>
    <v>45.26</v>
    <v>EWC</v>
    <v>ETF</v>
    <v>iShares:MSCI Canada (ARCX:EWC)</v>
    <v>1920146</v>
    <v>1879348</v>
  </rv>
  <rv s="1">
    <v>6</v>
  </rv>
  <rv s="2">
    <v>https://www.bing.com/financeapi/forcetrigger?t=ald627&amp;q=XMEX%3aNAFTRACISHRS&amp;form=skydnc</v>
    <v>Learn more on Bing</v>
  </rv>
  <rv s="4">
    <v>es-ES</v>
    <v>ald627</v>
    <v>268435456</v>
    <v>1</v>
    <v>Con tecnología de Refinitiv</v>
    <v>11</v>
    <v>12</v>
    <v>iShares NAFTRAC (XMEX:NAFTRACISHRS)</v>
    <v>8</v>
    <v>13</v>
    <v>Finance</v>
    <v>14</v>
    <v>XMEX</v>
    <v>58.7</v>
    <v>0.99019999999999997</v>
    <v>0.01</v>
    <v>1.719E-4</v>
    <v>84126874695.539993</v>
    <v>58.19</v>
    <v>45810.762511574074</v>
    <v>2.5000000000000001E-3</v>
    <v>Mexican Stock Exchange</v>
    <v>8</v>
    <v>58.7</v>
    <v>60.28</v>
    <v>57.88</v>
    <v>48.75</v>
    <v>MXN</v>
    <v>iShares NAFTRAC</v>
    <v>58.2</v>
    <v>NAFTRACISHRS</v>
    <v>ETF</v>
    <v>iShares NAFTRAC (XMEX:NAFTRACISHRS)</v>
    <v>1672408</v>
  </rv>
  <rv s="1">
    <v>9</v>
  </rv>
  <rv s="2">
    <v>https://www.bing.com/financeapi/forcetrigger?t=a1sh52&amp;q=ARCX%3aEWZ&amp;form=skydnc</v>
    <v>Learn more on Bing</v>
  </rv>
  <rv s="3">
    <v>es-ES</v>
    <v>a1sh52</v>
    <v>268435456</v>
    <v>1</v>
    <v>Con tecnología de Refinitiv</v>
    <v>6</v>
    <v>7</v>
    <v>iShares:MSCI Brazil (ARCX:EWZ)</v>
    <v>8</v>
    <v>9</v>
    <v>Finance</v>
    <v>10</v>
    <v>ARCX</v>
    <v>27.51</v>
    <v>1.0984</v>
    <v>5.0000000000000001E-3</v>
    <v>1.838E-4</v>
    <v>3660975834.3699999</v>
    <v>27.21</v>
    <v>45810.776423310155</v>
    <v>5.8999999999999999E-3</v>
    <v>NYSE Arca</v>
    <v>11</v>
    <v>27.52</v>
    <v>31.14</v>
    <v>27.105</v>
    <v>22.26</v>
    <v>USD</v>
    <v>iShares:MSCI Brazil</v>
    <v>27.215</v>
    <v>EWZ</v>
    <v>ETF</v>
    <v>iShares:MSCI Brazil (ARCX:EWZ)</v>
    <v>14926584</v>
    <v>23572478</v>
  </rv>
  <rv s="1">
    <v>12</v>
  </rv>
  <rv s="2">
    <v>https://www.bing.com/financeapi/forcetrigger?t=a25azr&amp;q=ARCX%3aVGK&amp;form=skydnc</v>
    <v>Learn more on Bing</v>
  </rv>
  <rv s="3">
    <v>es-ES</v>
    <v>a25azr</v>
    <v>268435456</v>
    <v>1</v>
    <v>Con tecnología de Refinitiv</v>
    <v>6</v>
    <v>7</v>
    <v>Vanguard Euro S;ETF (ARCX:VGK)</v>
    <v>8</v>
    <v>9</v>
    <v>Finance</v>
    <v>10</v>
    <v>ARCX</v>
    <v>76.805000000000007</v>
    <v>1.0620000000000001</v>
    <v>0.52910000000000001</v>
    <v>6.8929999999999998E-3</v>
    <v>23353955793</v>
    <v>76.760000000000005</v>
    <v>45810.776410428123</v>
    <v>5.9999999999999995E-4</v>
    <v>NYSE Arca</v>
    <v>14</v>
    <v>77.335800000000006</v>
    <v>77.335800000000006</v>
    <v>76.55</v>
    <v>62.02</v>
    <v>USD</v>
    <v>Vanguard Euro S;ETF</v>
    <v>77.289100000000005</v>
    <v>VGK</v>
    <v>ETF</v>
    <v>Vanguard Euro S;ETF (ARCX:VGK)</v>
    <v>4858035</v>
    <v>3684048</v>
  </rv>
  <rv s="1">
    <v>15</v>
  </rv>
  <rv s="2">
    <v>https://www.bing.com/financeapi/forcetrigger?t=a1sfkr&amp;q=ARCX%3aEWJ&amp;form=skydnc</v>
    <v>Learn more on Bing</v>
  </rv>
  <rv s="3">
    <v>es-ES</v>
    <v>a1sfkr</v>
    <v>268435456</v>
    <v>1</v>
    <v>Con tecnología de Refinitiv</v>
    <v>6</v>
    <v>7</v>
    <v>iShares:MSCI Japan (ARCX:EWJ)</v>
    <v>8</v>
    <v>9</v>
    <v>Finance</v>
    <v>10</v>
    <v>ARCX</v>
    <v>74.42</v>
    <v>1.0087999999999999</v>
    <v>0.66459999999999997</v>
    <v>8.967000000000001E-3</v>
    <v>15050817140.9</v>
    <v>74.12</v>
    <v>45810.77638226797</v>
    <v>5.0000000000000001E-3</v>
    <v>NYSE Arca</v>
    <v>17</v>
    <v>74.814999999999998</v>
    <v>74.974999999999994</v>
    <v>74.14</v>
    <v>59.84</v>
    <v>USD</v>
    <v>iShares:MSCI Japan</v>
    <v>74.784599999999998</v>
    <v>EWJ</v>
    <v>ETF</v>
    <v>iShares:MSCI Japan (ARCX:EWJ)</v>
    <v>5271678</v>
    <v>4586458</v>
  </rv>
  <rv s="1">
    <v>18</v>
  </rv>
  <rv s="2">
    <v>https://www.bing.com/financeapi/forcetrigger?t=a1xdsm&amp;q=XNAS%3aMCHI&amp;form=skydnc</v>
    <v>Learn more on Bing</v>
  </rv>
  <rv s="3">
    <v>es-ES</v>
    <v>a1xdsm</v>
    <v>268435456</v>
    <v>1</v>
    <v>Con tecnología de Refinitiv</v>
    <v>6</v>
    <v>7</v>
    <v>iShares:MSCI China (XNAS:MCHI)</v>
    <v>8</v>
    <v>9</v>
    <v>Finance</v>
    <v>10</v>
    <v>XNAS</v>
    <v>53.15</v>
    <v>1.212</v>
    <v>0.4</v>
    <v>7.5729999999999999E-3</v>
    <v>5514965703.2700005</v>
    <v>52.82</v>
    <v>45810.776369895313</v>
    <v>5.8999999999999999E-3</v>
    <v>Nasdaq Stock Market</v>
    <v>20</v>
    <v>53.257100000000001</v>
    <v>59.784999999999997</v>
    <v>52.865000000000002</v>
    <v>39.950000000000003</v>
    <v>USD</v>
    <v>iShares:MSCI China</v>
    <v>53.22</v>
    <v>MCHI</v>
    <v>ETF</v>
    <v>iShares:MSCI China (XNAS:MCHI)</v>
    <v>3291277</v>
    <v>2266166</v>
  </rv>
  <rv s="1">
    <v>21</v>
  </rv>
  <rv s="2">
    <v>https://www.bing.com/financeapi/forcetrigger?t=a1sh27&amp;q=ARCX%3aEWY&amp;form=skydnc</v>
    <v>Learn more on Bing</v>
  </rv>
  <rv s="3">
    <v>es-ES</v>
    <v>a1sh27</v>
    <v>268435456</v>
    <v>1</v>
    <v>Con tecnología de Refinitiv</v>
    <v>6</v>
    <v>7</v>
    <v>iShares:MSCI S Korea (ARCX:EWY)</v>
    <v>8</v>
    <v>9</v>
    <v>Finance</v>
    <v>10</v>
    <v>ARCX</v>
    <v>61.3</v>
    <v>1.4984999999999999</v>
    <v>0.9</v>
    <v>1.4844E-2</v>
    <v>3223414265.9200001</v>
    <v>60.63</v>
    <v>45810.77624491875</v>
    <v>5.8999999999999999E-3</v>
    <v>NYSE Arca</v>
    <v>23</v>
    <v>61.57</v>
    <v>69.515000000000001</v>
    <v>61.134999999999998</v>
    <v>48.49</v>
    <v>USD</v>
    <v>iShares:MSCI S Korea</v>
    <v>61.53</v>
    <v>EWY</v>
    <v>ETF</v>
    <v>iShares:MSCI S Korea (ARCX:EWY)</v>
    <v>2186487</v>
    <v>3082106</v>
  </rv>
  <rv s="1">
    <v>24</v>
  </rv>
  <rv s="2">
    <v>https://www.bing.com/financeapi/forcetrigger?t=a1vjec&amp;q=BATS%3aINDA&amp;form=skydnc</v>
    <v>Learn more on Bing</v>
  </rv>
  <rv s="3">
    <v>es-ES</v>
    <v>a1vjec</v>
    <v>268435456</v>
    <v>1</v>
    <v>Con tecnología de Refinitiv</v>
    <v>6</v>
    <v>7</v>
    <v>iShares:MSCI India (BATS:INDA)</v>
    <v>8</v>
    <v>9</v>
    <v>Finance</v>
    <v>10</v>
    <v>BATS</v>
    <v>54.32</v>
    <v>0.82950000000000002</v>
    <v>0.13500000000000001</v>
    <v>2.4859999999999999E-3</v>
    <v>9093673626.5799999</v>
    <v>54.31</v>
    <v>45810.776346099221</v>
    <v>6.1999999999999998E-3</v>
    <v>CBOE BZX Exchange</v>
    <v>26</v>
    <v>54.46</v>
    <v>59.49</v>
    <v>54.265000000000001</v>
    <v>47.594999999999999</v>
    <v>USD</v>
    <v>iShares:MSCI India</v>
    <v>54.445</v>
    <v>INDA</v>
    <v>ETF</v>
    <v>iShares:MSCI India (BATS:INDA)</v>
    <v>4226839</v>
    <v>7403217</v>
  </rv>
  <rv s="1">
    <v>27</v>
  </rv>
  <rv s="2">
    <v>https://www.bing.com/financeapi/forcetrigger?t=a1seu2&amp;q=ARCX%3aEWA&amp;form=skydnc</v>
    <v>Learn more on Bing</v>
  </rv>
  <rv s="3">
    <v>es-ES</v>
    <v>a1seu2</v>
    <v>268435456</v>
    <v>1</v>
    <v>Con tecnología de Refinitiv</v>
    <v>6</v>
    <v>7</v>
    <v>iShares:MSCI Australia (ARCX:EWA)</v>
    <v>8</v>
    <v>9</v>
    <v>Finance</v>
    <v>10</v>
    <v>ARCX</v>
    <v>25.94</v>
    <v>1.2069000000000001</v>
    <v>0.24</v>
    <v>9.299E-3</v>
    <v>1532362737.45</v>
    <v>25.81</v>
    <v>45810.775914594531</v>
    <v>5.0000000000000001E-3</v>
    <v>NYSE Arca</v>
    <v>29</v>
    <v>26.076799999999999</v>
    <v>27.23</v>
    <v>25.85</v>
    <v>20.504999999999999</v>
    <v>USD</v>
    <v>iShares:MSCI Australia</v>
    <v>26.05</v>
    <v>EWA</v>
    <v>ETF</v>
    <v>iShares:MSCI Australia (ARCX:EWA)</v>
    <v>1282820</v>
    <v>1365859</v>
  </rv>
  <rv s="1">
    <v>30</v>
  </rv>
  <rv s="2">
    <v>https://www.bing.com/financeapi/forcetrigger?t=a1sgec&amp;q=ARCX%3aEWS&amp;form=skydnc</v>
    <v>Learn more on Bing</v>
  </rv>
  <rv s="3">
    <v>es-ES</v>
    <v>a1sgec</v>
    <v>268435456</v>
    <v>1</v>
    <v>Con tecnología de Refinitiv</v>
    <v>6</v>
    <v>7</v>
    <v>iShares:MSCI Singapore (ARCX:EWS)</v>
    <v>8</v>
    <v>9</v>
    <v>Finance</v>
    <v>10</v>
    <v>ARCX</v>
    <v>25.88</v>
    <v>0.82230000000000003</v>
    <v>0.1971</v>
    <v>7.6570000000000006E-3</v>
    <v>725250502.74000001</v>
    <v>25.74</v>
    <v>45810.775801203126</v>
    <v>5.0000000000000001E-3</v>
    <v>NYSE Arca</v>
    <v>32</v>
    <v>25.94</v>
    <v>26.14</v>
    <v>25.725000000000001</v>
    <v>18.239999999999998</v>
    <v>USD</v>
    <v>iShares:MSCI Singapore</v>
    <v>25.937100000000001</v>
    <v>EWS</v>
    <v>ETF</v>
    <v>iShares:MSCI Singapore (ARCX:EWS)</v>
    <v>342539</v>
    <v>562535</v>
  </rv>
  <rv s="1">
    <v>33</v>
  </rv>
</rvData>
</file>

<file path=xl/richData/rdrichvaluestructure.xml><?xml version="1.0" encoding="utf-8"?>
<rvStructures xmlns="http://schemas.microsoft.com/office/spreadsheetml/2017/richdata" count="5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  <k n="Volumen promedio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</s>
</rvStructures>
</file>

<file path=xl/richData/rdsupportingpropertybag.xml><?xml version="1.0" encoding="utf-8"?>
<supportingPropertyBags xmlns="http://schemas.microsoft.com/office/spreadsheetml/2017/richdata2">
  <spbArrays count="3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  <a count="35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  <a count="34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</spbArrays>
  <spbData count="15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  <spb s="6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Volume average</v>
      <v>Expense ratio</v>
      <v>Instrument type</v>
      <v>52 week high</v>
      <v>52 week low</v>
      <v>Market cap</v>
      <v>Exchange abbreviation</v>
      <v>Last trade time</v>
    </spb>
    <spb s="7">
      <v>1</v>
      <v>Name</v>
      <v>LearnMoreOnLink</v>
    </spb>
    <spb s="8">
      <v>2</v>
      <v>2</v>
      <v>2</v>
    </spb>
    <spb s="9">
      <v>6</v>
      <v>7</v>
      <v>7</v>
      <v>7</v>
      <v>2</v>
      <v>7</v>
      <v>8</v>
      <v>7</v>
      <v>3</v>
      <v>7</v>
      <v>8</v>
      <v>4</v>
      <v>3</v>
      <v>7</v>
      <v>7</v>
      <v>9</v>
      <v>5</v>
    </spb>
    <spb s="10">
      <v xml:space="preserve">desde el cierre anterior </v>
      <v>Tiempo real Nasdaq Última venta</v>
      <v xml:space="preserve">desde el cierre anterior </v>
      <v>Origen: Nasdaq Última venta</v>
      <v>GMT</v>
    </spb>
    <spb s="11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Expense ratio</v>
      <v>Instrument type</v>
      <v>52 week high</v>
      <v>52 week low</v>
      <v>Market cap</v>
      <v>Exchange abbreviation</v>
      <v>Last trade time</v>
    </spb>
    <spb s="7">
      <v>2</v>
      <v>Name</v>
      <v>LearnMoreOnLink</v>
    </spb>
    <spb s="12">
      <v>6</v>
      <v>1</v>
      <v>1</v>
      <v>1</v>
      <v>2</v>
      <v>1</v>
      <v>8</v>
      <v>1</v>
      <v>3</v>
      <v>1</v>
      <v>4</v>
      <v>3</v>
      <v>1</v>
      <v>1</v>
      <v>10</v>
      <v>5</v>
    </spb>
    <spb s="13">
      <v xml:space="preserve">desde el cierre anterior </v>
      <v>Retrasado 20 minutos</v>
      <v xml:space="preserve">desde el cierre anterior </v>
      <v>GMT</v>
    </spb>
  </spbData>
</supportingPropertyBags>
</file>

<file path=xl/richData/rdsupportingpropertybagstructure.xml><?xml version="1.0" encoding="utf-8"?>
<spbStructures xmlns="http://schemas.microsoft.com/office/spreadsheetml/2017/richdata2" count="14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Volumen promedio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^Order" t="spba"/>
    <k n="TitleProperty" t="s"/>
    <k n="SubTitleProperty" t="s"/>
  </s>
  <s>
    <k n="UniqueName" t="spb"/>
    <k n="`%ProviderInfo" t="spb"/>
    <k n="LearnMoreOnLink" t="spb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Volumen promedio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Precio" t="s"/>
    <k n="Cambio (%)" t="s"/>
    <k n="Intercambio" t="s"/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Precio" t="s"/>
    <k n="Cambio (%)" t="s"/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0" formatCode="General"/>
    </x:dxf>
    <x:dxf>
      <x:numFmt numFmtId="2" formatCode="0.00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0">
      <rpv i="0">_-[$$-es-MX]* #,##0.00_-;-[$$-es-MX]* #,##0.00_-;_-[$$-es-MX]* "-"??_-;_-@_-</rpv>
    </rSty>
    <rSty>
      <rpv i="1">1</rpv>
    </rSty>
    <rSty dxfid="3"/>
    <rSty dxfid="1">
      <rpv i="0">0.00</rpv>
    </rSty>
    <rSty dxfid="2"/>
    <rSty dxfid="5">
      <rpv i="0">#,##0.00</rpv>
    </rSty>
    <rSty dxfid="0">
      <rpv i="0">_([$$-en-US]* #,##0.00_);_([$$-en-US]* (#,##0.00);_([$$-en-US]* "-"??_);_(@_)</rpv>
    </rSty>
    <rSty dxfid="4">
      <rpv i="0">#,##0</rpv>
    </rSty>
    <rSty dxfid="0">
      <rpv i="0">_([$$-en-US]* #,##0_);_([$$-en-US]* (#,##0);_([$$-en-US]* "-"_);_(@_)</rpv>
    </rSty>
    <rSty dxfid="0">
      <rpv i="0">_-[$$-es-MX]* #,##0_-;-[$$-es-MX]* #,##0_-;_-[$$-es-MX]* "-"_-;_-@_-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PPR" displayName="PortafolioPPR" ref="A5:K9" totalsRowCount="1" dataDxfId="115" headerRowBorderDxfId="113" tableBorderDxfId="114" totalsRowBorderDxfId="112">
  <autoFilter ref="A5:K8" xr:uid="{B2E7D05C-1BEA-AD47-92E6-C3CB2B09A194}"/>
  <tableColumns count="11">
    <tableColumn id="1" xr3:uid="{99DAF86F-C0B2-F643-BB81-F37D6D1A1F3A}" name="Number" totalsRowLabel="Total" dataDxfId="110" totalsRowDxfId="111"/>
    <tableColumn id="2" xr3:uid="{17B66D0B-5207-2442-A00C-88E6E2BF7FB9}" name="Name" dataDxfId="108" totalsRowDxfId="109"/>
    <tableColumn id="3" xr3:uid="{18487A8A-6987-A140-B232-8DA643C88388}" name="Ticker" dataDxfId="106" totalsRowDxfId="107"/>
    <tableColumn id="4" xr3:uid="{C07234CC-369B-A84C-B926-494D7F3A1500}" name="Shares" dataDxfId="104" totalsRowDxfId="105"/>
    <tableColumn id="5" xr3:uid="{C2DEBF3E-5FD1-074F-BC1D-E38A6F812833}" name="Average Unit Cost" dataDxfId="102" totalsRowDxfId="103">
      <calculatedColumnFormula>PortafolioPPR[[#This Row],[Purchased Value]]/PortafolioPPR[[#This Row],[Shares]]</calculatedColumnFormula>
    </tableColumn>
    <tableColumn id="6" xr3:uid="{90B66C6B-6407-F246-B90D-371FDC2687D5}" name="Current Unit Cost" dataDxfId="100" totalsRowDxfId="101"/>
    <tableColumn id="7" xr3:uid="{EDC496C8-679D-E84E-971B-07C9627E4D21}" name="Purchased Value" totalsRowFunction="sum" dataDxfId="98" totalsRowDxfId="99">
      <calculatedColumnFormula>IF(F6="","",D6*E6)</calculatedColumnFormula>
    </tableColumn>
    <tableColumn id="8" xr3:uid="{49E4EDC3-92B8-484D-899D-3A7EE78101C7}" name="Market Value" totalsRowFunction="sum" dataDxfId="96" totalsRowDxfId="97">
      <calculatedColumnFormula>PortafolioPPR[[#This Row],[Shares]] * PortafolioPPR[[#This Row],[Current Unit Cost]]</calculatedColumnFormula>
    </tableColumn>
    <tableColumn id="9" xr3:uid="{ED672FAF-FB04-6447-9237-AD5941085916}" name="Balance" totalsRowFunction="sum" dataDxfId="94" totalsRowDxfId="95">
      <calculatedColumnFormula>IFERROR(PortafolioPPR[[#This Row],[Market Value]] - PortafolioPPR[[#This Row],[Purchased Value]], 0)</calculatedColumnFormula>
    </tableColumn>
    <tableColumn id="10" xr3:uid="{8165854C-9CCA-BA41-A40E-4E7596341DB4}" name="Balance %" totalsRowFunction="custom" dataDxfId="92" totalsRowDxfId="93">
      <calculatedColumnFormula>IFERROR(PortafolioPPR[[#This Row],[Market Value]] / PortafolioPPR[[#This Row],[Purchased Value]] - 1, 0)</calculatedColumnFormula>
      <totalsRowFormula>IFERROR((PortafolioPPR[[#Totals],[Market Value]]/PortafolioPPR[[#Totals],[Purchased Value]]) - 1, 0)</totalsRowFormula>
    </tableColumn>
    <tableColumn id="12" xr3:uid="{C10D9C99-F7CF-E546-A3AC-2ADB182840DD}" name="Weight %" totalsRowFunction="sum" dataDxfId="90" totalsRowDxfId="91">
      <calculatedColumnFormula>PortafolioPPR[[#This Row],[Purchased Value]]/PortafolioPPR[[#Totals],[Purchased Value]]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" displayName="PortafolioIndizado" ref="A5:S17" totalsRowCount="1" dataDxfId="89" headerRowBorderDxfId="87" tableBorderDxfId="88" totalsRowBorderDxfId="86">
  <autoFilter ref="A5:S16" xr:uid="{B2E7D05C-1BEA-AD47-92E6-C3CB2B09A194}"/>
  <tableColumns count="19">
    <tableColumn id="1" xr3:uid="{C8814CEB-E8F7-8D41-A31B-1BD2ACD64E50}" name="Number" totalsRowLabel="Total" dataDxfId="84" totalsRowDxfId="85"/>
    <tableColumn id="2" xr3:uid="{8A548F2D-B426-FF41-B7E0-DACBC870F5AF}" name="Name" dataDxfId="82" totalsRowDxfId="83"/>
    <tableColumn id="15" xr3:uid="{9EA4DFE6-5C8B-41DD-A78A-053B1D908B74}" name="Ticker" dataDxfId="80" totalsRowDxfId="81"/>
    <tableColumn id="3" xr3:uid="{1D152614-BF6B-B348-8EB1-A629331F7174}" name="Ticker Full Name" dataDxfId="78" totalsRowDxfId="79"/>
    <tableColumn id="4" xr3:uid="{B4514CB4-1F57-7E48-9ECA-00A1D59DA77D}" name="Shares" dataDxfId="76" totalsRowDxfId="77"/>
    <tableColumn id="13" xr3:uid="{95A02056-0B94-4609-A625-F7770326BC42}" name="To Buy" totalsRowFunction="custom" dataDxfId="74" totalsRowDxfId="75">
      <totalsRowFormula>SUMPRODUCT(PortafolioIndizado[To Buy], PortafolioIndizado[Current Unit Cost])</totalsRowFormula>
    </tableColumn>
    <tableColumn id="5" xr3:uid="{5CAFE9C1-EC03-EF41-84CF-7A1483B7FC7B}" name="Average Unit Cost" dataDxfId="72" totalsRowDxfId="73"/>
    <tableColumn id="16" xr3:uid="{77EA14E4-E933-4F87-AC85-A3746FC0E6EF}" name="Potential Average Unit Cost" dataDxfId="70" totalsRowDxfId="71">
      <calculatedColumnFormula>IFERROR( (PortafolioIndizado[[#This Row],[Purchased Value]] + PortafolioIndizado[[#This Row],[Current Unit Cost]] * PortafolioIndizado[[#This Row],[To Buy]])/(PortafolioIndizado[[#This Row],[Shares]] + PortafolioIndizado[[#This Row],[To Buy]]), 0)</calculatedColumnFormula>
    </tableColumn>
    <tableColumn id="17" xr3:uid="{98485EAF-9705-4CC3-9D66-902ACF95FC7C}" name="Current Unit Cost (Original)" dataDxfId="68" totalsRowDxfId="69">
      <calculatedColumnFormula array="1">_FV(PortafolioIndizado[[#This Row],[Ticker Full Name]],"Precio")</calculatedColumnFormula>
    </tableColumn>
    <tableColumn id="6" xr3:uid="{AFEC35C0-656A-A142-90AA-D56911A0FCDB}" name="Current Unit Cost" dataDxfId="66" totalsRowDxfId="67">
      <calculatedColumnFormula>PortafolioIndizado[[#This Row],[Current Unit Cost (Original)]]*TipoCambio</calculatedColumnFormula>
    </tableColumn>
    <tableColumn id="18" xr3:uid="{31B39A5D-F014-4624-B7E4-E06C60B3B9FA}" name="Unit Cost Diff %" dataDxfId="64" totalsRowDxfId="65">
      <calculatedColumnFormula>IFERROR((PortafolioIndizado[[#This Row],[Current Unit Cost]] - PortafolioIndizado[[#This Row],[Average Unit Cost]]) / PortafolioIndizado[[#This Row],[Average Unit Cost]],0)</calculatedColumnFormula>
    </tableColumn>
    <tableColumn id="7" xr3:uid="{6DF47CB1-8739-9741-9F2B-0D4DE4421709}" name="Purchased Value" totalsRowFunction="sum" dataDxfId="62" totalsRowDxfId="63">
      <calculatedColumnFormula>IF(J6="","",E6*G6)</calculatedColumnFormula>
    </tableColumn>
    <tableColumn id="19" xr3:uid="{08802D8C-8CD4-45A5-A3D6-7C3F9C756B11}" name="Potential Purchased Value" totalsRowFunction="sum" dataDxfId="60" totalsRowDxfId="61">
      <calculatedColumnFormula>PortafolioIndizado[[#This Row],[To Buy]] * PortafolioIndizado[[#This Row],[Current Unit Cost]] + PortafolioIndizado[[#This Row],[Purchased Value]]</calculatedColumnFormula>
    </tableColumn>
    <tableColumn id="8" xr3:uid="{95763DD0-3A2D-EC41-B582-A0E84F6F2332}" name="Market Value" totalsRowFunction="sum" dataDxfId="58" totalsRowDxfId="59">
      <calculatedColumnFormula>PortafolioIndizado[[#This Row],[Shares]] * PortafolioIndizado[[#This Row],[Current Unit Cost]]</calculatedColumnFormula>
    </tableColumn>
    <tableColumn id="9" xr3:uid="{2E419918-A923-5544-BD89-029B3EE46672}" name="Balance" totalsRowFunction="sum" dataDxfId="56" totalsRowDxfId="57">
      <calculatedColumnFormula>IFERROR(PortafolioIndizado[[#This Row],[Market Value]] - PortafolioIndizado[[#This Row],[Purchased Value]], 0)</calculatedColumnFormula>
    </tableColumn>
    <tableColumn id="10" xr3:uid="{F409479A-F869-1F40-A6F4-F5C82C49A70B}" name="Balance %" totalsRowFunction="average" dataDxfId="54" totalsRowDxfId="55">
      <calculatedColumnFormula>IFERROR(PortafolioIndizado[[#This Row],[Market Value]] / PortafolioIndizado[[#This Row],[Purchased Value]] - 1, 0)</calculatedColumnFormula>
    </tableColumn>
    <tableColumn id="11" xr3:uid="{A5067A91-D2CD-754E-8C53-1D48AC940F6F}" name="Current Weight %" totalsRowFunction="sum" dataDxfId="52" totalsRowDxfId="53">
      <calculatedColumnFormula>IFERROR(PortafolioIndizado[[#This Row],[Purchased Value]] / PortafolioIndizado[[#Totals],[Purchased Value]], "")</calculatedColumnFormula>
    </tableColumn>
    <tableColumn id="14" xr3:uid="{8132387D-6065-4754-A3AB-B1175D69BCB4}" name="Potential Weight %" dataDxfId="50" totalsRowDxfId="51">
      <calculatedColumnFormula>IFERROR(PortafolioIndizado[[#This Row],[Potential Purchased Value]] / PortafolioIndizado[[#Totals],[Potential Purchased Value]], "")</calculatedColumnFormula>
    </tableColumn>
    <tableColumn id="12" xr3:uid="{C39CA399-11BC-2941-8D40-27C203C6B766}" name="Target Weight %" totalsRowFunction="sum" dataDxfId="48" totalsRowDxfId="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3:W30" totalsRowCount="1" headerRowDxfId="47" totalsRowDxfId="46">
  <autoFilter ref="A3:W29" xr:uid="{BD21888E-CC61-F646-8044-B791D97D4489}"/>
  <sortState xmlns:xlrd2="http://schemas.microsoft.com/office/spreadsheetml/2017/richdata2" ref="A4:W29">
    <sortCondition descending="1" ref="S3:S29"/>
  </sortState>
  <tableColumns count="23">
    <tableColumn id="1" xr3:uid="{739ADA7C-3F6F-2841-8A11-F9A07B970711}" name="Pais/Region" totalsRowLabel="Averages" dataDxfId="44" totalsRowDxfId="45"/>
    <tableColumn id="12" xr3:uid="{2CA46C66-DB6F-C347-81A5-19A179DA5045}" name="Instrumento" dataDxfId="42" totalsRowDxfId="43"/>
    <tableColumn id="25" xr3:uid="{13A658C2-8560-0D44-9968-C5967AE34276}" name="Currency (to USD)" dataDxfId="40" totalsRowDxfId="41"/>
    <tableColumn id="15" xr3:uid="{EAA46AA9-AB63-574B-890E-FBEE90ED6E6A}" name="GDP (USD billion)" totalsRowFunction="average" dataDxfId="38" totalsRowDxfId="39"/>
    <tableColumn id="3" xr3:uid="{E2D7B28C-9F29-564F-A34A-0DAB2984AECE}" name="Full Year GDP  Growth" totalsRowFunction="average" dataDxfId="36" totalsRowDxfId="37"/>
    <tableColumn id="27" xr3:uid="{CBA2B5C0-7883-804C-9DC5-47656F70CC0F}" name="GDP per capita PPP (USD)" totalsRowFunction="average" dataDxfId="34" totalsRowDxfId="35"/>
    <tableColumn id="11" xr3:uid="{F0B52934-F4F9-F24C-AB5F-0BCE31FDF3A5}" name="Unemployment" totalsRowFunction="average" dataDxfId="32" totalsRowDxfId="33"/>
    <tableColumn id="4" xr3:uid="{E56F852F-2693-394D-BAF8-77F7FC359DD2}" name="Inflation rate" totalsRowFunction="average" dataDxfId="30" totalsRowDxfId="31"/>
    <tableColumn id="18" xr3:uid="{67C307D8-D24B-B846-92E5-33B81E122F97}" name="Interest Rate" totalsRowFunction="average" dataDxfId="28" totalsRowDxfId="29"/>
    <tableColumn id="19" xr3:uid="{A6D02B5D-41AB-DB4C-9D4F-435149E0F881}" name="Foreign Exchange Reserves (USD Million)" totalsRowFunction="average" dataDxfId="26" totalsRowDxfId="27"/>
    <tableColumn id="24" xr3:uid="{BEF03C62-542E-864B-8B55-8F6899B168DB}" name="Balance Trade (USD Million)" totalsRowFunction="average" dataDxfId="24" totalsRowDxfId="25"/>
    <tableColumn id="30" xr3:uid="{3F99F235-4249-2D4E-82AE-570C90BBA2D2}" name="Exports (USD Million)" dataDxfId="22" totalsRowDxfId="23"/>
    <tableColumn id="31" xr3:uid="{7FEE0F96-FA6B-2047-9BCE-FF793DA3330A}" name="Imports (USD Million)" dataDxfId="20" totalsRowDxfId="21"/>
    <tableColumn id="29" xr3:uid="{1E8DD1B2-05A9-D94E-B831-B24FAA229BF7}" name="Balance Trade %" totalsRowFunction="average" dataDxfId="18" totalsRowDxfId="19">
      <calculatedColumnFormula>IFERROR(  (Table2[[#This Row],[Exports (USD Million)]] / Table2[[#This Row],[Imports (USD Million)]] ) - 1,  0)</calculatedColumnFormula>
    </tableColumn>
    <tableColumn id="26" xr3:uid="{4C55EA2A-7719-B347-8371-488048970D31}" name="Foreign Direct Investment (USD Million)" totalsRowFunction="average" dataDxfId="16" totalsRowDxfId="17"/>
    <tableColumn id="14" xr3:uid="{8A51E0B4-0C14-3849-A979-EBA0F153CCC7}" name="Debt to GDP" totalsRowFunction="average" dataDxfId="14" totalsRowDxfId="15"/>
    <tableColumn id="16" xr3:uid="{59E689EF-08B8-DA4A-9221-59F6B80F9B50}" name="Business Confidence" dataDxfId="12" totalsRowDxfId="13"/>
    <tableColumn id="17" xr3:uid="{A642E396-4E1F-894B-A0CD-42C1052B1C45}" name="Consumer Confidence" dataDxfId="10" totalsRowDxfId="11"/>
    <tableColumn id="7" xr3:uid="{622F34A1-A765-014C-9BC0-655F28BF1634}" name="Economic Freedom" totalsRowFunction="average" dataDxfId="8" totalsRowDxfId="9"/>
    <tableColumn id="13" xr3:uid="{128CEF61-4F83-534A-9ECC-9DE8E21D3429}" name="Resumen" dataDxfId="6" totalsRowDxfId="7"/>
    <tableColumn id="8" xr3:uid="{D45E3999-1ECD-3345-AAA3-EB533122E44D}" name="Notas" dataDxfId="4" totalsRowDxfId="5"/>
    <tableColumn id="9" xr3:uid="{C802BDFB-BF6E-9049-B799-422F5F90A600}" name="Fortalezas" dataDxfId="2" totalsRowDxfId="3"/>
    <tableColumn id="10" xr3:uid="{44D49588-6919-4049-B764-44C08A706E60}" name="Debilidades" totalsRowFunction="count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Y967"/>
  <sheetViews>
    <sheetView zoomScale="150" zoomScaleNormal="150" workbookViewId="0">
      <selection activeCell="H18" sqref="H18"/>
    </sheetView>
  </sheetViews>
  <sheetFormatPr defaultColWidth="12.7109375" defaultRowHeight="15" customHeight="1"/>
  <cols>
    <col min="1" max="1" width="9.28515625" customWidth="1"/>
    <col min="2" max="2" width="24.85546875" customWidth="1"/>
    <col min="3" max="3" width="11.140625" customWidth="1"/>
    <col min="4" max="4" width="11.85546875" customWidth="1"/>
    <col min="5" max="5" width="11.42578125" customWidth="1"/>
    <col min="6" max="6" width="8.42578125" customWidth="1"/>
    <col min="7" max="7" width="16.140625" customWidth="1"/>
    <col min="8" max="8" width="17.7109375" customWidth="1"/>
    <col min="9" max="9" width="18.28515625" customWidth="1"/>
    <col min="10" max="10" width="18.85546875" customWidth="1"/>
    <col min="11" max="11" width="15.140625" customWidth="1"/>
    <col min="12" max="25" width="12.42578125" customWidth="1"/>
  </cols>
  <sheetData>
    <row r="1" spans="1:25" ht="1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39" customHeight="1">
      <c r="A2" s="144"/>
      <c r="B2" s="145"/>
      <c r="C2" s="145"/>
      <c r="D2" s="146" t="s">
        <v>0</v>
      </c>
      <c r="E2" s="147"/>
      <c r="F2" s="147"/>
      <c r="G2" s="147"/>
      <c r="H2" s="147"/>
      <c r="I2" s="148"/>
      <c r="J2" s="149" t="s">
        <v>1</v>
      </c>
      <c r="K2" s="14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>
      <c r="A3" s="150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153" t="s">
        <v>3</v>
      </c>
      <c r="B4" s="147"/>
      <c r="C4" s="147"/>
      <c r="D4" s="147"/>
      <c r="E4" s="147"/>
      <c r="F4" s="147"/>
      <c r="G4" s="147"/>
      <c r="H4" s="147"/>
      <c r="I4" s="147"/>
      <c r="J4" s="147"/>
      <c r="K4" s="14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46.5" customHeight="1">
      <c r="A5" s="24" t="s">
        <v>4</v>
      </c>
      <c r="B5" s="36" t="s">
        <v>5</v>
      </c>
      <c r="C5" s="24" t="s">
        <v>6</v>
      </c>
      <c r="D5" s="24" t="s">
        <v>7</v>
      </c>
      <c r="E5" s="24" t="s">
        <v>8</v>
      </c>
      <c r="F5" s="25" t="s">
        <v>9</v>
      </c>
      <c r="G5" s="26" t="s">
        <v>10</v>
      </c>
      <c r="H5" s="26" t="s">
        <v>11</v>
      </c>
      <c r="I5" s="26" t="s">
        <v>12</v>
      </c>
      <c r="J5" s="24" t="s">
        <v>13</v>
      </c>
      <c r="K5" s="121" t="s">
        <v>14</v>
      </c>
      <c r="L5" s="3"/>
      <c r="M5" s="141"/>
      <c r="N5" s="141"/>
      <c r="O5" s="141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15">
      <c r="A6" s="22">
        <v>1</v>
      </c>
      <c r="B6" s="20" t="s">
        <v>15</v>
      </c>
      <c r="C6" s="7" t="s">
        <v>16</v>
      </c>
      <c r="D6" s="8">
        <f>NasdaqInicialUnidades+NasdaqComprometidoUnidades</f>
        <v>400.96080000000001</v>
      </c>
      <c r="E6" s="9">
        <f>PortafolioPPR[[#This Row],[Purchased Value]]/PortafolioPPR[[#This Row],[Shares]]</f>
        <v>129.82615756951802</v>
      </c>
      <c r="F6" s="9">
        <f>NasdaqComprometidoValorUnitario</f>
        <v>148.21180000000001</v>
      </c>
      <c r="G6" s="10">
        <f>AportacionesAcumuladas*NasdaqPonderacion</f>
        <v>52055.200000000004</v>
      </c>
      <c r="H6" s="10">
        <f>ValorNasdaqInicial + ValorNasdaqComprometido</f>
        <v>59427.121897440011</v>
      </c>
      <c r="I6" s="10">
        <f>IFERROR(PortafolioPPR[[#This Row],[Market Value]] - PortafolioPPR[[#This Row],[Purchased Value]], 0)</f>
        <v>7371.9218974400064</v>
      </c>
      <c r="J6" s="11">
        <f>IFERROR(PortafolioPPR[[#This Row],[Market Value]] / PortafolioPPR[[#This Row],[Purchased Value]] - 1, 0)</f>
        <v>0.14161739648373284</v>
      </c>
      <c r="K6" s="23">
        <f>PortafolioPPR[[#This Row],[Purchased Value]]/PortafolioPPR[[#Totals],[Purchased Value]]</f>
        <v>0.19999999999999998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.15">
      <c r="A7" s="22">
        <f>A6 + 1</f>
        <v>2</v>
      </c>
      <c r="B7" s="20" t="s">
        <v>17</v>
      </c>
      <c r="C7" s="7" t="s">
        <v>18</v>
      </c>
      <c r="D7" s="8">
        <f>DDInicialUnidades+DDComprometidoUnidades</f>
        <v>472.42289999999997</v>
      </c>
      <c r="E7" s="9">
        <f>PortafolioPPR[[#This Row],[Purchased Value]]/PortafolioPPR[[#This Row],[Shares]]</f>
        <v>440.75086114580819</v>
      </c>
      <c r="F7" s="9">
        <f>DDComprometidoValorUnitario</f>
        <v>513.56970000000001</v>
      </c>
      <c r="G7" s="10">
        <f>AportacionesAcumuladas*DDPonderacion</f>
        <v>208220.80000000002</v>
      </c>
      <c r="H7" s="10">
        <f>ValorDDInicial + ValorDDComprometido</f>
        <v>242622.08702613</v>
      </c>
      <c r="I7" s="10">
        <f>IFERROR(PortafolioPPR[[#This Row],[Market Value]] - PortafolioPPR[[#This Row],[Purchased Value]], 0)</f>
        <v>34401.287026129983</v>
      </c>
      <c r="J7" s="11">
        <f>IFERROR(PortafolioPPR[[#This Row],[Market Value]] / PortafolioPPR[[#This Row],[Purchased Value]] - 1, 0)</f>
        <v>0.16521542048695403</v>
      </c>
      <c r="K7" s="23">
        <f>PortafolioPPR[[#This Row],[Purchased Value]]/PortafolioPPR[[#Totals],[Purchased Value]]</f>
        <v>0.79999999999999993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27">
        <v>3</v>
      </c>
      <c r="B8" s="28" t="s">
        <v>19</v>
      </c>
      <c r="C8" s="29" t="s">
        <v>20</v>
      </c>
      <c r="D8" s="30">
        <f>UnidadesBono</f>
        <v>514.6386</v>
      </c>
      <c r="E8" s="31"/>
      <c r="F8" s="31">
        <f>ValorUnitarioBono</f>
        <v>224.72</v>
      </c>
      <c r="G8" s="32">
        <f>IF(F8="","",D8*E8)</f>
        <v>0</v>
      </c>
      <c r="H8" s="32"/>
      <c r="I8" s="32">
        <f>IFERROR(PortafolioPPR[[#This Row],[Market Value]] - PortafolioPPR[[#This Row],[Purchased Value]], 0)</f>
        <v>0</v>
      </c>
      <c r="J8" s="33">
        <f>IFERROR(PortafolioPPR[[#This Row],[Market Value]] / PortafolioPPR[[#This Row],[Purchased Value]] - 1, 0)</f>
        <v>0</v>
      </c>
      <c r="K8" s="14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27" t="s">
        <v>21</v>
      </c>
      <c r="B9" s="28"/>
      <c r="C9" s="29"/>
      <c r="D9" s="30"/>
      <c r="E9" s="30"/>
      <c r="F9" s="30"/>
      <c r="G9" s="32">
        <f>SUBTOTAL(109,PortafolioPPR[Purchased Value])</f>
        <v>260276.00000000003</v>
      </c>
      <c r="H9" s="32">
        <f>SUBTOTAL(109,PortafolioPPR[Market Value])</f>
        <v>302049.20892357</v>
      </c>
      <c r="I9" s="32">
        <f>SUBTOTAL(109,PortafolioPPR[Balance])</f>
        <v>41773.20892356999</v>
      </c>
      <c r="J9" s="33">
        <f>IFERROR((PortafolioPPR[[#Totals],[Market Value]]/PortafolioPPR[[#Totals],[Purchased Value]]) - 1, 0)</f>
        <v>0.16049581568630988</v>
      </c>
      <c r="K9" s="35">
        <f>SUBTOTAL(109,PortafolioPPR[Weight %])</f>
        <v>0.99999999999999989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119"/>
      <c r="B11" s="120"/>
      <c r="C11" s="141"/>
      <c r="D11" s="141"/>
      <c r="E11" s="141"/>
      <c r="F11" s="141"/>
      <c r="G11" s="141"/>
      <c r="H11" s="141"/>
      <c r="I11" s="141"/>
      <c r="J11" s="14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3"/>
      <c r="B12" s="141"/>
      <c r="C12" s="141"/>
      <c r="D12" s="120"/>
      <c r="E12" s="141"/>
      <c r="F12" s="141"/>
      <c r="G12" s="141"/>
      <c r="H12" s="141"/>
      <c r="I12" s="141"/>
      <c r="J12" s="14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3"/>
      <c r="B13" s="141"/>
      <c r="C13" s="141"/>
      <c r="D13" s="141"/>
      <c r="E13" s="141"/>
      <c r="F13" s="141"/>
      <c r="G13" s="141"/>
      <c r="H13" s="141"/>
      <c r="I13" s="141"/>
      <c r="J13" s="14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3"/>
      <c r="B14" s="141"/>
      <c r="C14" s="141"/>
      <c r="D14" s="141"/>
      <c r="E14" s="141"/>
      <c r="F14" s="141"/>
      <c r="G14" s="141"/>
      <c r="H14" s="141"/>
      <c r="I14" s="141"/>
      <c r="J14" s="14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3"/>
      <c r="B15" s="141"/>
      <c r="C15" s="141"/>
      <c r="D15" s="141"/>
      <c r="E15" s="141"/>
      <c r="F15" s="141"/>
      <c r="G15" s="141"/>
      <c r="H15" s="141"/>
      <c r="I15" s="141"/>
      <c r="J15" s="14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3"/>
      <c r="B16" s="141"/>
      <c r="C16" s="141"/>
      <c r="D16" s="141"/>
      <c r="E16" s="141"/>
      <c r="F16" s="141"/>
      <c r="G16" s="141"/>
      <c r="H16" s="141"/>
      <c r="I16" s="141"/>
      <c r="J16" s="14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3"/>
      <c r="B17" s="141"/>
      <c r="C17" s="141"/>
      <c r="D17" s="141"/>
      <c r="E17" s="141"/>
      <c r="F17" s="141"/>
      <c r="G17" s="141"/>
      <c r="H17" s="141"/>
      <c r="I17" s="141"/>
      <c r="J17" s="14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3"/>
      <c r="B18" s="141"/>
      <c r="C18" s="141"/>
      <c r="D18" s="141"/>
      <c r="E18" s="141"/>
      <c r="F18" s="141"/>
      <c r="G18" s="141"/>
      <c r="H18" s="141"/>
      <c r="I18" s="141"/>
      <c r="J18" s="14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3"/>
      <c r="B19" s="141"/>
      <c r="C19" s="141"/>
      <c r="D19" s="141"/>
      <c r="E19" s="141"/>
      <c r="F19" s="141"/>
      <c r="G19" s="141"/>
      <c r="H19" s="141"/>
      <c r="I19" s="141"/>
      <c r="J19" s="14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3"/>
      <c r="B20" s="3"/>
      <c r="C20" s="3"/>
      <c r="D20" s="141"/>
      <c r="E20" s="141"/>
      <c r="F20" s="141"/>
      <c r="G20" s="141"/>
      <c r="H20" s="141"/>
      <c r="I20" s="141"/>
      <c r="J20" s="14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3"/>
      <c r="B21" s="3"/>
      <c r="C21" s="3"/>
      <c r="D21" s="141"/>
      <c r="E21" s="14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3"/>
      <c r="B22" s="3"/>
      <c r="C22" s="3"/>
      <c r="D22" s="141"/>
      <c r="E22" s="14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3"/>
      <c r="B23" s="3"/>
      <c r="C23" s="3"/>
      <c r="D23" s="141"/>
      <c r="E23" s="14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3"/>
      <c r="B24" s="3"/>
      <c r="C24" s="3"/>
      <c r="D24" s="141"/>
      <c r="E24" s="14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3"/>
      <c r="B25" s="3"/>
      <c r="C25" s="3"/>
      <c r="D25" s="141"/>
      <c r="E25" s="14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3"/>
      <c r="B26" s="3"/>
      <c r="C26" s="3"/>
      <c r="D26" s="141"/>
      <c r="E26" s="14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3"/>
      <c r="B27" s="3"/>
      <c r="C27" s="3"/>
      <c r="D27" s="141"/>
      <c r="E27" s="14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3"/>
      <c r="B28" s="3"/>
      <c r="C28" s="3"/>
      <c r="D28" s="141"/>
      <c r="E28" s="14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3"/>
      <c r="B29" s="3"/>
      <c r="C29" s="3"/>
      <c r="D29" s="141"/>
      <c r="E29" s="14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3"/>
      <c r="B30" s="3"/>
      <c r="C30" s="3"/>
      <c r="D30" s="141"/>
      <c r="E30" s="14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3"/>
      <c r="B31" s="3"/>
      <c r="C31" s="3"/>
      <c r="D31" s="141"/>
      <c r="E31" s="14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3"/>
      <c r="B32" s="3"/>
      <c r="C32" s="3"/>
      <c r="D32" s="141"/>
      <c r="E32" s="14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3"/>
      <c r="B33" s="3"/>
      <c r="C33" s="3"/>
      <c r="D33" s="141"/>
      <c r="E33" s="14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141"/>
      <c r="M962" s="141"/>
      <c r="N962" s="141"/>
      <c r="O962" s="141"/>
      <c r="P962" s="141"/>
      <c r="Q962" s="141"/>
      <c r="R962" s="141"/>
      <c r="S962" s="141"/>
      <c r="T962" s="141"/>
      <c r="U962" s="141"/>
      <c r="V962" s="141"/>
      <c r="W962" s="141"/>
      <c r="X962" s="141"/>
      <c r="Y962" s="141"/>
    </row>
    <row r="963" spans="1:25" ht="1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141"/>
      <c r="M963" s="141"/>
      <c r="N963" s="141"/>
      <c r="O963" s="141"/>
      <c r="P963" s="141"/>
      <c r="Q963" s="141"/>
      <c r="R963" s="141"/>
      <c r="S963" s="141"/>
      <c r="T963" s="141"/>
      <c r="U963" s="141"/>
      <c r="V963" s="141"/>
      <c r="W963" s="141"/>
      <c r="X963" s="141"/>
      <c r="Y963" s="141"/>
    </row>
    <row r="964" spans="1:25" ht="1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141"/>
      <c r="M964" s="141"/>
      <c r="N964" s="141"/>
      <c r="O964" s="141"/>
      <c r="P964" s="141"/>
      <c r="Q964" s="141"/>
      <c r="R964" s="141"/>
      <c r="S964" s="141"/>
      <c r="T964" s="141"/>
      <c r="U964" s="141"/>
      <c r="V964" s="141"/>
      <c r="W964" s="141"/>
      <c r="X964" s="141"/>
      <c r="Y964" s="141"/>
    </row>
    <row r="965" spans="1:25" ht="1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141"/>
      <c r="M965" s="141"/>
      <c r="N965" s="141"/>
      <c r="O965" s="141"/>
      <c r="P965" s="141"/>
      <c r="Q965" s="141"/>
      <c r="R965" s="141"/>
      <c r="S965" s="141"/>
      <c r="T965" s="141"/>
      <c r="U965" s="141"/>
      <c r="V965" s="141"/>
      <c r="W965" s="141"/>
      <c r="X965" s="141"/>
      <c r="Y965" s="141"/>
    </row>
    <row r="966" spans="1:25" ht="1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141"/>
      <c r="M966" s="141"/>
      <c r="N966" s="141"/>
      <c r="O966" s="141"/>
      <c r="P966" s="141"/>
      <c r="Q966" s="141"/>
      <c r="R966" s="141"/>
      <c r="S966" s="141"/>
      <c r="T966" s="141"/>
      <c r="U966" s="141"/>
      <c r="V966" s="141"/>
      <c r="W966" s="141"/>
      <c r="X966" s="141"/>
      <c r="Y966" s="141"/>
    </row>
    <row r="967" spans="1:25" ht="1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141"/>
      <c r="M967" s="141"/>
      <c r="N967" s="141"/>
      <c r="O967" s="141"/>
      <c r="P967" s="141"/>
      <c r="Q967" s="141"/>
      <c r="R967" s="141"/>
      <c r="S967" s="141"/>
      <c r="T967" s="141"/>
      <c r="U967" s="141"/>
      <c r="V967" s="141"/>
      <c r="W967" s="141"/>
      <c r="X967" s="141"/>
      <c r="Y967" s="141"/>
    </row>
  </sheetData>
  <mergeCells count="5">
    <mergeCell ref="A2:C2"/>
    <mergeCell ref="D2:I2"/>
    <mergeCell ref="J2:K2"/>
    <mergeCell ref="A3:K3"/>
    <mergeCell ref="A4:K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6"/>
  <sheetViews>
    <sheetView zoomScale="200" zoomScaleNormal="200" workbookViewId="0">
      <selection activeCell="C9" sqref="C9"/>
    </sheetView>
  </sheetViews>
  <sheetFormatPr defaultColWidth="10.7109375" defaultRowHeight="12.75"/>
  <cols>
    <col min="1" max="1" width="33.7109375" customWidth="1"/>
    <col min="2" max="2" width="17.28515625" customWidth="1"/>
    <col min="3" max="4" width="12.140625" bestFit="1" customWidth="1"/>
  </cols>
  <sheetData>
    <row r="1" spans="1:5">
      <c r="A1" s="38" t="s">
        <v>22</v>
      </c>
      <c r="B1" s="133" t="s">
        <v>23</v>
      </c>
      <c r="C1" s="37"/>
      <c r="D1" s="21"/>
      <c r="E1" s="21"/>
    </row>
    <row r="2" spans="1:5">
      <c r="A2" s="38" t="s">
        <v>24</v>
      </c>
      <c r="B2" s="39">
        <v>260276</v>
      </c>
      <c r="C2" s="141"/>
      <c r="D2" s="141"/>
      <c r="E2" s="141"/>
    </row>
    <row r="3" spans="1:5">
      <c r="A3" s="21"/>
      <c r="B3" s="141"/>
      <c r="C3" s="141"/>
      <c r="D3" s="141"/>
      <c r="E3" s="141"/>
    </row>
    <row r="4" spans="1:5" ht="25.5">
      <c r="A4" s="38" t="s">
        <v>25</v>
      </c>
      <c r="B4" s="38" t="s">
        <v>26</v>
      </c>
      <c r="C4" s="38" t="s">
        <v>27</v>
      </c>
      <c r="D4" s="38" t="s">
        <v>28</v>
      </c>
      <c r="E4" s="38" t="s">
        <v>29</v>
      </c>
    </row>
    <row r="5" spans="1:5">
      <c r="A5" s="21" t="s">
        <v>30</v>
      </c>
      <c r="B5" s="40">
        <v>281.97140000000002</v>
      </c>
      <c r="C5" s="41">
        <v>148.21180000000001</v>
      </c>
      <c r="D5" s="39">
        <f>B5*C5</f>
        <v>41791.488742520007</v>
      </c>
      <c r="E5" s="42"/>
    </row>
    <row r="6" spans="1:5">
      <c r="A6" s="21" t="s">
        <v>31</v>
      </c>
      <c r="B6" s="40">
        <v>118.9894</v>
      </c>
      <c r="C6" s="41">
        <f>NasdaqInicialValorUnitario</f>
        <v>148.21180000000001</v>
      </c>
      <c r="D6" s="39">
        <f t="shared" ref="D6:D9" si="0">B6*C6</f>
        <v>17635.63315492</v>
      </c>
      <c r="E6" s="42">
        <v>0.2</v>
      </c>
    </row>
    <row r="7" spans="1:5">
      <c r="A7" s="21" t="s">
        <v>32</v>
      </c>
      <c r="B7" s="40">
        <v>333.94619999999998</v>
      </c>
      <c r="C7" s="41">
        <v>513.56970000000001</v>
      </c>
      <c r="D7" s="39">
        <f t="shared" si="0"/>
        <v>171504.64975014</v>
      </c>
      <c r="E7" s="42"/>
    </row>
    <row r="8" spans="1:5">
      <c r="A8" s="21" t="s">
        <v>33</v>
      </c>
      <c r="B8" s="40">
        <v>138.47669999999999</v>
      </c>
      <c r="C8" s="41">
        <f>DDInicialValorUnitario</f>
        <v>513.56970000000001</v>
      </c>
      <c r="D8" s="39">
        <f t="shared" si="0"/>
        <v>71117.43727599</v>
      </c>
      <c r="E8" s="42">
        <v>0.8</v>
      </c>
    </row>
    <row r="9" spans="1:5">
      <c r="A9" s="21" t="s">
        <v>34</v>
      </c>
      <c r="B9" s="40">
        <v>514.6386</v>
      </c>
      <c r="C9" s="41">
        <v>224.72</v>
      </c>
      <c r="D9" s="39">
        <f t="shared" si="0"/>
        <v>115649.586192</v>
      </c>
      <c r="E9" s="141"/>
    </row>
    <row r="10" spans="1:5">
      <c r="A10" s="21" t="s">
        <v>35</v>
      </c>
      <c r="B10" s="141"/>
      <c r="C10" s="141"/>
      <c r="D10" s="91">
        <f>SUM(D5:D8)</f>
        <v>302049.20892357</v>
      </c>
      <c r="E10" s="141"/>
    </row>
    <row r="11" spans="1:5">
      <c r="A11" s="21" t="s">
        <v>36</v>
      </c>
      <c r="B11" s="141"/>
      <c r="C11" s="141"/>
      <c r="D11" s="91">
        <f>D9+D10</f>
        <v>417698.79511557001</v>
      </c>
      <c r="E11" s="141"/>
    </row>
    <row r="15" spans="1:5">
      <c r="A15" s="141"/>
      <c r="B15" s="21" t="s">
        <v>37</v>
      </c>
      <c r="C15" s="91">
        <f>D7+D5</f>
        <v>213296.13849266001</v>
      </c>
      <c r="D15" s="141"/>
      <c r="E15" s="141"/>
    </row>
    <row r="16" spans="1:5">
      <c r="A16" s="141"/>
      <c r="B16" s="21" t="s">
        <v>38</v>
      </c>
      <c r="C16" s="91">
        <f>ValorNasdaqComprometido+ValorDDComprometido</f>
        <v>88753.070430909997</v>
      </c>
      <c r="D16" s="141"/>
      <c r="E16" s="141"/>
    </row>
    <row r="17" spans="1:6">
      <c r="A17" s="21"/>
      <c r="B17" s="21" t="s">
        <v>39</v>
      </c>
      <c r="C17" s="91">
        <f>C15*0.009</f>
        <v>1919.66524643394</v>
      </c>
      <c r="D17" s="141"/>
      <c r="E17" s="141"/>
      <c r="F17" s="141"/>
    </row>
    <row r="18" spans="1:6">
      <c r="A18" s="141"/>
      <c r="B18" s="21" t="s">
        <v>40</v>
      </c>
      <c r="C18" s="91">
        <f>C15*0.001</f>
        <v>213.29613849266002</v>
      </c>
      <c r="D18" s="141"/>
      <c r="E18" s="141"/>
      <c r="F18" s="141"/>
    </row>
    <row r="19" spans="1:6">
      <c r="A19" s="141"/>
      <c r="B19" s="21" t="s">
        <v>41</v>
      </c>
      <c r="C19" s="39">
        <v>10254</v>
      </c>
      <c r="D19" s="141"/>
      <c r="E19" s="141"/>
      <c r="F19" s="141"/>
    </row>
    <row r="20" spans="1:6">
      <c r="A20" s="141"/>
      <c r="B20" s="21"/>
      <c r="C20" s="91"/>
      <c r="D20" s="141"/>
      <c r="E20" s="141"/>
      <c r="F20" s="141"/>
    </row>
    <row r="22" spans="1:6">
      <c r="A22" s="141"/>
      <c r="B22" s="21"/>
      <c r="C22" s="141"/>
      <c r="D22" s="141"/>
      <c r="E22" s="141"/>
      <c r="F22" s="141"/>
    </row>
    <row r="23" spans="1:6">
      <c r="A23" s="141"/>
      <c r="B23" s="141"/>
      <c r="C23" s="141"/>
      <c r="D23" s="141"/>
      <c r="E23" s="21" t="s">
        <v>42</v>
      </c>
      <c r="F23" s="141">
        <v>10254</v>
      </c>
    </row>
    <row r="24" spans="1:6">
      <c r="A24" s="141"/>
      <c r="B24" s="141"/>
      <c r="C24" s="141"/>
      <c r="D24" s="141"/>
      <c r="E24" s="21" t="s">
        <v>43</v>
      </c>
      <c r="F24" s="141">
        <v>24000</v>
      </c>
    </row>
    <row r="25" spans="1:6">
      <c r="A25" s="141"/>
      <c r="B25" s="141"/>
      <c r="C25" s="141"/>
      <c r="D25" s="141"/>
      <c r="E25" s="21" t="s">
        <v>44</v>
      </c>
      <c r="F25" s="141">
        <v>20407</v>
      </c>
    </row>
    <row r="26" spans="1:6">
      <c r="A26" s="141"/>
      <c r="B26" s="141"/>
      <c r="C26" s="141"/>
      <c r="D26" s="141"/>
      <c r="E26" s="21" t="s">
        <v>45</v>
      </c>
      <c r="F26" s="141">
        <v>15000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E977"/>
  <sheetViews>
    <sheetView tabSelected="1" topLeftCell="A5" zoomScale="150" zoomScaleNormal="150" workbookViewId="0">
      <pane xSplit="4" topLeftCell="E7" activePane="topRight" state="frozen"/>
      <selection pane="topRight" activeCell="G8" sqref="G8"/>
    </sheetView>
  </sheetViews>
  <sheetFormatPr defaultColWidth="12.7109375" defaultRowHeight="15" customHeight="1"/>
  <cols>
    <col min="1" max="1" width="5.7109375" customWidth="1"/>
    <col min="2" max="3" width="13" customWidth="1"/>
    <col min="4" max="4" width="11.140625" customWidth="1"/>
    <col min="5" max="5" width="7.28515625" customWidth="1"/>
    <col min="6" max="6" width="11.42578125" bestFit="1" customWidth="1"/>
    <col min="7" max="7" width="15.85546875" customWidth="1"/>
    <col min="8" max="9" width="9.85546875" customWidth="1"/>
    <col min="10" max="10" width="15.140625" customWidth="1"/>
    <col min="11" max="11" width="15.140625" style="48" customWidth="1"/>
    <col min="12" max="13" width="17.7109375" customWidth="1"/>
    <col min="14" max="14" width="18.28515625" customWidth="1"/>
    <col min="15" max="15" width="18.85546875" customWidth="1"/>
    <col min="16" max="16" width="14.85546875" customWidth="1"/>
    <col min="17" max="18" width="15.140625" customWidth="1"/>
    <col min="19" max="31" width="12.42578125" customWidth="1"/>
  </cols>
  <sheetData>
    <row r="1" spans="1:31" ht="1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2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spans="1:31" ht="39" customHeight="1">
      <c r="A2" s="144"/>
      <c r="B2" s="145"/>
      <c r="C2" s="145"/>
      <c r="D2" s="145"/>
      <c r="E2" s="146" t="s">
        <v>0</v>
      </c>
      <c r="F2" s="147"/>
      <c r="G2" s="147"/>
      <c r="H2" s="147"/>
      <c r="I2" s="147"/>
      <c r="J2" s="147"/>
      <c r="K2" s="147"/>
      <c r="L2" s="147"/>
      <c r="M2" s="147"/>
      <c r="N2" s="148"/>
      <c r="O2" s="149" t="s">
        <v>1</v>
      </c>
      <c r="P2" s="147"/>
      <c r="Q2" s="148"/>
      <c r="R2" s="14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2.75">
      <c r="A3" s="150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2"/>
      <c r="R3" s="14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135"/>
      <c r="B4" s="136" t="e" vm="1">
        <v>#VALUE!</v>
      </c>
      <c r="C4" s="136"/>
      <c r="D4" s="137" cm="1">
        <f t="array" aca="1" ref="D4" ca="1">_FV(B4,"Precio")</f>
        <v>19.224499999999999</v>
      </c>
      <c r="E4" s="154" t="s">
        <v>46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46.5" customHeight="1">
      <c r="A5" s="24" t="s">
        <v>4</v>
      </c>
      <c r="B5" s="36" t="s">
        <v>5</v>
      </c>
      <c r="C5" s="140" t="s">
        <v>6</v>
      </c>
      <c r="D5" s="24" t="s">
        <v>47</v>
      </c>
      <c r="E5" s="24" t="s">
        <v>7</v>
      </c>
      <c r="F5" s="24" t="s">
        <v>48</v>
      </c>
      <c r="G5" s="24" t="s">
        <v>8</v>
      </c>
      <c r="H5" s="24" t="s">
        <v>49</v>
      </c>
      <c r="I5" s="24" t="s">
        <v>50</v>
      </c>
      <c r="J5" s="25" t="s">
        <v>9</v>
      </c>
      <c r="K5" s="131" t="s">
        <v>51</v>
      </c>
      <c r="L5" s="26" t="s">
        <v>10</v>
      </c>
      <c r="M5" s="26" t="s">
        <v>52</v>
      </c>
      <c r="N5" s="26" t="s">
        <v>11</v>
      </c>
      <c r="O5" s="26" t="s">
        <v>12</v>
      </c>
      <c r="P5" s="24" t="s">
        <v>13</v>
      </c>
      <c r="Q5" s="24" t="s">
        <v>53</v>
      </c>
      <c r="R5" s="123" t="s">
        <v>54</v>
      </c>
      <c r="S5" s="121" t="s">
        <v>55</v>
      </c>
      <c r="T5" s="141"/>
      <c r="U5" s="3"/>
      <c r="V5" s="3"/>
      <c r="W5" s="3"/>
      <c r="X5" s="3"/>
      <c r="Y5" s="3"/>
      <c r="Z5" s="3"/>
      <c r="AA5" s="3"/>
      <c r="AB5" s="3"/>
      <c r="AC5" s="3"/>
      <c r="AD5" s="3"/>
      <c r="AE5" s="141"/>
    </row>
    <row r="6" spans="1:31" ht="46.5">
      <c r="A6" s="22">
        <v>1</v>
      </c>
      <c r="B6" s="20" t="s">
        <v>56</v>
      </c>
      <c r="C6" s="20" t="s">
        <v>57</v>
      </c>
      <c r="D6" s="7" t="e" vm="2">
        <v>#VALUE!</v>
      </c>
      <c r="E6" s="8">
        <v>15</v>
      </c>
      <c r="F6" s="8">
        <v>5</v>
      </c>
      <c r="G6" s="9">
        <v>1290.57</v>
      </c>
      <c r="H6" s="9">
        <v>1292.73</v>
      </c>
      <c r="I6" s="9" cm="1">
        <f t="array" aca="1" ref="I6" ca="1">_FV(PortafolioIndizado[[#This Row],[Ticker Full Name]],"Precio")</f>
        <v>69.564999999999998</v>
      </c>
      <c r="J6" s="9">
        <f ca="1">PortafolioIndizado[[#This Row],[Current Unit Cost (Original)]]*TipoCambio</f>
        <v>1337.3523424999998</v>
      </c>
      <c r="K6" s="128">
        <f ca="1">IFERROR((PortafolioIndizado[[#This Row],[Current Unit Cost]] - PortafolioIndizado[[#This Row],[Average Unit Cost]]) / PortafolioIndizado[[#This Row],[Average Unit Cost]],0)</f>
        <v>3.6249364621833695E-2</v>
      </c>
      <c r="L6" s="10">
        <f>PortafolioIndizado[[#This Row],[Shares]] * PortafolioIndizado[[#This Row],[Average Unit Cost]]</f>
        <v>19358.55</v>
      </c>
      <c r="M6" s="10">
        <f ca="1">PortafolioIndizado[[#This Row],[To Buy]] * PortafolioIndizado[[#This Row],[Current Unit Cost]] + PortafolioIndizado[[#This Row],[Purchased Value]]</f>
        <v>26045.311712499999</v>
      </c>
      <c r="N6" s="10">
        <f ca="1">PortafolioIndizado[[#This Row],[Shares]] * PortafolioIndizado[[#This Row],[Current Unit Cost]]</f>
        <v>20060.285137499999</v>
      </c>
      <c r="O6" s="10">
        <f ca="1">IFERROR(PortafolioIndizado[[#This Row],[Market Value]] - PortafolioIndizado[[#This Row],[Purchased Value]], 0)</f>
        <v>701.73513749999984</v>
      </c>
      <c r="P6" s="11">
        <f ca="1">IFERROR(PortafolioIndizado[[#This Row],[Market Value]] / PortafolioIndizado[[#This Row],[Purchased Value]] - 1, 0)</f>
        <v>3.6249364621833813E-2</v>
      </c>
      <c r="Q6" s="12">
        <f>IFERROR(PortafolioIndizado[[#This Row],[Purchased Value]] / PortafolioIndizado[[#Totals],[Purchased Value]], "")</f>
        <v>0.45008432738275422</v>
      </c>
      <c r="R6" s="124">
        <f ca="1">IFERROR(PortafolioIndizado[[#This Row],[Potential Purchased Value]] / PortafolioIndizado[[#Totals],[Potential Purchased Value]], "")</f>
        <v>0.39160017494820415</v>
      </c>
      <c r="S6" s="23">
        <v>0.4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41"/>
    </row>
    <row r="7" spans="1:31" ht="58.5">
      <c r="A7" s="22">
        <f>A6 + 1</f>
        <v>2</v>
      </c>
      <c r="B7" s="20" t="s">
        <v>58</v>
      </c>
      <c r="C7" s="20" t="s">
        <v>59</v>
      </c>
      <c r="D7" s="7" t="e" vm="3">
        <v>#VALUE!</v>
      </c>
      <c r="E7" s="8">
        <v>2</v>
      </c>
      <c r="F7" s="8">
        <v>2</v>
      </c>
      <c r="G7" s="9">
        <v>809.39</v>
      </c>
      <c r="H7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839.74543499999993</v>
      </c>
      <c r="I7" s="9" cm="1">
        <f t="array" aca="1" ref="I7" ca="1">_FV(PortafolioIndizado[[#This Row],[Ticker Full Name]],"Precio")</f>
        <v>45.26</v>
      </c>
      <c r="J7" s="9">
        <f ca="1">PortafolioIndizado[[#This Row],[Current Unit Cost (Original)]]*TipoCambio</f>
        <v>870.10086999999987</v>
      </c>
      <c r="K7" s="128">
        <f ca="1">IFERROR((PortafolioIndizado[[#This Row],[Current Unit Cost]] - PortafolioIndizado[[#This Row],[Average Unit Cost]]) / PortafolioIndizado[[#This Row],[Average Unit Cost]],0)</f>
        <v>7.50081789989991E-2</v>
      </c>
      <c r="L7" s="10">
        <f>PortafolioIndizado[[#This Row],[Shares]] * PortafolioIndizado[[#This Row],[Average Unit Cost]]</f>
        <v>1618.78</v>
      </c>
      <c r="M7" s="10">
        <f ca="1">PortafolioIndizado[[#This Row],[To Buy]] * PortafolioIndizado[[#This Row],[Current Unit Cost]] + PortafolioIndizado[[#This Row],[Purchased Value]]</f>
        <v>3358.9817399999997</v>
      </c>
      <c r="N7" s="10">
        <f ca="1">PortafolioIndizado[[#This Row],[Shares]] * PortafolioIndizado[[#This Row],[Current Unit Cost]]</f>
        <v>1740.2017399999997</v>
      </c>
      <c r="O7" s="10">
        <f ca="1">IFERROR(PortafolioIndizado[[#This Row],[Market Value]] - PortafolioIndizado[[#This Row],[Purchased Value]], 0)</f>
        <v>121.42173999999977</v>
      </c>
      <c r="P7" s="11">
        <f ca="1">IFERROR(PortafolioIndizado[[#This Row],[Market Value]] / PortafolioIndizado[[#This Row],[Purchased Value]] - 1, 0)</f>
        <v>7.5008178998999142E-2</v>
      </c>
      <c r="Q7" s="12">
        <f>IFERROR(PortafolioIndizado[[#This Row],[Purchased Value]] / PortafolioIndizado[[#Totals],[Purchased Value]], "")</f>
        <v>3.7636471093168387E-2</v>
      </c>
      <c r="R7" s="124">
        <f ca="1">IFERROR(PortafolioIndizado[[#This Row],[Potential Purchased Value]] / PortafolioIndizado[[#Totals],[Potential Purchased Value]], "")</f>
        <v>5.0503439987647766E-2</v>
      </c>
      <c r="S7" s="23">
        <v>0.05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41"/>
    </row>
    <row r="8" spans="1:31" ht="69">
      <c r="A8" s="22">
        <f t="shared" ref="A8:A16" si="0">A7 + 1</f>
        <v>3</v>
      </c>
      <c r="B8" s="20" t="s">
        <v>60</v>
      </c>
      <c r="C8" s="20" t="s">
        <v>61</v>
      </c>
      <c r="D8" s="7" t="e" vm="4">
        <v>#VALUE!</v>
      </c>
      <c r="E8" s="8">
        <v>13</v>
      </c>
      <c r="F8" s="8">
        <v>16</v>
      </c>
      <c r="G8" s="9">
        <v>54.96</v>
      </c>
      <c r="H8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56.747586206896557</v>
      </c>
      <c r="I8" s="9" cm="1">
        <f t="array" aca="1" ref="I8" ca="1">_FV(PortafolioIndizado[[#This Row],[Ticker Full Name]],"Precio")</f>
        <v>58.2</v>
      </c>
      <c r="J8" s="9">
        <f ca="1">PortafolioIndizado[[#This Row],[Current Unit Cost (Original)]]</f>
        <v>58.2</v>
      </c>
      <c r="K8" s="128">
        <f ca="1">IFERROR((PortafolioIndizado[[#This Row],[Current Unit Cost]] - PortafolioIndizado[[#This Row],[Average Unit Cost]]) / PortafolioIndizado[[#This Row],[Average Unit Cost]],0)</f>
        <v>5.8951965065502217E-2</v>
      </c>
      <c r="L8" s="10">
        <f>PortafolioIndizado[[#This Row],[Shares]] * PortafolioIndizado[[#This Row],[Average Unit Cost]]</f>
        <v>714.48</v>
      </c>
      <c r="M8" s="10">
        <f ca="1">PortafolioIndizado[[#This Row],[To Buy]] * PortafolioIndizado[[#This Row],[Current Unit Cost]] + PortafolioIndizado[[#This Row],[Purchased Value]]</f>
        <v>1645.68</v>
      </c>
      <c r="N8" s="10">
        <f ca="1">PortafolioIndizado[[#This Row],[Shares]] * PortafolioIndizado[[#This Row],[Current Unit Cost]]</f>
        <v>756.6</v>
      </c>
      <c r="O8" s="10">
        <f ca="1">IFERROR(PortafolioIndizado[[#This Row],[Market Value]] - PortafolioIndizado[[#This Row],[Purchased Value]], 0)</f>
        <v>42.120000000000005</v>
      </c>
      <c r="P8" s="11">
        <f ca="1">IFERROR(PortafolioIndizado[[#This Row],[Market Value]] / PortafolioIndizado[[#This Row],[Purchased Value]] - 1, 0)</f>
        <v>5.8951965065502154E-2</v>
      </c>
      <c r="Q8" s="12">
        <f>IFERROR(PortafolioIndizado[[#This Row],[Purchased Value]] / PortafolioIndizado[[#Totals],[Purchased Value]], "")</f>
        <v>1.6611587656535757E-2</v>
      </c>
      <c r="R8" s="124">
        <f ca="1">IFERROR(PortafolioIndizado[[#This Row],[Potential Purchased Value]] / PortafolioIndizado[[#Totals],[Potential Purchased Value]], "")</f>
        <v>2.4743361992456733E-2</v>
      </c>
      <c r="S8" s="23">
        <v>2.5000000000000001E-2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141"/>
    </row>
    <row r="9" spans="1:31" ht="46.5">
      <c r="A9" s="22">
        <f>A8 + 1</f>
        <v>4</v>
      </c>
      <c r="B9" s="20" t="s">
        <v>62</v>
      </c>
      <c r="C9" s="20" t="s">
        <v>63</v>
      </c>
      <c r="D9" s="7" t="e" vm="5">
        <v>#VALUE!</v>
      </c>
      <c r="E9" s="8">
        <v>2</v>
      </c>
      <c r="F9" s="8">
        <v>1</v>
      </c>
      <c r="G9" s="9">
        <v>505.44</v>
      </c>
      <c r="H9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511.35825583333332</v>
      </c>
      <c r="I9" s="9" cm="1">
        <f t="array" aca="1" ref="I9" ca="1">_FV(PortafolioIndizado[[#This Row],[Ticker Full Name]],"Precio")</f>
        <v>27.215</v>
      </c>
      <c r="J9" s="9">
        <f ca="1">PortafolioIndizado[[#This Row],[Current Unit Cost (Original)]]*TipoCambio</f>
        <v>523.19476750000001</v>
      </c>
      <c r="K9" s="128">
        <f ca="1">IFERROR((PortafolioIndizado[[#This Row],[Current Unit Cost]] - PortafolioIndizado[[#This Row],[Average Unit Cost]]) / PortafolioIndizado[[#This Row],[Average Unit Cost]],0)</f>
        <v>3.5127349438113353E-2</v>
      </c>
      <c r="L9" s="10">
        <f>PortafolioIndizado[[#This Row],[Shares]] * PortafolioIndizado[[#This Row],[Average Unit Cost]]</f>
        <v>1010.88</v>
      </c>
      <c r="M9" s="10">
        <f ca="1">PortafolioIndizado[[#This Row],[To Buy]] * PortafolioIndizado[[#This Row],[Current Unit Cost]] + PortafolioIndizado[[#This Row],[Purchased Value]]</f>
        <v>1534.0747675</v>
      </c>
      <c r="N9" s="10">
        <f ca="1">PortafolioIndizado[[#This Row],[Shares]] * PortafolioIndizado[[#This Row],[Current Unit Cost]]</f>
        <v>1046.389535</v>
      </c>
      <c r="O9" s="10">
        <f ca="1">IFERROR(PortafolioIndizado[[#This Row],[Market Value]] - PortafolioIndizado[[#This Row],[Purchased Value]], 0)</f>
        <v>35.509535000000028</v>
      </c>
      <c r="P9" s="11">
        <f ca="1">IFERROR(PortafolioIndizado[[#This Row],[Market Value]] / PortafolioIndizado[[#This Row],[Purchased Value]] - 1, 0)</f>
        <v>3.5127349438113464E-2</v>
      </c>
      <c r="Q9" s="12">
        <f>IFERROR(PortafolioIndizado[[#This Row],[Purchased Value]] / PortafolioIndizado[[#Totals],[Purchased Value]], "")</f>
        <v>2.3502857645054956E-2</v>
      </c>
      <c r="R9" s="124">
        <f ca="1">IFERROR(PortafolioIndizado[[#This Row],[Potential Purchased Value]] / PortafolioIndizado[[#Totals],[Potential Purchased Value]], "")</f>
        <v>2.3065339127744396E-2</v>
      </c>
      <c r="S9" s="23">
        <v>2.5000000000000001E-2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141"/>
    </row>
    <row r="10" spans="1:31" ht="58.5">
      <c r="A10" s="22">
        <f t="shared" si="0"/>
        <v>5</v>
      </c>
      <c r="B10" s="20" t="s">
        <v>64</v>
      </c>
      <c r="C10" s="20" t="s">
        <v>65</v>
      </c>
      <c r="D10" s="7" t="e" vm="6">
        <v>#VALUE!</v>
      </c>
      <c r="E10" s="8">
        <v>6</v>
      </c>
      <c r="F10" s="8">
        <v>5</v>
      </c>
      <c r="G10" s="9">
        <v>1449</v>
      </c>
      <c r="H10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1465.747410431818</v>
      </c>
      <c r="I10" s="9" cm="1">
        <f t="array" aca="1" ref="I10" ca="1">_FV(PortafolioIndizado[[#This Row],[Ticker Full Name]],"Precio")</f>
        <v>77.289100000000005</v>
      </c>
      <c r="J10" s="9">
        <f ca="1">PortafolioIndizado[[#This Row],[Current Unit Cost (Original)]]*TipoCambio</f>
        <v>1485.8443029499999</v>
      </c>
      <c r="K10" s="128">
        <f ca="1">IFERROR((PortafolioIndizado[[#This Row],[Current Unit Cost]] - PortafolioIndizado[[#This Row],[Average Unit Cost]]) / PortafolioIndizado[[#This Row],[Average Unit Cost]],0)</f>
        <v>2.5427400241545845E-2</v>
      </c>
      <c r="L10" s="10">
        <f>PortafolioIndizado[[#This Row],[Shares]] * PortafolioIndizado[[#This Row],[Average Unit Cost]]</f>
        <v>8694</v>
      </c>
      <c r="M10" s="10">
        <f ca="1">PortafolioIndizado[[#This Row],[To Buy]] * PortafolioIndizado[[#This Row],[Current Unit Cost]] + PortafolioIndizado[[#This Row],[Purchased Value]]</f>
        <v>16123.221514749999</v>
      </c>
      <c r="N10" s="10">
        <f ca="1">PortafolioIndizado[[#This Row],[Shares]] * PortafolioIndizado[[#This Row],[Current Unit Cost]]</f>
        <v>8915.0658177000005</v>
      </c>
      <c r="O10" s="10">
        <f ca="1">IFERROR(PortafolioIndizado[[#This Row],[Market Value]] - PortafolioIndizado[[#This Row],[Purchased Value]], 0)</f>
        <v>221.06581770000048</v>
      </c>
      <c r="P10" s="11">
        <f ca="1">IFERROR(PortafolioIndizado[[#This Row],[Market Value]] / PortafolioIndizado[[#This Row],[Purchased Value]] - 1, 0)</f>
        <v>2.5427400241545994E-2</v>
      </c>
      <c r="Q10" s="12">
        <f>IFERROR(PortafolioIndizado[[#This Row],[Purchased Value]] / PortafolioIndizado[[#Totals],[Purchased Value]], "")</f>
        <v>0.20213461970373117</v>
      </c>
      <c r="R10" s="124">
        <f ca="1">IFERROR(PortafolioIndizado[[#This Row],[Potential Purchased Value]] / PortafolioIndizado[[#Totals],[Potential Purchased Value]], "")</f>
        <v>0.24241815324001373</v>
      </c>
      <c r="S10" s="23">
        <v>0.25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141"/>
    </row>
    <row r="11" spans="1:31" ht="58.5">
      <c r="A11" s="22">
        <f t="shared" si="0"/>
        <v>6</v>
      </c>
      <c r="B11" s="28" t="s">
        <v>66</v>
      </c>
      <c r="C11" s="28" t="s">
        <v>67</v>
      </c>
      <c r="D11" s="29" t="e" vm="7">
        <v>#VALUE!</v>
      </c>
      <c r="E11" s="30">
        <v>1</v>
      </c>
      <c r="F11" s="30">
        <v>1</v>
      </c>
      <c r="G11" s="31">
        <v>1338</v>
      </c>
      <c r="H11" s="31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1387.8482713499998</v>
      </c>
      <c r="I11" s="31" cm="1">
        <f t="array" aca="1" ref="I11" ca="1">_FV(PortafolioIndizado[[#This Row],[Ticker Full Name]],"Precio")</f>
        <v>74.784599999999998</v>
      </c>
      <c r="J11" s="9">
        <f ca="1">PortafolioIndizado[[#This Row],[Current Unit Cost (Original)]]*TipoCambio</f>
        <v>1437.6965426999998</v>
      </c>
      <c r="K11" s="129">
        <f ca="1">IFERROR((PortafolioIndizado[[#This Row],[Current Unit Cost]] - PortafolioIndizado[[#This Row],[Average Unit Cost]]) / PortafolioIndizado[[#This Row],[Average Unit Cost]],0)</f>
        <v>7.4511616367712835E-2</v>
      </c>
      <c r="L11" s="10">
        <f>PortafolioIndizado[[#This Row],[Shares]] * PortafolioIndizado[[#This Row],[Average Unit Cost]]</f>
        <v>1338</v>
      </c>
      <c r="M11" s="10">
        <f ca="1">PortafolioIndizado[[#This Row],[To Buy]] * PortafolioIndizado[[#This Row],[Current Unit Cost]] + PortafolioIndizado[[#This Row],[Purchased Value]]</f>
        <v>2775.6965426999996</v>
      </c>
      <c r="N11" s="10">
        <f ca="1">PortafolioIndizado[[#This Row],[Shares]] * PortafolioIndizado[[#This Row],[Current Unit Cost]]</f>
        <v>1437.6965426999998</v>
      </c>
      <c r="O11" s="10">
        <f ca="1">IFERROR(PortafolioIndizado[[#This Row],[Market Value]] - PortafolioIndizado[[#This Row],[Purchased Value]], 0)</f>
        <v>99.696542699999782</v>
      </c>
      <c r="P11" s="11">
        <f ca="1">IFERROR(PortafolioIndizado[[#This Row],[Market Value]] / PortafolioIndizado[[#This Row],[Purchased Value]] - 1, 0)</f>
        <v>7.4511616367712863E-2</v>
      </c>
      <c r="Q11" s="12">
        <f>IFERROR(PortafolioIndizado[[#This Row],[Purchased Value]] / PortafolioIndizado[[#Totals],[Purchased Value]], "")</f>
        <v>3.1108364523072501E-2</v>
      </c>
      <c r="R11" s="125">
        <f ca="1">IFERROR(PortafolioIndizado[[#This Row],[Potential Purchased Value]] / PortafolioIndizado[[#Totals],[Potential Purchased Value]], "")</f>
        <v>4.1733547431600751E-2</v>
      </c>
      <c r="S11" s="35">
        <v>0.03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141"/>
    </row>
    <row r="12" spans="1:31" ht="58.5">
      <c r="A12" s="22">
        <f t="shared" si="0"/>
        <v>7</v>
      </c>
      <c r="B12" s="20" t="s">
        <v>68</v>
      </c>
      <c r="C12" s="20" t="s">
        <v>69</v>
      </c>
      <c r="D12" s="7" t="e" vm="8">
        <v>#VALUE!</v>
      </c>
      <c r="E12" s="8">
        <v>3</v>
      </c>
      <c r="F12" s="8">
        <v>1</v>
      </c>
      <c r="G12" s="9">
        <v>1070.1600000000001</v>
      </c>
      <c r="H12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1058.4019725000001</v>
      </c>
      <c r="I12" s="9" cm="1">
        <f t="array" aca="1" ref="I12" ca="1">_FV(PortafolioIndizado[[#This Row],[Ticker Full Name]],"Precio")</f>
        <v>53.22</v>
      </c>
      <c r="J12" s="9">
        <f ca="1">PortafolioIndizado[[#This Row],[Current Unit Cost (Original)]]*TipoCambio</f>
        <v>1023.12789</v>
      </c>
      <c r="K12" s="128">
        <f ca="1">IFERROR((PortafolioIndizado[[#This Row],[Current Unit Cost]] - PortafolioIndizado[[#This Row],[Average Unit Cost]]) / PortafolioIndizado[[#This Row],[Average Unit Cost]],0)</f>
        <v>-4.3948671226732544E-2</v>
      </c>
      <c r="L12" s="10">
        <f>PortafolioIndizado[[#This Row],[Shares]] * PortafolioIndizado[[#This Row],[Average Unit Cost]]</f>
        <v>3210.4800000000005</v>
      </c>
      <c r="M12" s="10">
        <f ca="1">PortafolioIndizado[[#This Row],[To Buy]] * PortafolioIndizado[[#This Row],[Current Unit Cost]] + PortafolioIndizado[[#This Row],[Purchased Value]]</f>
        <v>4233.6078900000002</v>
      </c>
      <c r="N12" s="10">
        <f ca="1">PortafolioIndizado[[#This Row],[Shares]] * PortafolioIndizado[[#This Row],[Current Unit Cost]]</f>
        <v>3069.3836700000002</v>
      </c>
      <c r="O12" s="10">
        <f ca="1">IFERROR(PortafolioIndizado[[#This Row],[Market Value]] - PortafolioIndizado[[#This Row],[Purchased Value]], 0)</f>
        <v>-141.09633000000031</v>
      </c>
      <c r="P12" s="11">
        <f ca="1">IFERROR(PortafolioIndizado[[#This Row],[Market Value]] / PortafolioIndizado[[#This Row],[Purchased Value]] - 1, 0)</f>
        <v>-4.3948671226732516E-2</v>
      </c>
      <c r="Q12" s="12">
        <f>IFERROR(PortafolioIndizado[[#This Row],[Purchased Value]] / PortafolioIndizado[[#Totals],[Purchased Value]], "")</f>
        <v>7.4643334928276392E-2</v>
      </c>
      <c r="R12" s="124">
        <f ca="1">IFERROR(PortafolioIndizado[[#This Row],[Potential Purchased Value]] / PortafolioIndizado[[#Totals],[Potential Purchased Value]], "")</f>
        <v>6.3653743471629318E-2</v>
      </c>
      <c r="S12" s="23">
        <v>0.06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141"/>
    </row>
    <row r="13" spans="1:31" ht="58.5">
      <c r="A13" s="22">
        <f t="shared" si="0"/>
        <v>8</v>
      </c>
      <c r="B13" s="20" t="s">
        <v>70</v>
      </c>
      <c r="C13" s="20" t="s">
        <v>71</v>
      </c>
      <c r="D13" s="7" t="e" vm="9">
        <v>#VALUE!</v>
      </c>
      <c r="E13" s="8">
        <v>2</v>
      </c>
      <c r="F13" s="8">
        <v>1</v>
      </c>
      <c r="G13" s="9">
        <v>1115.3599999999999</v>
      </c>
      <c r="H13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1137.8678283333331</v>
      </c>
      <c r="I13" s="9" cm="1">
        <f t="array" aca="1" ref="I13" ca="1">_FV(PortafolioIndizado[[#This Row],[Ticker Full Name]],"Precio")</f>
        <v>61.53</v>
      </c>
      <c r="J13" s="9">
        <f ca="1">PortafolioIndizado[[#This Row],[Current Unit Cost (Original)]]*TipoCambio</f>
        <v>1182.8834850000001</v>
      </c>
      <c r="K13" s="128">
        <f ca="1">IFERROR((PortafolioIndizado[[#This Row],[Current Unit Cost]] - PortafolioIndizado[[#This Row],[Average Unit Cost]]) / PortafolioIndizado[[#This Row],[Average Unit Cost]],0)</f>
        <v>6.0539632943623738E-2</v>
      </c>
      <c r="L13" s="10">
        <f>PortafolioIndizado[[#This Row],[Shares]] * PortafolioIndizado[[#This Row],[Average Unit Cost]]</f>
        <v>2230.7199999999998</v>
      </c>
      <c r="M13" s="10">
        <f ca="1">PortafolioIndizado[[#This Row],[To Buy]] * PortafolioIndizado[[#This Row],[Current Unit Cost]] + PortafolioIndizado[[#This Row],[Purchased Value]]</f>
        <v>3413.6034849999996</v>
      </c>
      <c r="N13" s="10">
        <f ca="1">PortafolioIndizado[[#This Row],[Shares]] * PortafolioIndizado[[#This Row],[Current Unit Cost]]</f>
        <v>2365.7669700000001</v>
      </c>
      <c r="O13" s="10">
        <f ca="1">IFERROR(PortafolioIndizado[[#This Row],[Market Value]] - PortafolioIndizado[[#This Row],[Purchased Value]], 0)</f>
        <v>135.04697000000033</v>
      </c>
      <c r="P13" s="11">
        <f ca="1">IFERROR(PortafolioIndizado[[#This Row],[Market Value]] / PortafolioIndizado[[#This Row],[Purchased Value]] - 1, 0)</f>
        <v>6.0539632943623634E-2</v>
      </c>
      <c r="Q13" s="12">
        <f>IFERROR(PortafolioIndizado[[#This Row],[Purchased Value]] / PortafolioIndizado[[#Totals],[Purchased Value]], "")</f>
        <v>5.1864014132218444E-2</v>
      </c>
      <c r="R13" s="124">
        <f ca="1">IFERROR(PortafolioIndizado[[#This Row],[Potential Purchased Value]] / PortafolioIndizado[[#Totals],[Potential Purchased Value]], "")</f>
        <v>5.1324696616636793E-2</v>
      </c>
      <c r="S13" s="23">
        <v>0.05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141"/>
    </row>
    <row r="14" spans="1:31" ht="46.5">
      <c r="A14" s="22">
        <f t="shared" si="0"/>
        <v>9</v>
      </c>
      <c r="B14" s="20" t="s">
        <v>72</v>
      </c>
      <c r="C14" s="20" t="s">
        <v>73</v>
      </c>
      <c r="D14" s="7" t="e" vm="10">
        <v>#VALUE!</v>
      </c>
      <c r="E14" s="8">
        <v>2</v>
      </c>
      <c r="F14" s="8">
        <v>1</v>
      </c>
      <c r="G14" s="9">
        <v>1000.65</v>
      </c>
      <c r="H14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1015.9926341666666</v>
      </c>
      <c r="I14" s="9" cm="1">
        <f t="array" aca="1" ref="I14" ca="1">_FV(PortafolioIndizado[[#This Row],[Ticker Full Name]],"Precio")</f>
        <v>54.445</v>
      </c>
      <c r="J14" s="9">
        <f ca="1">PortafolioIndizado[[#This Row],[Current Unit Cost (Original)]]*TipoCambio</f>
        <v>1046.6779024999998</v>
      </c>
      <c r="K14" s="128">
        <f ca="1">IFERROR((PortafolioIndizado[[#This Row],[Current Unit Cost]] - PortafolioIndizado[[#This Row],[Average Unit Cost]]) / PortafolioIndizado[[#This Row],[Average Unit Cost]],0)</f>
        <v>4.5998003797531474E-2</v>
      </c>
      <c r="L14" s="10">
        <f>PortafolioIndizado[[#This Row],[Shares]] * PortafolioIndizado[[#This Row],[Average Unit Cost]]</f>
        <v>2001.3</v>
      </c>
      <c r="M14" s="10">
        <f ca="1">PortafolioIndizado[[#This Row],[To Buy]] * PortafolioIndizado[[#This Row],[Current Unit Cost]] + PortafolioIndizado[[#This Row],[Purchased Value]]</f>
        <v>3047.9779024999998</v>
      </c>
      <c r="N14" s="10">
        <f ca="1">PortafolioIndizado[[#This Row],[Shares]] * PortafolioIndizado[[#This Row],[Current Unit Cost]]</f>
        <v>2093.3558049999997</v>
      </c>
      <c r="O14" s="10">
        <f ca="1">IFERROR(PortafolioIndizado[[#This Row],[Market Value]] - PortafolioIndizado[[#This Row],[Purchased Value]], 0)</f>
        <v>92.055804999999737</v>
      </c>
      <c r="P14" s="11">
        <f ca="1">IFERROR(PortafolioIndizado[[#This Row],[Market Value]] / PortafolioIndizado[[#This Row],[Purchased Value]] - 1, 0)</f>
        <v>4.5998003797531384E-2</v>
      </c>
      <c r="Q14" s="12">
        <f>IFERROR(PortafolioIndizado[[#This Row],[Purchased Value]] / PortafolioIndizado[[#Totals],[Purchased Value]], "")</f>
        <v>4.6530022361752611E-2</v>
      </c>
      <c r="R14" s="124">
        <f ca="1">IFERROR(PortafolioIndizado[[#This Row],[Potential Purchased Value]] / PortafolioIndizado[[#Totals],[Potential Purchased Value]], "")</f>
        <v>4.5827390857619027E-2</v>
      </c>
      <c r="S14" s="23">
        <v>0.04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141"/>
    </row>
    <row r="15" spans="1:31" ht="58.5">
      <c r="A15" s="22">
        <f t="shared" si="0"/>
        <v>10</v>
      </c>
      <c r="B15" s="20" t="s">
        <v>74</v>
      </c>
      <c r="C15" s="20" t="s">
        <v>75</v>
      </c>
      <c r="D15" s="7" t="e" vm="11">
        <v>#VALUE!</v>
      </c>
      <c r="E15" s="8">
        <v>5</v>
      </c>
      <c r="F15" s="8">
        <v>1</v>
      </c>
      <c r="G15" s="9">
        <v>475.8</v>
      </c>
      <c r="H15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479.96637083333331</v>
      </c>
      <c r="I15" s="9" cm="1">
        <f t="array" aca="1" ref="I15" ca="1">_FV(PortafolioIndizado[[#This Row],[Ticker Full Name]],"Precio")</f>
        <v>26.05</v>
      </c>
      <c r="J15" s="9" cm="1">
        <f t="array" aca="1" ref="J15" ca="1">_FV(PortafolioIndizado[[#This Row],[Ticker Full Name]],"Precio")*TipoCambio</f>
        <v>500.798225</v>
      </c>
      <c r="K15" s="128">
        <f ca="1">IFERROR((PortafolioIndizado[[#This Row],[Current Unit Cost]] - PortafolioIndizado[[#This Row],[Average Unit Cost]]) / PortafolioIndizado[[#This Row],[Average Unit Cost]],0)</f>
        <v>5.2539354770912129E-2</v>
      </c>
      <c r="L15" s="10">
        <f>PortafolioIndizado[[#This Row],[Shares]] * PortafolioIndizado[[#This Row],[Average Unit Cost]]</f>
        <v>2379</v>
      </c>
      <c r="M15" s="10">
        <f ca="1">PortafolioIndizado[[#This Row],[To Buy]] * PortafolioIndizado[[#This Row],[Current Unit Cost]] + PortafolioIndizado[[#This Row],[Purchased Value]]</f>
        <v>2879.798225</v>
      </c>
      <c r="N15" s="10">
        <f ca="1">PortafolioIndizado[[#This Row],[Shares]] * PortafolioIndizado[[#This Row],[Current Unit Cost]]</f>
        <v>2503.991125</v>
      </c>
      <c r="O15" s="10">
        <f ca="1">IFERROR(PortafolioIndizado[[#This Row],[Market Value]] - PortafolioIndizado[[#This Row],[Purchased Value]], 0)</f>
        <v>124.99112500000001</v>
      </c>
      <c r="P15" s="11">
        <f ca="1">IFERROR(PortafolioIndizado[[#This Row],[Market Value]] / PortafolioIndizado[[#This Row],[Purchased Value]] - 1, 0)</f>
        <v>5.2539354770912094E-2</v>
      </c>
      <c r="Q15" s="12">
        <f>IFERROR(PortafolioIndizado[[#This Row],[Purchased Value]] / PortafolioIndizado[[#Totals],[Purchased Value]], "")</f>
        <v>5.5311509118377788E-2</v>
      </c>
      <c r="R15" s="124">
        <f ca="1">IFERROR(PortafolioIndizado[[#This Row],[Potential Purchased Value]] / PortafolioIndizado[[#Totals],[Potential Purchased Value]], "")</f>
        <v>4.3298751851155365E-2</v>
      </c>
      <c r="S15" s="23">
        <v>0.05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141"/>
    </row>
    <row r="16" spans="1:31" ht="69">
      <c r="A16" s="22">
        <f t="shared" si="0"/>
        <v>11</v>
      </c>
      <c r="B16" s="20" t="s">
        <v>76</v>
      </c>
      <c r="C16" s="20" t="s">
        <v>77</v>
      </c>
      <c r="D16" s="7" t="e" vm="12">
        <v>#VALUE!</v>
      </c>
      <c r="E16" s="8">
        <v>1</v>
      </c>
      <c r="F16" s="8">
        <v>2</v>
      </c>
      <c r="G16" s="9">
        <v>454.75</v>
      </c>
      <c r="H16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484.00185263333333</v>
      </c>
      <c r="I16" s="9" cm="1">
        <f t="array" aca="1" ref="I16" ca="1">_FV(PortafolioIndizado[[#This Row],[Ticker Full Name]],"Precio")</f>
        <v>25.937100000000001</v>
      </c>
      <c r="J16" s="9">
        <f ca="1">PortafolioIndizado[[#This Row],[Current Unit Cost (Original)]]*TipoCambio</f>
        <v>498.62777894999999</v>
      </c>
      <c r="K16" s="128">
        <f ca="1">IFERROR((PortafolioIndizado[[#This Row],[Current Unit Cost]] - PortafolioIndizado[[#This Row],[Average Unit Cost]]) / PortafolioIndizado[[#This Row],[Average Unit Cost]],0)</f>
        <v>9.6487694227597565E-2</v>
      </c>
      <c r="L16" s="10">
        <f>PortafolioIndizado[[#This Row],[Shares]] * PortafolioIndizado[[#This Row],[Average Unit Cost]]</f>
        <v>454.75</v>
      </c>
      <c r="M16" s="10">
        <f ca="1">PortafolioIndizado[[#This Row],[To Buy]] * PortafolioIndizado[[#This Row],[Current Unit Cost]] + PortafolioIndizado[[#This Row],[Purchased Value]]</f>
        <v>1452.0055579</v>
      </c>
      <c r="N16" s="10">
        <f ca="1">PortafolioIndizado[[#This Row],[Shares]] * PortafolioIndizado[[#This Row],[Current Unit Cost]]</f>
        <v>498.62777894999999</v>
      </c>
      <c r="O16" s="10">
        <f ca="1">IFERROR(PortafolioIndizado[[#This Row],[Market Value]] - PortafolioIndizado[[#This Row],[Purchased Value]], 0)</f>
        <v>43.877778949999993</v>
      </c>
      <c r="P16" s="11">
        <f ca="1">IFERROR(PortafolioIndizado[[#This Row],[Market Value]] / PortafolioIndizado[[#This Row],[Purchased Value]] - 1, 0)</f>
        <v>9.648769422759762E-2</v>
      </c>
      <c r="Q16" s="12">
        <f>IFERROR(PortafolioIndizado[[#This Row],[Purchased Value]] / PortafolioIndizado[[#Totals],[Purchased Value]], "")</f>
        <v>1.0572891455057713E-2</v>
      </c>
      <c r="R16" s="124">
        <f ca="1">IFERROR(PortafolioIndizado[[#This Row],[Potential Purchased Value]] / PortafolioIndizado[[#Totals],[Potential Purchased Value]], "")</f>
        <v>2.1831400475292154E-2</v>
      </c>
      <c r="S16" s="23">
        <v>0.02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141"/>
    </row>
    <row r="17" spans="1:31" ht="15.75" customHeight="1">
      <c r="A17" s="27" t="s">
        <v>21</v>
      </c>
      <c r="B17" s="28"/>
      <c r="C17" s="28"/>
      <c r="D17" s="29"/>
      <c r="E17" s="30"/>
      <c r="F17" s="122">
        <f ca="1">SUMPRODUCT(PortafolioIndizado[To Buy], PortafolioIndizado[Current Unit Cost])</f>
        <v>23499.019337849993</v>
      </c>
      <c r="G17" s="30"/>
      <c r="H17" s="30"/>
      <c r="I17" s="30"/>
      <c r="J17" s="30"/>
      <c r="K17" s="132"/>
      <c r="L17" s="32">
        <f>SUBTOTAL(109,PortafolioIndizado[Purchased Value])</f>
        <v>43010.94</v>
      </c>
      <c r="M17" s="32">
        <f ca="1">SUBTOTAL(109,PortafolioIndizado[Potential Purchased Value])</f>
        <v>66509.959337849985</v>
      </c>
      <c r="N17" s="32">
        <f ca="1">SUBTOTAL(109,PortafolioIndizado[Market Value])</f>
        <v>44487.364121849998</v>
      </c>
      <c r="O17" s="32">
        <f ca="1">SUBTOTAL(109,PortafolioIndizado[Balance])</f>
        <v>1476.4241218499997</v>
      </c>
      <c r="P17" s="33">
        <f ca="1">SUBTOTAL(101,PortafolioIndizado[Balance %])</f>
        <v>4.6990171749694512E-2</v>
      </c>
      <c r="Q17" s="34">
        <f>SUBTOTAL(109,PortafolioIndizado[Current Weight %])</f>
        <v>0.99999999999999989</v>
      </c>
      <c r="R17" s="34"/>
      <c r="S17" s="35">
        <f>SUBTOTAL(109,PortafolioIndizado[Target Weight %])</f>
        <v>1.0000000000000002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141"/>
    </row>
    <row r="18" spans="1:31" ht="15.75" customHeight="1">
      <c r="A18" s="3"/>
      <c r="B18" s="3"/>
      <c r="C18" s="3"/>
      <c r="D18" s="3"/>
      <c r="E18" s="141"/>
      <c r="F18" s="141"/>
      <c r="G18" s="141"/>
      <c r="H18" s="141"/>
      <c r="I18" s="141"/>
      <c r="J18" s="141"/>
      <c r="L18" s="141"/>
      <c r="M18" s="141"/>
      <c r="N18" s="141"/>
      <c r="O18" s="14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>
      <c r="A19" s="3"/>
      <c r="B19" s="3"/>
      <c r="C19" s="3"/>
      <c r="D19" s="3"/>
      <c r="E19" s="141"/>
      <c r="F19" s="141"/>
      <c r="G19" s="141"/>
      <c r="H19" s="141"/>
      <c r="I19" s="141"/>
      <c r="J19" s="141"/>
      <c r="L19" s="141"/>
      <c r="M19" s="141"/>
      <c r="N19" s="141"/>
      <c r="O19" s="14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>
      <c r="A20" s="3"/>
      <c r="B20" s="141"/>
      <c r="C20" s="141"/>
      <c r="D20" s="141"/>
      <c r="E20" s="141"/>
      <c r="F20" s="126"/>
      <c r="G20" s="141"/>
      <c r="H20" s="141"/>
      <c r="I20" s="141"/>
      <c r="J20" s="141"/>
      <c r="L20" s="141"/>
      <c r="M20" s="141"/>
      <c r="N20" s="141"/>
      <c r="O20" s="14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>
      <c r="A21" s="3"/>
      <c r="B21" s="141"/>
      <c r="C21" s="141"/>
      <c r="D21" s="141"/>
      <c r="E21" s="141"/>
      <c r="F21" s="141"/>
      <c r="G21" s="141"/>
      <c r="H21" s="141"/>
      <c r="I21" s="141"/>
      <c r="J21" s="141"/>
      <c r="L21" s="141"/>
      <c r="M21" s="141"/>
      <c r="N21" s="141"/>
      <c r="O21" s="14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3"/>
      <c r="B22" s="141"/>
      <c r="C22" s="141"/>
      <c r="D22" s="141"/>
      <c r="E22" s="141"/>
      <c r="F22" s="141"/>
      <c r="G22" s="141"/>
      <c r="H22" s="134"/>
      <c r="I22" s="141"/>
      <c r="J22" s="141"/>
      <c r="L22" s="141"/>
      <c r="M22" s="141"/>
      <c r="N22" s="141"/>
      <c r="O22" s="14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>
      <c r="A23" s="3"/>
      <c r="B23" s="141"/>
      <c r="C23" s="141"/>
      <c r="D23" s="141"/>
      <c r="E23" s="141"/>
      <c r="F23" s="141"/>
      <c r="G23" s="141"/>
      <c r="H23" s="141"/>
      <c r="I23" s="141"/>
      <c r="J23" s="141"/>
      <c r="L23" s="141"/>
      <c r="M23" s="141"/>
      <c r="N23" s="141"/>
      <c r="O23" s="14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>
      <c r="A24" s="3"/>
      <c r="B24" s="141"/>
      <c r="C24" s="141"/>
      <c r="D24" s="141"/>
      <c r="E24" s="141"/>
      <c r="F24" s="141"/>
      <c r="G24" s="141"/>
      <c r="H24" s="141"/>
      <c r="I24" s="141"/>
      <c r="J24" s="141"/>
      <c r="L24" s="141"/>
      <c r="M24" s="141"/>
      <c r="N24" s="141"/>
      <c r="O24" s="14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>
      <c r="A25" s="3"/>
      <c r="B25" s="141"/>
      <c r="C25" s="141"/>
      <c r="D25" s="141"/>
      <c r="E25" s="141"/>
      <c r="F25" s="141"/>
      <c r="G25" s="141"/>
      <c r="H25" s="141"/>
      <c r="I25" s="141"/>
      <c r="J25" s="141"/>
      <c r="L25" s="141"/>
      <c r="M25" s="141"/>
      <c r="N25" s="141"/>
      <c r="O25" s="14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3"/>
      <c r="B26" s="141"/>
      <c r="C26" s="141"/>
      <c r="D26" s="141"/>
      <c r="E26" s="141"/>
      <c r="F26" s="141"/>
      <c r="G26" s="141"/>
      <c r="H26" s="141"/>
      <c r="I26" s="141"/>
      <c r="J26" s="141"/>
      <c r="L26" s="141"/>
      <c r="M26" s="141"/>
      <c r="N26" s="141"/>
      <c r="O26" s="14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>
      <c r="A27" s="3"/>
      <c r="B27" s="141"/>
      <c r="C27" s="141"/>
      <c r="D27" s="141"/>
      <c r="E27" s="141"/>
      <c r="F27" s="141"/>
      <c r="G27" s="141"/>
      <c r="H27" s="141"/>
      <c r="I27" s="141"/>
      <c r="J27" s="141"/>
      <c r="L27" s="141"/>
      <c r="M27" s="141"/>
      <c r="N27" s="141"/>
      <c r="O27" s="14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>
      <c r="A28" s="3"/>
      <c r="B28" s="141"/>
      <c r="C28" s="141"/>
      <c r="D28" s="141"/>
      <c r="E28" s="141"/>
      <c r="F28" s="141"/>
      <c r="G28" s="141"/>
      <c r="H28" s="141"/>
      <c r="I28" s="141"/>
      <c r="J28" s="141"/>
      <c r="L28" s="141"/>
      <c r="M28" s="141"/>
      <c r="N28" s="141"/>
      <c r="O28" s="14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>
      <c r="A29" s="3"/>
      <c r="B29" s="141"/>
      <c r="C29" s="141"/>
      <c r="D29" s="141"/>
      <c r="E29" s="141"/>
      <c r="F29" s="141"/>
      <c r="G29" s="141"/>
      <c r="H29" s="141"/>
      <c r="I29" s="141"/>
      <c r="J29" s="141"/>
      <c r="L29" s="141"/>
      <c r="M29" s="141"/>
      <c r="N29" s="141"/>
      <c r="O29" s="14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>
      <c r="A30" s="3"/>
      <c r="B30" s="3"/>
      <c r="C30" s="3"/>
      <c r="D30" s="3"/>
      <c r="E30" s="141"/>
      <c r="F30" s="141"/>
      <c r="G30" s="141"/>
      <c r="H30" s="141"/>
      <c r="I30" s="141"/>
      <c r="J30" s="141"/>
      <c r="L30" s="141"/>
      <c r="M30" s="141"/>
      <c r="N30" s="141"/>
      <c r="O30" s="14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>
      <c r="A31" s="3"/>
      <c r="B31" s="3"/>
      <c r="C31" s="3"/>
      <c r="D31" s="3"/>
      <c r="E31" s="141"/>
      <c r="F31" s="141"/>
      <c r="G31" s="3"/>
      <c r="H31" s="3"/>
      <c r="I31" s="3"/>
      <c r="J31" s="3"/>
      <c r="K31" s="13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>
      <c r="A32" s="3"/>
      <c r="B32" s="3"/>
      <c r="C32" s="3"/>
      <c r="D32" s="3"/>
      <c r="E32" s="141"/>
      <c r="F32" s="141"/>
      <c r="G32" s="3"/>
      <c r="H32" s="3"/>
      <c r="I32" s="3"/>
      <c r="J32" s="3"/>
      <c r="K32" s="13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>
      <c r="A33" s="3"/>
      <c r="B33" s="3"/>
      <c r="C33" s="3"/>
      <c r="D33" s="3"/>
      <c r="E33" s="141"/>
      <c r="F33" s="141"/>
      <c r="G33" s="3"/>
      <c r="H33" s="3"/>
      <c r="I33" s="3"/>
      <c r="J33" s="3"/>
      <c r="K33" s="130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>
      <c r="A34" s="3"/>
      <c r="B34" s="3"/>
      <c r="C34" s="3"/>
      <c r="D34" s="3"/>
      <c r="E34" s="141"/>
      <c r="F34" s="141"/>
      <c r="G34" s="3"/>
      <c r="H34" s="3"/>
      <c r="I34" s="3"/>
      <c r="J34" s="3"/>
      <c r="K34" s="130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>
      <c r="A35" s="3"/>
      <c r="B35" s="3"/>
      <c r="C35" s="3"/>
      <c r="D35" s="3"/>
      <c r="E35" s="141"/>
      <c r="F35" s="141"/>
      <c r="G35" s="3"/>
      <c r="H35" s="3"/>
      <c r="I35" s="3"/>
      <c r="J35" s="3"/>
      <c r="K35" s="13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>
      <c r="A36" s="3"/>
      <c r="B36" s="3"/>
      <c r="C36" s="3"/>
      <c r="D36" s="3"/>
      <c r="E36" s="141"/>
      <c r="F36" s="141"/>
      <c r="G36" s="3"/>
      <c r="H36" s="3"/>
      <c r="I36" s="3"/>
      <c r="J36" s="3"/>
      <c r="K36" s="130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>
      <c r="A37" s="3"/>
      <c r="B37" s="3"/>
      <c r="C37" s="3"/>
      <c r="D37" s="3"/>
      <c r="E37" s="141"/>
      <c r="F37" s="141"/>
      <c r="G37" s="3"/>
      <c r="H37" s="3"/>
      <c r="I37" s="3"/>
      <c r="J37" s="3"/>
      <c r="K37" s="130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>
      <c r="A38" s="3"/>
      <c r="B38" s="3"/>
      <c r="C38" s="3"/>
      <c r="D38" s="3"/>
      <c r="E38" s="141"/>
      <c r="F38" s="141"/>
      <c r="G38" s="3"/>
      <c r="H38" s="3"/>
      <c r="I38" s="3"/>
      <c r="J38" s="3"/>
      <c r="K38" s="13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>
      <c r="A39" s="3"/>
      <c r="B39" s="3"/>
      <c r="C39" s="3"/>
      <c r="D39" s="3"/>
      <c r="E39" s="141"/>
      <c r="F39" s="141"/>
      <c r="G39" s="3"/>
      <c r="H39" s="3"/>
      <c r="I39" s="3"/>
      <c r="J39" s="3"/>
      <c r="K39" s="13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>
      <c r="A40" s="3"/>
      <c r="B40" s="3"/>
      <c r="C40" s="3"/>
      <c r="D40" s="3"/>
      <c r="E40" s="141"/>
      <c r="F40" s="141"/>
      <c r="G40" s="3"/>
      <c r="H40" s="3"/>
      <c r="I40" s="3"/>
      <c r="J40" s="3"/>
      <c r="K40" s="13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3"/>
      <c r="B41" s="3"/>
      <c r="C41" s="3"/>
      <c r="D41" s="3"/>
      <c r="E41" s="141"/>
      <c r="F41" s="141"/>
      <c r="G41" s="3"/>
      <c r="H41" s="3"/>
      <c r="I41" s="3"/>
      <c r="J41" s="3"/>
      <c r="K41" s="13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>
      <c r="A42" s="3"/>
      <c r="B42" s="3"/>
      <c r="C42" s="3"/>
      <c r="D42" s="3"/>
      <c r="E42" s="141"/>
      <c r="F42" s="141"/>
      <c r="G42" s="3"/>
      <c r="H42" s="3"/>
      <c r="I42" s="3"/>
      <c r="J42" s="3"/>
      <c r="K42" s="13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3"/>
      <c r="B43" s="3"/>
      <c r="C43" s="3"/>
      <c r="D43" s="3"/>
      <c r="E43" s="141"/>
      <c r="F43" s="141"/>
      <c r="G43" s="3"/>
      <c r="H43" s="3"/>
      <c r="I43" s="3"/>
      <c r="J43" s="3"/>
      <c r="K43" s="13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13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130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130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130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130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13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13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13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13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13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130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130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130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130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13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130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130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130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130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130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130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130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130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130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130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130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130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130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130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130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130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13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13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13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13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13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13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13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13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13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13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13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13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13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13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13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13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13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13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13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13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13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13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13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13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13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3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3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3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3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3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3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3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3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3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3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3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3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3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3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3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3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3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3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3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3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3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3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3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3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3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3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3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3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3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3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3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3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3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3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3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3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3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3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3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3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3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3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3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3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3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3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3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3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3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3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3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3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3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3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3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3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3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3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3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3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3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3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3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3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3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3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3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3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3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3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3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3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3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3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3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3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3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3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3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3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3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3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3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3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3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3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3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3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3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3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3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3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3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3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3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3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3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3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3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3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3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3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3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3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3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3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3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3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3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3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3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3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3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3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3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3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3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3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3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3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3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3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3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3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3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3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3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3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3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3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3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3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3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3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13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13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13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3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3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13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13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3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13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13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3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13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13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3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13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13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13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3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13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13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3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13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13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3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3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13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13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3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13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13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13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3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3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13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3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13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13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13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13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3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13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13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3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13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13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3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3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3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13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3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3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13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3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3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13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3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3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13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3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3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13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3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3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13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3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3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13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3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3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3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3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3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13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3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3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13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3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3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13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3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3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13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3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3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13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3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3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3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3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3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13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3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13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3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13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3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13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3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13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3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13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3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3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3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3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3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3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3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13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13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13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13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13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13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13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13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13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13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13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13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13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13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13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13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13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13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13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13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13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13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13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13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13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13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13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13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13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13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13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13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13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13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13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13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13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13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13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13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13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13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13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13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13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13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13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13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13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13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13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13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13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13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13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13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13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13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13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13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13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13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13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13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13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13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13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13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13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13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13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13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13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13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13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13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13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13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13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13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13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13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13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13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13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13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13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13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13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13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13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13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13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13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13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13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3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13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13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13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13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13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13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13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13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13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3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13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13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13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13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13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13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13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13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13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13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13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13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13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13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13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13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13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13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13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13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13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13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13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13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13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13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13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13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13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13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13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13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13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13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13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13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13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13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13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13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13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13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13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13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13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13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13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13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13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13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13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13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13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13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13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13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13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13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13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13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13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13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13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13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13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13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13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13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13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13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13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13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13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13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13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13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13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13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13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13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13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13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13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13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13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13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13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13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13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13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13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13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13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13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13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13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13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13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13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13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13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13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13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13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13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13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13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13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13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13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13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13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13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13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13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13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13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13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13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13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13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13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13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13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13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13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13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13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13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13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13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13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13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13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13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13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13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13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13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13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13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13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13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13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13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13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13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13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13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13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13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13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13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13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13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13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13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13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13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13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13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13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13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13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13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13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13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13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13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13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13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13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13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13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13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13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13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13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13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3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13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13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13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13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13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13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13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13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13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13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13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13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13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13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13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13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13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13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13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13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13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13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13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13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13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13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13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13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13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13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13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13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13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13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13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13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13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13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13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13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13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13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13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13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13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13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13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13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13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13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13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13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13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13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13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13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13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13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13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13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13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13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13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13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13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13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13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13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13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13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13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13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13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13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13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13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13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13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13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13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13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13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13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13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13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13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13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13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13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13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13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13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13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13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13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13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13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13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13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13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13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13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13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13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13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13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13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13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13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13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13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13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13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13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13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13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13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13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13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13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13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13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13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13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13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13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13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13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13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13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13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13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13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13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13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13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13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13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13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13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13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13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13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13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13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13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13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13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13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13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13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13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13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13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13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13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13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13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13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13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13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13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13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13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13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13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13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13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13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13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13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13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13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13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13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13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13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13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13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13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13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13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13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13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13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13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13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13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13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13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13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13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13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3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3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3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3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3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3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3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3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3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3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3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3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3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3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3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3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3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3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3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3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3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3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3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3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3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3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3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3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3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3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3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3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3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3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3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3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3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3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3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3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3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3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3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3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3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3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3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3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3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3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3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3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3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3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3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3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3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3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3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3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3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3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3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3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3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3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3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3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3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3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3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3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3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3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3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3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3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3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3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3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3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3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3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3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3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3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3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3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3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3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3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3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3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3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3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3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3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3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3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3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3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3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3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3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3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3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3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3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3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3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3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3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3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3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3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3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3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3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3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3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3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3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3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3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3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3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3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3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3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3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3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3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3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3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3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3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3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3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3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3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3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3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3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3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3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3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3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3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3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3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30"/>
      <c r="L972" s="3"/>
      <c r="M972" s="3"/>
      <c r="N972" s="3"/>
      <c r="O972" s="3"/>
      <c r="P972" s="3"/>
      <c r="Q972" s="3"/>
      <c r="R972" s="3"/>
      <c r="S972" s="141"/>
      <c r="T972" s="141"/>
      <c r="U972" s="141"/>
      <c r="V972" s="141"/>
      <c r="W972" s="141"/>
      <c r="X972" s="141"/>
      <c r="Y972" s="141"/>
      <c r="Z972" s="141"/>
      <c r="AA972" s="141"/>
      <c r="AB972" s="141"/>
      <c r="AC972" s="141"/>
      <c r="AD972" s="141"/>
      <c r="AE972" s="141"/>
    </row>
    <row r="973" spans="1:31" ht="1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30"/>
      <c r="L973" s="3"/>
      <c r="M973" s="3"/>
      <c r="N973" s="3"/>
      <c r="O973" s="3"/>
      <c r="P973" s="3"/>
      <c r="Q973" s="3"/>
      <c r="R973" s="3"/>
      <c r="S973" s="141"/>
      <c r="T973" s="141"/>
      <c r="U973" s="141"/>
      <c r="V973" s="141"/>
      <c r="W973" s="141"/>
      <c r="X973" s="141"/>
      <c r="Y973" s="141"/>
      <c r="Z973" s="141"/>
      <c r="AA973" s="141"/>
      <c r="AB973" s="141"/>
      <c r="AC973" s="141"/>
      <c r="AD973" s="141"/>
      <c r="AE973" s="141"/>
    </row>
    <row r="974" spans="1:31" ht="1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30"/>
      <c r="L974" s="3"/>
      <c r="M974" s="3"/>
      <c r="N974" s="3"/>
      <c r="O974" s="3"/>
      <c r="P974" s="3"/>
      <c r="Q974" s="3"/>
      <c r="R974" s="3"/>
      <c r="S974" s="141"/>
      <c r="T974" s="141"/>
      <c r="U974" s="141"/>
      <c r="V974" s="141"/>
      <c r="W974" s="141"/>
      <c r="X974" s="141"/>
      <c r="Y974" s="141"/>
      <c r="Z974" s="141"/>
      <c r="AA974" s="141"/>
      <c r="AB974" s="141"/>
      <c r="AC974" s="141"/>
      <c r="AD974" s="141"/>
      <c r="AE974" s="141"/>
    </row>
    <row r="975" spans="1:31" ht="1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30"/>
      <c r="L975" s="3"/>
      <c r="M975" s="3"/>
      <c r="N975" s="3"/>
      <c r="O975" s="3"/>
      <c r="P975" s="3"/>
      <c r="Q975" s="3"/>
      <c r="R975" s="3"/>
      <c r="S975" s="141"/>
      <c r="T975" s="141"/>
      <c r="U975" s="141"/>
      <c r="V975" s="141"/>
      <c r="W975" s="141"/>
      <c r="X975" s="141"/>
      <c r="Y975" s="141"/>
      <c r="Z975" s="141"/>
      <c r="AA975" s="141"/>
      <c r="AB975" s="141"/>
      <c r="AC975" s="141"/>
      <c r="AD975" s="141"/>
      <c r="AE975" s="141"/>
    </row>
    <row r="976" spans="1:31" ht="1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30"/>
      <c r="L976" s="3"/>
      <c r="M976" s="3"/>
      <c r="N976" s="3"/>
      <c r="O976" s="3"/>
      <c r="P976" s="3"/>
      <c r="Q976" s="3"/>
      <c r="R976" s="3"/>
      <c r="S976" s="141"/>
      <c r="T976" s="141"/>
      <c r="U976" s="141"/>
      <c r="V976" s="141"/>
      <c r="W976" s="141"/>
      <c r="X976" s="141"/>
      <c r="Y976" s="141"/>
      <c r="Z976" s="141"/>
      <c r="AA976" s="141"/>
      <c r="AB976" s="141"/>
      <c r="AC976" s="141"/>
      <c r="AD976" s="141"/>
      <c r="AE976" s="141"/>
    </row>
    <row r="977" spans="1:18" ht="1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30"/>
      <c r="L977" s="3"/>
      <c r="M977" s="3"/>
      <c r="N977" s="3"/>
      <c r="O977" s="3"/>
      <c r="P977" s="3"/>
      <c r="Q977" s="3"/>
      <c r="R977" s="3"/>
    </row>
  </sheetData>
  <mergeCells count="5">
    <mergeCell ref="A2:D2"/>
    <mergeCell ref="E2:N2"/>
    <mergeCell ref="O2:Q2"/>
    <mergeCell ref="A3:Q3"/>
    <mergeCell ref="E4:S4"/>
  </mergeCells>
  <pageMargins left="0.7" right="0.7" top="0.75" bottom="0.75" header="0" footer="0"/>
  <pageSetup orientation="portrait"/>
  <ignoredErrors>
    <ignoredError sqref="L9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7"/>
  <sheetViews>
    <sheetView zoomScale="170" zoomScaleNormal="170" workbookViewId="0">
      <pane xSplit="2" ySplit="3" topLeftCell="S17" activePane="bottomRight" state="frozen"/>
      <selection pane="bottomRight" activeCell="S17" sqref="S17"/>
      <selection pane="bottomLeft" activeCell="A4" sqref="A4"/>
      <selection pane="topRight" activeCell="C1" sqref="C1"/>
    </sheetView>
  </sheetViews>
  <sheetFormatPr defaultColWidth="10.7109375" defaultRowHeight="12.75"/>
  <cols>
    <col min="1" max="1" width="13.28515625" customWidth="1"/>
    <col min="2" max="2" width="11.28515625" customWidth="1"/>
    <col min="3" max="3" width="16.140625" style="73" bestFit="1" customWidth="1"/>
    <col min="4" max="4" width="11.28515625" style="56" customWidth="1"/>
    <col min="5" max="5" width="12.28515625" style="48" customWidth="1"/>
    <col min="6" max="6" width="15.42578125" style="39" customWidth="1"/>
    <col min="7" max="7" width="15" customWidth="1"/>
    <col min="8" max="9" width="12.28515625" style="48" customWidth="1"/>
    <col min="10" max="10" width="12.28515625" style="56" customWidth="1"/>
    <col min="11" max="11" width="13" style="56" customWidth="1"/>
    <col min="12" max="12" width="10.42578125" style="39" customWidth="1"/>
    <col min="13" max="13" width="11.140625" style="39" customWidth="1"/>
    <col min="14" max="14" width="12.85546875" style="56" customWidth="1"/>
    <col min="15" max="15" width="16.42578125" style="67" bestFit="1" customWidth="1"/>
    <col min="16" max="16" width="13" style="67" customWidth="1"/>
    <col min="17" max="17" width="15.28515625" bestFit="1" customWidth="1"/>
    <col min="18" max="18" width="14.28515625" style="45" customWidth="1"/>
    <col min="19" max="19" width="14.28515625" style="47" bestFit="1" customWidth="1"/>
    <col min="20" max="20" width="43.28515625" style="47" customWidth="1"/>
    <col min="21" max="21" width="40.140625" customWidth="1"/>
    <col min="22" max="22" width="25.85546875" customWidth="1"/>
    <col min="23" max="23" width="30.7109375" customWidth="1"/>
  </cols>
  <sheetData>
    <row r="1" spans="1:23" ht="13.15" thickBot="1">
      <c r="A1" s="21" t="s">
        <v>78</v>
      </c>
      <c r="B1" s="46">
        <v>45702</v>
      </c>
      <c r="C1" s="71"/>
      <c r="D1" s="62"/>
      <c r="E1" s="52"/>
      <c r="F1" s="74"/>
      <c r="G1" s="47"/>
      <c r="H1" s="50"/>
      <c r="I1" s="50"/>
      <c r="J1" s="54"/>
      <c r="K1" s="54"/>
      <c r="L1" s="53"/>
      <c r="M1" s="53"/>
      <c r="N1" s="54"/>
      <c r="O1" s="65"/>
      <c r="P1" s="65"/>
      <c r="Q1" s="47"/>
      <c r="R1" s="87"/>
      <c r="U1" s="141"/>
      <c r="V1" s="141"/>
      <c r="W1" s="141"/>
    </row>
    <row r="2" spans="1:23" ht="13.5" thickTop="1">
      <c r="A2" s="92" t="s">
        <v>79</v>
      </c>
      <c r="B2" s="93"/>
      <c r="C2" s="93"/>
      <c r="D2" s="103">
        <f>SUBTOTAL(101,Table2[GDP (USD billion)])</f>
        <v>3235.6482501467999</v>
      </c>
      <c r="E2" s="94">
        <f>SUBTOTAL(101,Table2[Full Year GDP  Growth])</f>
        <v>1.95E-2</v>
      </c>
      <c r="F2" s="95">
        <f>SUBTOTAL(101,Table2[GDP per capita PPP (USD)])</f>
        <v>59009.24</v>
      </c>
      <c r="G2" s="96">
        <f>SUBTOTAL(101,Table2[Unemployment])</f>
        <v>4.689999999999999E-2</v>
      </c>
      <c r="H2" s="94">
        <f>SUBTOTAL(101,Table2[Inflation rate])</f>
        <v>2.1873076923076922E-2</v>
      </c>
      <c r="I2" s="94">
        <f>SUBTOTAL(101,Table2[Interest Rate])</f>
        <v>3.8953846153846151E-2</v>
      </c>
      <c r="J2" s="97">
        <f>SUBTOTAL(101,Table2[Foreign Exchange Reserves (USD Million)])</f>
        <v>424954.63569691894</v>
      </c>
      <c r="K2" s="97">
        <f>SUBTOTAL(101,Table2[Balance Trade (USD Million)])</f>
        <v>1439.23108</v>
      </c>
      <c r="L2" s="95"/>
      <c r="M2" s="95"/>
      <c r="N2" s="105">
        <f>SUBTOTAL(101,Table2[Balance Trade %])</f>
        <v>0.13770282226298447</v>
      </c>
      <c r="O2" s="97">
        <f>SUBTOTAL(101,Table2[Foreign Direct Investment (USD Million)])</f>
        <v>49478.041199999992</v>
      </c>
      <c r="P2" s="96">
        <f>SUBTOTAL(101,Table2[Debt to GDP])</f>
        <v>0.78894799999999987</v>
      </c>
      <c r="Q2" s="98"/>
      <c r="R2" s="98"/>
      <c r="S2" s="98">
        <f>SUBTOTAL(101,Table2[Economic Freedom])</f>
        <v>69.442307692307679</v>
      </c>
      <c r="T2" s="99"/>
      <c r="U2" s="100"/>
      <c r="V2" s="100"/>
      <c r="W2" s="101">
        <f>SUBTOTAL(103,Table2[Debilidades])</f>
        <v>13</v>
      </c>
    </row>
    <row r="3" spans="1:23" ht="51">
      <c r="A3" s="43" t="s">
        <v>80</v>
      </c>
      <c r="B3" s="43" t="s">
        <v>81</v>
      </c>
      <c r="C3" s="72" t="s">
        <v>82</v>
      </c>
      <c r="D3" s="57" t="s">
        <v>83</v>
      </c>
      <c r="E3" s="59" t="s">
        <v>84</v>
      </c>
      <c r="F3" s="61" t="s">
        <v>85</v>
      </c>
      <c r="G3" s="43" t="s">
        <v>86</v>
      </c>
      <c r="H3" s="51" t="s">
        <v>87</v>
      </c>
      <c r="I3" s="51" t="s">
        <v>88</v>
      </c>
      <c r="J3" s="57" t="s">
        <v>89</v>
      </c>
      <c r="K3" s="57" t="s">
        <v>90</v>
      </c>
      <c r="L3" s="61" t="s">
        <v>91</v>
      </c>
      <c r="M3" s="61" t="s">
        <v>92</v>
      </c>
      <c r="N3" s="57" t="s">
        <v>93</v>
      </c>
      <c r="O3" s="57" t="s">
        <v>94</v>
      </c>
      <c r="P3" s="49" t="s">
        <v>95</v>
      </c>
      <c r="Q3" s="66" t="s">
        <v>96</v>
      </c>
      <c r="R3" s="66" t="s">
        <v>97</v>
      </c>
      <c r="S3" s="44" t="s">
        <v>98</v>
      </c>
      <c r="T3" s="44" t="s">
        <v>99</v>
      </c>
      <c r="U3" s="43" t="s">
        <v>100</v>
      </c>
      <c r="V3" s="43" t="s">
        <v>101</v>
      </c>
      <c r="W3" s="43" t="s">
        <v>102</v>
      </c>
    </row>
    <row r="4" spans="1:23">
      <c r="A4" s="3" t="s">
        <v>76</v>
      </c>
      <c r="B4" s="3" t="s">
        <v>77</v>
      </c>
      <c r="C4" s="70">
        <v>0.74</v>
      </c>
      <c r="D4" s="63">
        <v>501</v>
      </c>
      <c r="E4" s="81">
        <v>1.0999999999999999E-2</v>
      </c>
      <c r="F4" s="60">
        <v>127544</v>
      </c>
      <c r="G4" s="82">
        <v>1.9E-2</v>
      </c>
      <c r="H4" s="81">
        <v>1.6E-2</v>
      </c>
      <c r="I4" s="81">
        <v>2.53E-2</v>
      </c>
      <c r="J4" s="62">
        <v>380039.21</v>
      </c>
      <c r="K4" s="62">
        <v>2185.44</v>
      </c>
      <c r="L4" s="62">
        <v>44084.78</v>
      </c>
      <c r="M4" s="62">
        <v>41885.86</v>
      </c>
      <c r="N4" s="89">
        <f>IFERROR(  (Table2[[#This Row],[Exports (USD Million)]] / Table2[[#This Row],[Imports (USD Million)]] ) - 1,  0)</f>
        <v>5.2497907408371125E-2</v>
      </c>
      <c r="O4" s="62">
        <v>45252.95</v>
      </c>
      <c r="P4" s="82">
        <v>1.71</v>
      </c>
      <c r="Q4" s="84">
        <v>16</v>
      </c>
      <c r="R4" s="84"/>
      <c r="S4" s="85">
        <v>83.5</v>
      </c>
      <c r="T4" s="87"/>
      <c r="U4" s="87"/>
      <c r="V4" s="87"/>
      <c r="W4" s="87"/>
    </row>
    <row r="5" spans="1:23">
      <c r="A5" s="3" t="s">
        <v>103</v>
      </c>
      <c r="B5" s="3" t="s">
        <v>104</v>
      </c>
      <c r="C5" s="70">
        <v>1.1100000000000001</v>
      </c>
      <c r="D5" s="106">
        <v>885</v>
      </c>
      <c r="E5" s="107">
        <v>7.1999999999999998E-3</v>
      </c>
      <c r="F5" s="114">
        <v>82914</v>
      </c>
      <c r="G5" s="109">
        <v>0.03</v>
      </c>
      <c r="H5" s="110">
        <v>4.0000000000000001E-3</v>
      </c>
      <c r="I5" s="110">
        <v>5.0000000000000001E-3</v>
      </c>
      <c r="J5" s="111">
        <v>813887.68</v>
      </c>
      <c r="K5" s="115">
        <v>4336</v>
      </c>
      <c r="L5" s="115">
        <v>25324.14</v>
      </c>
      <c r="M5" s="115">
        <v>20837.29</v>
      </c>
      <c r="N5" s="116">
        <f>IFERROR(  (Table2[[#This Row],[Exports (USD Million)]] / Table2[[#This Row],[Imports (USD Million)]] ) - 1,  0)</f>
        <v>0.21532790492429665</v>
      </c>
      <c r="O5" s="115">
        <v>1028222.98</v>
      </c>
      <c r="P5" s="109">
        <v>0.38300000000000001</v>
      </c>
      <c r="Q5" s="117">
        <v>102</v>
      </c>
      <c r="R5" s="117">
        <v>-29</v>
      </c>
      <c r="S5" s="86">
        <v>83</v>
      </c>
      <c r="T5" s="87"/>
      <c r="U5" s="87"/>
      <c r="V5" s="87"/>
      <c r="W5" s="87"/>
    </row>
    <row r="6" spans="1:23" ht="76.5">
      <c r="A6" s="3" t="s">
        <v>105</v>
      </c>
      <c r="B6" s="3" t="s">
        <v>106</v>
      </c>
      <c r="C6" s="70">
        <v>1.04</v>
      </c>
      <c r="D6" s="106">
        <v>546</v>
      </c>
      <c r="E6" s="107">
        <v>3.0000000000000001E-3</v>
      </c>
      <c r="F6" s="114">
        <v>115625</v>
      </c>
      <c r="G6" s="109">
        <v>0.04</v>
      </c>
      <c r="H6" s="107">
        <v>1.4E-2</v>
      </c>
      <c r="I6" s="107">
        <v>2.9000000000000001E-2</v>
      </c>
      <c r="J6" s="115">
        <v>12123</v>
      </c>
      <c r="K6" s="115">
        <v>4010.0569999999998</v>
      </c>
      <c r="L6" s="115">
        <v>16217.18</v>
      </c>
      <c r="M6" s="115">
        <v>12195.4</v>
      </c>
      <c r="N6" s="116">
        <f>IFERROR(  (Table2[[#This Row],[Exports (USD Million)]] / Table2[[#This Row],[Imports (USD Million)]] ) - 1,  0)</f>
        <v>0.32977844105154408</v>
      </c>
      <c r="O6" s="115">
        <v>11741.03</v>
      </c>
      <c r="P6" s="109">
        <v>0.437</v>
      </c>
      <c r="Q6" s="117"/>
      <c r="R6" s="117">
        <v>74.900000000000006</v>
      </c>
      <c r="S6" s="85">
        <v>82.6</v>
      </c>
      <c r="T6" s="87"/>
      <c r="U6" s="88" t="s">
        <v>107</v>
      </c>
      <c r="V6" s="88" t="s">
        <v>108</v>
      </c>
      <c r="W6" s="88" t="s">
        <v>109</v>
      </c>
    </row>
    <row r="7" spans="1:23" s="118" customFormat="1">
      <c r="A7" s="3" t="s">
        <v>110</v>
      </c>
      <c r="B7" s="3" t="s">
        <v>77</v>
      </c>
      <c r="C7" s="70">
        <f>1/32.75</f>
        <v>3.0534351145038167E-2</v>
      </c>
      <c r="D7" s="63">
        <f>6127.345*Table2[[#This Row],[Currency (to USD)]]</f>
        <v>187.09450381679389</v>
      </c>
      <c r="E7" s="81">
        <v>4.2999999999999997E-2</v>
      </c>
      <c r="F7" s="60"/>
      <c r="G7" s="82">
        <v>3.39E-2</v>
      </c>
      <c r="H7" s="81">
        <v>2.6599999999999999E-2</v>
      </c>
      <c r="I7" s="81">
        <v>0.02</v>
      </c>
      <c r="J7" s="55">
        <f>5776*100</f>
        <v>577600</v>
      </c>
      <c r="K7" s="62">
        <v>9970</v>
      </c>
      <c r="L7" s="62">
        <v>38711</v>
      </c>
      <c r="M7" s="62">
        <v>28738</v>
      </c>
      <c r="N7" s="89">
        <f>IFERROR(  (Table2[[#This Row],[Exports (USD Million)]] / Table2[[#This Row],[Imports (USD Million)]] ) - 1,  0)</f>
        <v>0.34703180457930261</v>
      </c>
      <c r="O7" s="62">
        <v>667</v>
      </c>
      <c r="P7" s="82"/>
      <c r="Q7" s="84"/>
      <c r="R7" s="84">
        <v>72.540000000000006</v>
      </c>
      <c r="S7" s="86">
        <v>80</v>
      </c>
      <c r="T7" s="87"/>
      <c r="U7" s="87"/>
      <c r="V7" s="87"/>
      <c r="W7" s="87"/>
    </row>
    <row r="8" spans="1:23">
      <c r="A8" s="3" t="s">
        <v>111</v>
      </c>
      <c r="B8" s="3"/>
      <c r="C8" s="70">
        <v>1.04</v>
      </c>
      <c r="D8" s="63">
        <v>85.76</v>
      </c>
      <c r="E8" s="81">
        <v>-1.0999999999999999E-2</v>
      </c>
      <c r="F8" s="60">
        <v>132414</v>
      </c>
      <c r="G8" s="82">
        <v>5.8999999999999997E-2</v>
      </c>
      <c r="H8" s="81">
        <v>1.9400000000000001E-2</v>
      </c>
      <c r="I8" s="81">
        <v>2.9000000000000001E-2</v>
      </c>
      <c r="J8" s="62">
        <v>2832.9</v>
      </c>
      <c r="K8" s="62">
        <v>-770</v>
      </c>
      <c r="L8" s="62">
        <v>1308.06</v>
      </c>
      <c r="M8" s="62">
        <v>1988.25</v>
      </c>
      <c r="N8" s="89">
        <f>IFERROR(  (Table2[[#This Row],[Exports (USD Million)]] / Table2[[#This Row],[Imports (USD Million)]] ) - 1,  0)</f>
        <v>-0.34210486608826862</v>
      </c>
      <c r="O8" s="62">
        <v>-24444</v>
      </c>
      <c r="P8" s="82">
        <v>0.25700000000000001</v>
      </c>
      <c r="Q8" s="84">
        <v>98.1</v>
      </c>
      <c r="R8" s="84">
        <v>-7.8</v>
      </c>
      <c r="S8" s="85">
        <v>79.2</v>
      </c>
      <c r="T8" s="87"/>
      <c r="U8" s="87"/>
      <c r="V8" s="87"/>
      <c r="W8" s="87"/>
    </row>
    <row r="9" spans="1:23" ht="52.15" customHeight="1">
      <c r="A9" s="3" t="s">
        <v>112</v>
      </c>
      <c r="B9" s="3" t="s">
        <v>113</v>
      </c>
      <c r="C9" s="70">
        <v>9.2999999999999999E-2</v>
      </c>
      <c r="D9" s="63">
        <v>593</v>
      </c>
      <c r="E9" s="81">
        <v>6.0000000000000001E-3</v>
      </c>
      <c r="F9" s="60">
        <v>64191</v>
      </c>
      <c r="G9" s="82">
        <v>0.104</v>
      </c>
      <c r="H9" s="81">
        <v>8.9999999999999993E-3</v>
      </c>
      <c r="I9" s="81">
        <v>2.2499999999999999E-2</v>
      </c>
      <c r="J9" s="62">
        <v>67195.89</v>
      </c>
      <c r="K9" s="62">
        <v>577.82000000000005</v>
      </c>
      <c r="L9" s="62">
        <v>14898.47</v>
      </c>
      <c r="M9" s="62">
        <v>14316.43</v>
      </c>
      <c r="N9" s="89">
        <f>IFERROR(  (Table2[[#This Row],[Exports (USD Million)]] / Table2[[#This Row],[Imports (USD Million)]] ) - 1,  0)</f>
        <v>4.0655386852727959E-2</v>
      </c>
      <c r="O9" s="62">
        <v>5144.5</v>
      </c>
      <c r="P9" s="82">
        <v>0.315</v>
      </c>
      <c r="Q9" s="84">
        <v>101</v>
      </c>
      <c r="R9" s="84">
        <v>99.1</v>
      </c>
      <c r="S9" s="85">
        <v>77.5</v>
      </c>
      <c r="T9" s="87"/>
      <c r="U9" s="87"/>
      <c r="V9" s="87"/>
      <c r="W9" s="87"/>
    </row>
    <row r="10" spans="1:23">
      <c r="A10" s="3" t="s">
        <v>114</v>
      </c>
      <c r="B10" s="3" t="s">
        <v>115</v>
      </c>
      <c r="C10" s="70">
        <v>0.09</v>
      </c>
      <c r="D10" s="63">
        <v>486</v>
      </c>
      <c r="E10" s="81">
        <v>2.1000000000000001E-2</v>
      </c>
      <c r="F10" s="60">
        <v>90501</v>
      </c>
      <c r="G10" s="82">
        <v>4.2000000000000003E-2</v>
      </c>
      <c r="H10" s="81">
        <v>2.3E-2</v>
      </c>
      <c r="I10" s="81">
        <v>4.4999999999999998E-2</v>
      </c>
      <c r="J10" s="62">
        <v>85737.05</v>
      </c>
      <c r="K10" s="62">
        <v>8520.2900000000009</v>
      </c>
      <c r="L10" s="62">
        <v>15925.54</v>
      </c>
      <c r="M10" s="62">
        <v>7419.31</v>
      </c>
      <c r="N10" s="89">
        <f>IFERROR(  (Table2[[#This Row],[Exports (USD Million)]] / Table2[[#This Row],[Imports (USD Million)]] ) - 1,  0)</f>
        <v>1.1464987984057817</v>
      </c>
      <c r="O10" s="62">
        <v>-20031</v>
      </c>
      <c r="P10" s="82">
        <v>0.443</v>
      </c>
      <c r="Q10" s="84">
        <v>5.5</v>
      </c>
      <c r="R10" s="84">
        <v>-14.4</v>
      </c>
      <c r="S10" s="85">
        <v>77.5</v>
      </c>
      <c r="T10" s="87"/>
      <c r="U10" s="87"/>
      <c r="V10" s="87"/>
      <c r="W10" s="87"/>
    </row>
    <row r="11" spans="1:23">
      <c r="A11" s="3" t="s">
        <v>116</v>
      </c>
      <c r="B11" s="3" t="s">
        <v>117</v>
      </c>
      <c r="C11" s="70">
        <v>1.04</v>
      </c>
      <c r="D11" s="63">
        <v>1118</v>
      </c>
      <c r="E11" s="81">
        <v>8.9999999999999993E-3</v>
      </c>
      <c r="F11" s="60">
        <v>9970</v>
      </c>
      <c r="G11" s="82">
        <v>3.6999999999999998E-2</v>
      </c>
      <c r="H11" s="81">
        <v>3.3000000000000002E-2</v>
      </c>
      <c r="I11" s="81">
        <v>2.9000000000000001E-2</v>
      </c>
      <c r="J11" s="62">
        <v>83071.06</v>
      </c>
      <c r="K11" s="62">
        <v>10717.13</v>
      </c>
      <c r="L11" s="62">
        <v>68942.22</v>
      </c>
      <c r="M11" s="62">
        <v>58177.39</v>
      </c>
      <c r="N11" s="89">
        <f>IFERROR(  (Table2[[#This Row],[Exports (USD Million)]] / Table2[[#This Row],[Imports (USD Million)]] ) - 1,  0)</f>
        <v>0.1850345984926447</v>
      </c>
      <c r="O11" s="62">
        <v>13833.2</v>
      </c>
      <c r="P11" s="82">
        <v>0.46800000000000003</v>
      </c>
      <c r="Q11" s="84">
        <v>-1.6</v>
      </c>
      <c r="R11" s="84">
        <v>-28</v>
      </c>
      <c r="S11" s="85">
        <v>77.3</v>
      </c>
      <c r="T11" s="87"/>
      <c r="U11" s="87"/>
      <c r="V11" s="87"/>
      <c r="W11" s="87"/>
    </row>
    <row r="12" spans="1:23" ht="51">
      <c r="A12" s="3" t="s">
        <v>74</v>
      </c>
      <c r="B12" s="3" t="s">
        <v>75</v>
      </c>
      <c r="C12" s="70">
        <v>0.63</v>
      </c>
      <c r="D12" s="106">
        <v>1724</v>
      </c>
      <c r="E12" s="107">
        <v>1.4999999999999999E-2</v>
      </c>
      <c r="F12" s="114">
        <v>59456</v>
      </c>
      <c r="G12" s="109">
        <v>0.04</v>
      </c>
      <c r="H12" s="107">
        <v>2.4E-2</v>
      </c>
      <c r="I12" s="107">
        <v>4.1000000000000002E-2</v>
      </c>
      <c r="J12" s="115">
        <v>66075.509999999995</v>
      </c>
      <c r="K12" s="115">
        <v>3226.49</v>
      </c>
      <c r="L12" s="115">
        <v>27979.16</v>
      </c>
      <c r="M12" s="115">
        <v>24747.64</v>
      </c>
      <c r="N12" s="116">
        <f>IFERROR(  (Table2[[#This Row],[Exports (USD Million)]] / Table2[[#This Row],[Imports (USD Million)]] ) - 1,  0)</f>
        <v>0.13057891580772951</v>
      </c>
      <c r="O12" s="115">
        <v>28553.03</v>
      </c>
      <c r="P12" s="109">
        <v>0.438</v>
      </c>
      <c r="Q12" s="117">
        <v>4</v>
      </c>
      <c r="R12" s="117">
        <v>92.2</v>
      </c>
      <c r="S12" s="85">
        <v>76.2</v>
      </c>
      <c r="T12" s="87"/>
      <c r="U12" s="87"/>
      <c r="V12" s="88" t="s">
        <v>118</v>
      </c>
      <c r="W12" s="88" t="s">
        <v>119</v>
      </c>
    </row>
    <row r="13" spans="1:23" ht="113.1" customHeight="1">
      <c r="A13" s="3" t="s">
        <v>70</v>
      </c>
      <c r="B13" s="3" t="s">
        <v>71</v>
      </c>
      <c r="C13" s="69">
        <v>6.8999999999999997E-4</v>
      </c>
      <c r="D13" s="63">
        <v>1713</v>
      </c>
      <c r="E13" s="81">
        <v>0.02</v>
      </c>
      <c r="F13" s="60">
        <v>50572</v>
      </c>
      <c r="G13" s="82">
        <v>2.9000000000000001E-2</v>
      </c>
      <c r="H13" s="81">
        <v>2.1999999999999999E-2</v>
      </c>
      <c r="I13" s="81">
        <v>0.03</v>
      </c>
      <c r="J13" s="62">
        <v>411000</v>
      </c>
      <c r="K13" s="62">
        <v>-1890</v>
      </c>
      <c r="L13" s="62">
        <v>49120</v>
      </c>
      <c r="M13" s="62">
        <v>51000</v>
      </c>
      <c r="N13" s="89">
        <f>IFERROR(  (Table2[[#This Row],[Exports (USD Million)]] / Table2[[#This Row],[Imports (USD Million)]] ) - 1,  0)</f>
        <v>-3.6862745098039218E-2</v>
      </c>
      <c r="O13" s="62">
        <v>9385</v>
      </c>
      <c r="P13" s="82">
        <v>0.51500000000000001</v>
      </c>
      <c r="Q13" s="84">
        <v>63</v>
      </c>
      <c r="R13" s="84">
        <v>91.2</v>
      </c>
      <c r="S13" s="85">
        <v>73.099999999999994</v>
      </c>
      <c r="T13" s="87"/>
      <c r="U13" s="87"/>
      <c r="V13" s="87"/>
      <c r="W13" s="87"/>
    </row>
    <row r="14" spans="1:23" ht="127.5">
      <c r="A14" s="3" t="s">
        <v>58</v>
      </c>
      <c r="B14" s="3" t="s">
        <v>59</v>
      </c>
      <c r="C14" s="70">
        <v>0.7</v>
      </c>
      <c r="D14" s="106">
        <v>2140</v>
      </c>
      <c r="E14" s="107">
        <v>1.2500000000000001E-2</v>
      </c>
      <c r="F14" s="114">
        <v>55818</v>
      </c>
      <c r="G14" s="109">
        <v>6.6000000000000003E-2</v>
      </c>
      <c r="H14" s="107">
        <v>1.9E-2</v>
      </c>
      <c r="I14" s="107">
        <v>0.03</v>
      </c>
      <c r="J14" s="115">
        <v>117896</v>
      </c>
      <c r="K14" s="115">
        <v>499.02</v>
      </c>
      <c r="L14" s="115">
        <v>25180</v>
      </c>
      <c r="M14" s="115">
        <v>23016</v>
      </c>
      <c r="N14" s="116">
        <f>IFERROR(  (Table2[[#This Row],[Exports (USD Million)]] / Table2[[#This Row],[Imports (USD Million)]] ) - 1,  0)</f>
        <v>9.402155022592984E-2</v>
      </c>
      <c r="O14" s="115">
        <v>19052.150000000001</v>
      </c>
      <c r="P14" s="109">
        <v>1.08</v>
      </c>
      <c r="Q14" s="117">
        <v>47.1</v>
      </c>
      <c r="R14" s="117">
        <v>47.9</v>
      </c>
      <c r="S14" s="85">
        <v>72.400000000000006</v>
      </c>
      <c r="T14" s="88" t="s">
        <v>120</v>
      </c>
      <c r="U14" s="88" t="s">
        <v>121</v>
      </c>
      <c r="V14" s="88" t="s">
        <v>122</v>
      </c>
      <c r="W14" s="88" t="s">
        <v>123</v>
      </c>
    </row>
    <row r="15" spans="1:23" ht="76.5">
      <c r="A15" s="3" t="s">
        <v>124</v>
      </c>
      <c r="B15" s="3" t="s">
        <v>125</v>
      </c>
      <c r="C15" s="70">
        <v>1.04</v>
      </c>
      <c r="D15" s="63">
        <v>4456</v>
      </c>
      <c r="E15" s="81">
        <v>-2E-3</v>
      </c>
      <c r="F15" s="60">
        <v>61909</v>
      </c>
      <c r="G15" s="82">
        <v>6.2E-2</v>
      </c>
      <c r="H15" s="81">
        <v>2.3E-2</v>
      </c>
      <c r="I15" s="81">
        <v>2.9000000000000001E-2</v>
      </c>
      <c r="J15" s="62">
        <v>401731.47</v>
      </c>
      <c r="K15" s="62">
        <v>21591.18</v>
      </c>
      <c r="L15" s="62">
        <v>138131.4</v>
      </c>
      <c r="M15" s="62">
        <v>116155.95</v>
      </c>
      <c r="N15" s="89">
        <f>IFERROR(  (Table2[[#This Row],[Exports (USD Million)]] / Table2[[#This Row],[Imports (USD Million)]] ) - 1,  0)</f>
        <v>0.18918918918918926</v>
      </c>
      <c r="O15" s="62">
        <v>-22221</v>
      </c>
      <c r="P15" s="82">
        <v>0.629</v>
      </c>
      <c r="Q15" s="84">
        <v>85.1</v>
      </c>
      <c r="R15" s="84">
        <v>-22.4</v>
      </c>
      <c r="S15" s="85">
        <v>72.099999999999994</v>
      </c>
      <c r="T15" s="87"/>
      <c r="U15" s="88" t="s">
        <v>126</v>
      </c>
      <c r="V15" s="88" t="s">
        <v>127</v>
      </c>
      <c r="W15" s="88" t="s">
        <v>128</v>
      </c>
    </row>
    <row r="16" spans="1:23" ht="25.5">
      <c r="A16" s="3" t="s">
        <v>129</v>
      </c>
      <c r="B16" s="3" t="s">
        <v>130</v>
      </c>
      <c r="C16" s="70">
        <f>1/3.67</f>
        <v>0.27247956403269757</v>
      </c>
      <c r="D16" s="63">
        <v>504</v>
      </c>
      <c r="E16" s="81">
        <v>3.5999999999999997E-2</v>
      </c>
      <c r="F16" s="60">
        <v>75627</v>
      </c>
      <c r="G16" s="82">
        <v>2.9499999999999998E-2</v>
      </c>
      <c r="H16" s="81">
        <v>2.8899999999999999E-2</v>
      </c>
      <c r="I16" s="81">
        <v>4.3999999999999997E-2</v>
      </c>
      <c r="J16" s="62">
        <f>826*Table2[[#This Row],[Currency (to USD)]]</f>
        <v>225.06811989100819</v>
      </c>
      <c r="K16" s="62"/>
      <c r="L16" s="62"/>
      <c r="M16" s="62"/>
      <c r="N16" s="89">
        <f>IFERROR(  (Table2[[#This Row],[Exports (USD Million)]] / Table2[[#This Row],[Imports (USD Million)]] ) - 1,  0)</f>
        <v>0</v>
      </c>
      <c r="O16" s="62"/>
      <c r="P16" s="82">
        <v>0.32400000000000001</v>
      </c>
      <c r="Q16" s="84"/>
      <c r="R16" s="84"/>
      <c r="S16" s="85">
        <v>71.099999999999994</v>
      </c>
      <c r="T16" s="87"/>
      <c r="U16" s="87"/>
      <c r="V16" s="87"/>
      <c r="W16" s="87"/>
    </row>
    <row r="17" spans="1:23" ht="76.5">
      <c r="A17" s="3" t="s">
        <v>131</v>
      </c>
      <c r="B17" s="3" t="s">
        <v>57</v>
      </c>
      <c r="C17" s="70">
        <v>1</v>
      </c>
      <c r="D17" s="63">
        <v>27361</v>
      </c>
      <c r="E17" s="81">
        <v>2.8000000000000001E-2</v>
      </c>
      <c r="F17" s="60">
        <v>73637</v>
      </c>
      <c r="G17" s="82">
        <v>0.04</v>
      </c>
      <c r="H17" s="81">
        <v>0.03</v>
      </c>
      <c r="I17" s="81">
        <v>4.4999999999999998E-2</v>
      </c>
      <c r="J17" s="55">
        <v>34865</v>
      </c>
      <c r="K17" s="62">
        <v>-98430</v>
      </c>
      <c r="L17" s="62">
        <v>267000</v>
      </c>
      <c r="M17" s="62">
        <v>365000</v>
      </c>
      <c r="N17" s="89">
        <f>IFERROR(  (Table2[[#This Row],[Exports (USD Million)]] / Table2[[#This Row],[Imports (USD Million)]] ) - 1,  0)</f>
        <v>-0.26849315068493151</v>
      </c>
      <c r="O17" s="83">
        <v>75589</v>
      </c>
      <c r="P17" s="82">
        <v>1.22</v>
      </c>
      <c r="Q17" s="84">
        <v>50.9</v>
      </c>
      <c r="R17" s="84">
        <v>67.8</v>
      </c>
      <c r="S17" s="85">
        <v>70.099999999999994</v>
      </c>
      <c r="T17" s="87"/>
      <c r="U17" s="88" t="s">
        <v>132</v>
      </c>
      <c r="V17" s="88" t="s">
        <v>133</v>
      </c>
      <c r="W17" s="88" t="s">
        <v>134</v>
      </c>
    </row>
    <row r="18" spans="1:23">
      <c r="A18" s="3" t="s">
        <v>135</v>
      </c>
      <c r="B18" s="3" t="s">
        <v>136</v>
      </c>
      <c r="C18" s="70">
        <f>1/3.64</f>
        <v>0.27472527472527469</v>
      </c>
      <c r="D18" s="63">
        <v>213</v>
      </c>
      <c r="E18" s="81">
        <v>1.9E-2</v>
      </c>
      <c r="F18" s="60">
        <v>113157</v>
      </c>
      <c r="G18" s="82">
        <v>1E-3</v>
      </c>
      <c r="H18" s="81">
        <v>2.3999999999999998E-3</v>
      </c>
      <c r="I18" s="81">
        <v>5.0999999999999997E-2</v>
      </c>
      <c r="J18" s="62">
        <v>70031.990000000005</v>
      </c>
      <c r="K18" s="62">
        <v>5061.17</v>
      </c>
      <c r="L18" s="62">
        <v>8567.7800000000007</v>
      </c>
      <c r="M18" s="62">
        <v>3505.56</v>
      </c>
      <c r="N18" s="89">
        <f>IFERROR(  (Table2[[#This Row],[Exports (USD Million)]] / Table2[[#This Row],[Imports (USD Million)]] ) - 1,  0)</f>
        <v>1.4440545875694615</v>
      </c>
      <c r="O18" s="62">
        <v>218.88</v>
      </c>
      <c r="P18" s="82">
        <v>0.433</v>
      </c>
      <c r="Q18" s="84"/>
      <c r="R18" s="84"/>
      <c r="S18" s="85">
        <v>68.8</v>
      </c>
      <c r="T18" s="87"/>
      <c r="U18" s="87"/>
      <c r="V18" s="87"/>
      <c r="W18" s="87"/>
    </row>
    <row r="19" spans="1:23" ht="76.5">
      <c r="A19" s="3" t="s">
        <v>137</v>
      </c>
      <c r="B19" s="3" t="s">
        <v>138</v>
      </c>
      <c r="C19" s="70">
        <v>1.26</v>
      </c>
      <c r="D19" s="63">
        <v>3340</v>
      </c>
      <c r="E19" s="81">
        <v>8.9999999999999993E-3</v>
      </c>
      <c r="F19" s="60">
        <v>54126</v>
      </c>
      <c r="G19" s="82">
        <v>4.3999999999999997E-2</v>
      </c>
      <c r="H19" s="81">
        <v>0.03</v>
      </c>
      <c r="I19" s="81">
        <v>4.4999999999999998E-2</v>
      </c>
      <c r="J19" s="62">
        <v>185835</v>
      </c>
      <c r="K19" s="62">
        <v>-3541.27</v>
      </c>
      <c r="L19" s="62">
        <v>87241.64</v>
      </c>
      <c r="M19" s="62">
        <v>90798.82</v>
      </c>
      <c r="N19" s="89">
        <f>IFERROR(  (Table2[[#This Row],[Exports (USD Million)]] / Table2[[#This Row],[Imports (USD Million)]] ) - 1,  0)</f>
        <v>-3.9176500311347784E-2</v>
      </c>
      <c r="O19" s="62">
        <v>-8299.85</v>
      </c>
      <c r="P19" s="82">
        <v>0.97599999999999998</v>
      </c>
      <c r="Q19" s="84">
        <v>-47</v>
      </c>
      <c r="R19" s="84">
        <v>-22</v>
      </c>
      <c r="S19" s="85">
        <v>68.599999999999994</v>
      </c>
      <c r="T19" s="88" t="s">
        <v>139</v>
      </c>
      <c r="U19" s="88" t="s">
        <v>140</v>
      </c>
      <c r="V19" s="88" t="s">
        <v>141</v>
      </c>
      <c r="W19" s="88" t="s">
        <v>142</v>
      </c>
    </row>
    <row r="20" spans="1:23" ht="63.75">
      <c r="A20" s="3" t="s">
        <v>66</v>
      </c>
      <c r="B20" s="3" t="s">
        <v>67</v>
      </c>
      <c r="C20" s="70">
        <v>6.6E-3</v>
      </c>
      <c r="D20" s="63">
        <v>4213</v>
      </c>
      <c r="E20" s="81">
        <v>1E-3</v>
      </c>
      <c r="F20" s="60">
        <v>46268</v>
      </c>
      <c r="G20" s="82">
        <v>2.4E-2</v>
      </c>
      <c r="H20" s="81">
        <v>3.5999999999999997E-2</v>
      </c>
      <c r="I20" s="81">
        <v>5.0000000000000001E-3</v>
      </c>
      <c r="J20" s="62">
        <v>1240600</v>
      </c>
      <c r="K20" s="62">
        <v>-18216.45</v>
      </c>
      <c r="L20" s="62">
        <v>52698.944560000004</v>
      </c>
      <c r="M20" s="62">
        <v>71187.803669999994</v>
      </c>
      <c r="N20" s="89">
        <f>IFERROR(  (Table2[[#This Row],[Exports (USD Million)]] / Table2[[#This Row],[Imports (USD Million)]] ) - 1,  0)</f>
        <v>-0.25971947660736128</v>
      </c>
      <c r="O20" s="62">
        <v>20421.04</v>
      </c>
      <c r="P20" s="82">
        <v>2.5499999999999998</v>
      </c>
      <c r="Q20" s="84">
        <v>14</v>
      </c>
      <c r="R20" s="84">
        <v>35.200000000000003</v>
      </c>
      <c r="S20" s="85">
        <v>67.5</v>
      </c>
      <c r="T20" s="88" t="s">
        <v>143</v>
      </c>
      <c r="U20" s="88" t="s">
        <v>144</v>
      </c>
      <c r="V20" s="88" t="s">
        <v>145</v>
      </c>
      <c r="W20" s="88" t="s">
        <v>146</v>
      </c>
    </row>
    <row r="21" spans="1:23" ht="140.25">
      <c r="A21" s="3" t="s">
        <v>147</v>
      </c>
      <c r="B21" s="3" t="s">
        <v>148</v>
      </c>
      <c r="C21" s="69">
        <f>1/16032</f>
        <v>6.2375249500997999E-5</v>
      </c>
      <c r="D21" s="106">
        <v>1371</v>
      </c>
      <c r="E21" s="107">
        <v>5.0299999999999997E-2</v>
      </c>
      <c r="F21" s="108">
        <v>13890</v>
      </c>
      <c r="G21" s="109">
        <v>4.9099999999999998E-2</v>
      </c>
      <c r="H21" s="110">
        <v>7.6E-3</v>
      </c>
      <c r="I21" s="110">
        <v>5.7500000000000002E-2</v>
      </c>
      <c r="J21" s="111">
        <v>156100</v>
      </c>
      <c r="K21" s="111">
        <v>3450</v>
      </c>
      <c r="L21" s="111">
        <v>21452</v>
      </c>
      <c r="M21" s="111">
        <v>18000</v>
      </c>
      <c r="N21" s="112">
        <f>IFERROR(  (Table2[[#This Row],[Exports (USD Million)]] / Table2[[#This Row],[Imports (USD Million)]] ) - 1,  0)</f>
        <v>0.19177777777777782</v>
      </c>
      <c r="O21" s="111">
        <v>15028</v>
      </c>
      <c r="P21" s="109">
        <v>0.39300000000000002</v>
      </c>
      <c r="Q21" s="113">
        <v>12.46</v>
      </c>
      <c r="R21" s="113">
        <v>127</v>
      </c>
      <c r="S21" s="85">
        <v>63.5</v>
      </c>
      <c r="T21" s="88" t="s">
        <v>149</v>
      </c>
      <c r="U21" s="88" t="s">
        <v>150</v>
      </c>
      <c r="V21" s="88" t="s">
        <v>151</v>
      </c>
      <c r="W21" s="88" t="s">
        <v>152</v>
      </c>
    </row>
    <row r="22" spans="1:23">
      <c r="A22" s="3" t="s">
        <v>153</v>
      </c>
      <c r="B22" s="3" t="s">
        <v>154</v>
      </c>
      <c r="C22" s="70">
        <v>1.04</v>
      </c>
      <c r="D22" s="63">
        <v>1581</v>
      </c>
      <c r="E22" s="81">
        <v>3.2000000000000001E-2</v>
      </c>
      <c r="F22" s="60">
        <v>46357</v>
      </c>
      <c r="G22" s="82">
        <v>0.1061</v>
      </c>
      <c r="H22" s="81">
        <v>2.9000000000000001E-2</v>
      </c>
      <c r="I22" s="81">
        <v>2.9000000000000001E-2</v>
      </c>
      <c r="J22" s="62">
        <v>1079037.1000000001</v>
      </c>
      <c r="K22" s="62">
        <v>-4121.5</v>
      </c>
      <c r="L22" s="62">
        <v>31119.748680000001</v>
      </c>
      <c r="M22" s="62">
        <v>35432.58771</v>
      </c>
      <c r="N22" s="89">
        <f>IFERROR(  (Table2[[#This Row],[Exports (USD Million)]] / Table2[[#This Row],[Imports (USD Million)]] ) - 1,  0)</f>
        <v>-0.12171956124962346</v>
      </c>
      <c r="O22" s="62">
        <v>2474.9499999999998</v>
      </c>
      <c r="P22" s="82">
        <v>1.08</v>
      </c>
      <c r="Q22" s="84">
        <v>-5.0999999999999996</v>
      </c>
      <c r="R22" s="84">
        <v>85</v>
      </c>
      <c r="S22" s="85">
        <v>63.3</v>
      </c>
      <c r="T22" s="87"/>
      <c r="U22" s="87"/>
      <c r="V22" s="87"/>
      <c r="W22" s="87"/>
    </row>
    <row r="23" spans="1:23" ht="114.75">
      <c r="A23" s="3" t="s">
        <v>155</v>
      </c>
      <c r="B23" s="3" t="s">
        <v>156</v>
      </c>
      <c r="C23" s="70">
        <v>1.04</v>
      </c>
      <c r="D23" s="63">
        <v>3031</v>
      </c>
      <c r="E23" s="81">
        <v>1.0999999999999999E-2</v>
      </c>
      <c r="F23" s="60">
        <v>55214</v>
      </c>
      <c r="G23" s="82">
        <v>7.2999999999999995E-2</v>
      </c>
      <c r="H23" s="51">
        <v>1.4E-2</v>
      </c>
      <c r="I23" s="51">
        <v>2.9000000000000001E-2</v>
      </c>
      <c r="J23" s="55">
        <v>305477.40000000002</v>
      </c>
      <c r="K23" s="62">
        <v>-3905</v>
      </c>
      <c r="L23" s="62">
        <v>54682.239999999998</v>
      </c>
      <c r="M23" s="62">
        <v>58768.63</v>
      </c>
      <c r="N23" s="89">
        <f>IFERROR(  (Table2[[#This Row],[Exports (USD Million)]] / Table2[[#This Row],[Imports (USD Million)]] ) - 1,  0)</f>
        <v>-6.9533524943494518E-2</v>
      </c>
      <c r="O23" s="62">
        <v>4819.87</v>
      </c>
      <c r="P23" s="82">
        <v>1.1100000000000001</v>
      </c>
      <c r="Q23" s="84">
        <v>95.3</v>
      </c>
      <c r="R23" s="84">
        <v>92</v>
      </c>
      <c r="S23" s="85">
        <v>62.5</v>
      </c>
      <c r="T23" s="88" t="s">
        <v>157</v>
      </c>
      <c r="U23" s="87"/>
      <c r="V23" s="88" t="s">
        <v>158</v>
      </c>
      <c r="W23" s="88" t="s">
        <v>159</v>
      </c>
    </row>
    <row r="24" spans="1:23" ht="114.75">
      <c r="A24" s="3" t="s">
        <v>60</v>
      </c>
      <c r="B24" s="3" t="s">
        <v>61</v>
      </c>
      <c r="C24" s="70">
        <f>1/20.26</f>
        <v>4.9358341559723587E-2</v>
      </c>
      <c r="D24" s="106">
        <v>1789</v>
      </c>
      <c r="E24" s="107">
        <v>1.2999999999999999E-2</v>
      </c>
      <c r="F24" s="114">
        <v>22367</v>
      </c>
      <c r="G24" s="109">
        <v>2.4E-2</v>
      </c>
      <c r="H24" s="107">
        <v>3.5900000000000001E-2</v>
      </c>
      <c r="I24" s="107">
        <v>9.5000000000000001E-2</v>
      </c>
      <c r="J24" s="115">
        <v>232056</v>
      </c>
      <c r="K24" s="115">
        <v>2567</v>
      </c>
      <c r="L24" s="115">
        <v>51687</v>
      </c>
      <c r="M24" s="115">
        <v>49120</v>
      </c>
      <c r="N24" s="116">
        <f>IFERROR(  (Table2[[#This Row],[Exports (USD Million)]] / Table2[[#This Row],[Imports (USD Million)]] ) - 1,  0)</f>
        <v>5.2259771986970627E-2</v>
      </c>
      <c r="O24" s="115">
        <v>3217</v>
      </c>
      <c r="P24" s="109">
        <v>0.497</v>
      </c>
      <c r="Q24" s="117">
        <v>51.7</v>
      </c>
      <c r="R24" s="117">
        <v>46.7</v>
      </c>
      <c r="S24" s="86">
        <v>62</v>
      </c>
      <c r="T24" s="88" t="s">
        <v>160</v>
      </c>
      <c r="U24" s="88" t="s">
        <v>161</v>
      </c>
      <c r="V24" s="88" t="s">
        <v>162</v>
      </c>
      <c r="W24" s="88" t="s">
        <v>163</v>
      </c>
    </row>
    <row r="25" spans="1:23" ht="63.75">
      <c r="A25" s="3" t="s">
        <v>164</v>
      </c>
      <c r="B25" s="3" t="s">
        <v>165</v>
      </c>
      <c r="C25" s="70">
        <v>1.04</v>
      </c>
      <c r="D25" s="63">
        <v>2255</v>
      </c>
      <c r="E25" s="81">
        <v>5.0000000000000001E-3</v>
      </c>
      <c r="F25" s="60">
        <v>52700</v>
      </c>
      <c r="G25" s="82">
        <v>6.2E-2</v>
      </c>
      <c r="H25" s="81">
        <v>1.4999999999999999E-2</v>
      </c>
      <c r="I25" s="81">
        <v>2.9000000000000001E-2</v>
      </c>
      <c r="J25" s="62">
        <v>306329.2</v>
      </c>
      <c r="K25" s="62">
        <v>5980</v>
      </c>
      <c r="L25" s="62">
        <v>51625.56</v>
      </c>
      <c r="M25" s="62">
        <v>45366.75</v>
      </c>
      <c r="N25" s="89">
        <f>IFERROR(  (Table2[[#This Row],[Exports (USD Million)]] / Table2[[#This Row],[Imports (USD Million)]] ) - 1,  0)</f>
        <v>0.13796029030071577</v>
      </c>
      <c r="O25" s="62">
        <v>4777.12</v>
      </c>
      <c r="P25" s="82">
        <v>1.35</v>
      </c>
      <c r="Q25" s="84">
        <v>86.8</v>
      </c>
      <c r="R25" s="84">
        <v>98.2</v>
      </c>
      <c r="S25" s="85">
        <v>60.1</v>
      </c>
      <c r="T25" s="88" t="s">
        <v>166</v>
      </c>
      <c r="U25" s="88" t="s">
        <v>167</v>
      </c>
      <c r="V25" s="88" t="s">
        <v>168</v>
      </c>
      <c r="W25" s="88" t="s">
        <v>169</v>
      </c>
    </row>
    <row r="26" spans="1:23">
      <c r="A26" s="3" t="s">
        <v>170</v>
      </c>
      <c r="B26" s="3" t="s">
        <v>171</v>
      </c>
      <c r="C26" s="70">
        <f>1/33.77</f>
        <v>2.9612081729345572E-2</v>
      </c>
      <c r="D26" s="63">
        <v>515</v>
      </c>
      <c r="E26" s="81">
        <v>2.5000000000000001E-2</v>
      </c>
      <c r="F26" s="60">
        <v>21113</v>
      </c>
      <c r="G26" s="82">
        <v>8.8000000000000005E-3</v>
      </c>
      <c r="H26" s="51">
        <v>1.32E-2</v>
      </c>
      <c r="I26" s="51">
        <v>2.2499999999999999E-2</v>
      </c>
      <c r="J26" s="55">
        <v>242084</v>
      </c>
      <c r="K26" s="62">
        <v>-10.6</v>
      </c>
      <c r="L26" s="62">
        <v>24766</v>
      </c>
      <c r="M26" s="62">
        <v>24777</v>
      </c>
      <c r="N26" s="89">
        <f>IFERROR(  (Table2[[#This Row],[Exports (USD Million)]] / Table2[[#This Row],[Imports (USD Million)]] ) - 1,  0)</f>
        <v>-4.4396012430880649E-4</v>
      </c>
      <c r="O26" s="62">
        <v>1976.18</v>
      </c>
      <c r="P26" s="82">
        <v>0.61899999999999999</v>
      </c>
      <c r="Q26" s="84">
        <v>48.5</v>
      </c>
      <c r="R26" s="84">
        <v>59</v>
      </c>
      <c r="S26" s="85">
        <v>59</v>
      </c>
      <c r="T26" s="87"/>
      <c r="U26" s="87"/>
      <c r="V26" s="87"/>
      <c r="W26" s="87"/>
    </row>
    <row r="27" spans="1:23">
      <c r="A27" s="3" t="s">
        <v>62</v>
      </c>
      <c r="B27" s="3" t="s">
        <v>63</v>
      </c>
      <c r="C27" s="70">
        <f>1/5.71</f>
        <v>0.17513134851138354</v>
      </c>
      <c r="D27" s="63">
        <v>2174</v>
      </c>
      <c r="E27" s="81">
        <v>2.9000000000000001E-2</v>
      </c>
      <c r="F27" s="60">
        <v>18554</v>
      </c>
      <c r="G27" s="82">
        <v>6.2E-2</v>
      </c>
      <c r="H27" s="81">
        <v>4.5600000000000002E-2</v>
      </c>
      <c r="I27" s="81">
        <v>0.13250000000000001</v>
      </c>
      <c r="J27" s="62">
        <v>329730</v>
      </c>
      <c r="K27" s="62">
        <v>2164</v>
      </c>
      <c r="L27" s="62">
        <v>25180</v>
      </c>
      <c r="M27" s="62">
        <v>23016</v>
      </c>
      <c r="N27" s="89">
        <f>IFERROR(  (Table2[[#This Row],[Exports (USD Million)]] / Table2[[#This Row],[Imports (USD Million)]] ) - 1,  0)</f>
        <v>9.402155022592984E-2</v>
      </c>
      <c r="O27" s="62">
        <v>2800</v>
      </c>
      <c r="P27" s="82">
        <v>0.8468</v>
      </c>
      <c r="Q27" s="84">
        <v>49.1</v>
      </c>
      <c r="R27" s="84"/>
      <c r="S27" s="85">
        <v>53.2</v>
      </c>
      <c r="T27" s="87"/>
      <c r="U27" s="88"/>
      <c r="V27" s="88"/>
      <c r="W27" s="88"/>
    </row>
    <row r="28" spans="1:23" ht="18" customHeight="1">
      <c r="A28" s="3" t="s">
        <v>72</v>
      </c>
      <c r="B28" s="3" t="s">
        <v>73</v>
      </c>
      <c r="C28" s="70">
        <v>1.2E-2</v>
      </c>
      <c r="D28" s="63">
        <v>3550</v>
      </c>
      <c r="E28" s="81">
        <v>6.4000000000000001E-2</v>
      </c>
      <c r="F28" s="60">
        <v>9172</v>
      </c>
      <c r="G28" s="82">
        <v>8.3000000000000004E-2</v>
      </c>
      <c r="H28" s="81">
        <v>4.3099999999999999E-2</v>
      </c>
      <c r="I28" s="81">
        <v>6.25E-2</v>
      </c>
      <c r="J28" s="62">
        <v>638260</v>
      </c>
      <c r="K28" s="62">
        <v>-22990</v>
      </c>
      <c r="L28" s="62">
        <v>36430</v>
      </c>
      <c r="M28" s="62">
        <v>59420</v>
      </c>
      <c r="N28" s="89">
        <f>IFERROR(  (Table2[[#This Row],[Exports (USD Million)]] / Table2[[#This Row],[Imports (USD Million)]] ) - 1,  0)</f>
        <v>-0.3869067653988556</v>
      </c>
      <c r="O28" s="62">
        <v>5373</v>
      </c>
      <c r="P28" s="82">
        <v>0.81589999999999996</v>
      </c>
      <c r="Q28" s="84">
        <v>120</v>
      </c>
      <c r="R28" s="84">
        <v>93.7</v>
      </c>
      <c r="S28" s="85">
        <v>52.9</v>
      </c>
      <c r="T28" s="88" t="s">
        <v>172</v>
      </c>
      <c r="U28" s="88" t="s">
        <v>173</v>
      </c>
      <c r="V28" s="88" t="s">
        <v>174</v>
      </c>
      <c r="W28" s="88" t="s">
        <v>175</v>
      </c>
    </row>
    <row r="29" spans="1:23" ht="63.75">
      <c r="A29" s="3" t="s">
        <v>68</v>
      </c>
      <c r="B29" s="3" t="s">
        <v>69</v>
      </c>
      <c r="C29" s="70">
        <v>0.14000000000000001</v>
      </c>
      <c r="D29" s="63">
        <v>17795</v>
      </c>
      <c r="E29" s="81">
        <v>0.05</v>
      </c>
      <c r="F29" s="60">
        <v>22135</v>
      </c>
      <c r="G29" s="82">
        <v>5.0999999999999997E-2</v>
      </c>
      <c r="H29" s="81">
        <v>5.0000000000000001E-3</v>
      </c>
      <c r="I29" s="51">
        <v>3.1E-2</v>
      </c>
      <c r="J29" s="55">
        <v>3209000</v>
      </c>
      <c r="K29" s="62">
        <v>105000</v>
      </c>
      <c r="L29" s="62">
        <v>336000</v>
      </c>
      <c r="M29" s="62">
        <v>231000</v>
      </c>
      <c r="N29" s="89">
        <f>IFERROR(  (Table2[[#This Row],[Exports (USD Million)]] / Table2[[#This Row],[Imports (USD Million)]] ) - 1,  0)</f>
        <v>0.45454545454545459</v>
      </c>
      <c r="O29" s="62">
        <v>13400</v>
      </c>
      <c r="P29" s="82">
        <v>0.83399999999999996</v>
      </c>
      <c r="Q29" s="84">
        <v>49.1</v>
      </c>
      <c r="R29" s="84">
        <v>86.4</v>
      </c>
      <c r="S29" s="85">
        <v>48.5</v>
      </c>
      <c r="T29" s="87"/>
      <c r="U29" s="87"/>
      <c r="V29" s="88" t="s">
        <v>176</v>
      </c>
      <c r="W29" s="88" t="s">
        <v>177</v>
      </c>
    </row>
    <row r="30" spans="1:23" ht="13.15">
      <c r="A30" s="3" t="s">
        <v>79</v>
      </c>
      <c r="B30" s="3"/>
      <c r="C30" s="3"/>
      <c r="D30" s="102">
        <f>SUBTOTAL(101,Table2[GDP (USD billion)])</f>
        <v>3235.6482501467999</v>
      </c>
      <c r="E30" s="77">
        <f>SUBTOTAL(101,Table2[Full Year GDP  Growth])</f>
        <v>1.95E-2</v>
      </c>
      <c r="F30" s="75">
        <f>SUBTOTAL(101,Table2[GDP per capita PPP (USD)])</f>
        <v>59009.24</v>
      </c>
      <c r="G30" s="78">
        <f>SUBTOTAL(101,Table2[Unemployment])</f>
        <v>4.689999999999999E-2</v>
      </c>
      <c r="H30" s="77">
        <f>SUBTOTAL(101,Table2[Inflation rate])</f>
        <v>2.1873076923076922E-2</v>
      </c>
      <c r="I30" s="79">
        <f>SUBTOTAL(101,Table2[Interest Rate])</f>
        <v>3.8953846153846151E-2</v>
      </c>
      <c r="J30" s="80">
        <f>SUBTOTAL(101,Table2[Foreign Exchange Reserves (USD Million)])</f>
        <v>424954.63569691894</v>
      </c>
      <c r="K30" s="80">
        <f>SUBTOTAL(101,Table2[Balance Trade (USD Million)])</f>
        <v>1439.23108</v>
      </c>
      <c r="L30" s="75"/>
      <c r="M30" s="75"/>
      <c r="N30" s="104">
        <f>SUBTOTAL(101,Table2[Balance Trade %])</f>
        <v>0.13770282226298447</v>
      </c>
      <c r="O30" s="80">
        <f>SUBTOTAL(101,Table2[Foreign Direct Investment (USD Million)])</f>
        <v>49478.041199999992</v>
      </c>
      <c r="P30" s="78">
        <f>SUBTOTAL(101,Table2[Debt to GDP])</f>
        <v>0.78894799999999987</v>
      </c>
      <c r="Q30" s="76"/>
      <c r="R30" s="76"/>
      <c r="S30" s="58">
        <f>SUBTOTAL(101,Table2[Economic Freedom])</f>
        <v>69.442307692307679</v>
      </c>
      <c r="T30" s="45"/>
      <c r="U30" s="87"/>
      <c r="V30" s="87"/>
      <c r="W30" s="87">
        <f>SUBTOTAL(103,Table2[Debilidades])</f>
        <v>13</v>
      </c>
    </row>
    <row r="32" spans="1:23">
      <c r="A32" s="141"/>
      <c r="B32" s="141"/>
      <c r="E32" s="64"/>
      <c r="G32" s="141"/>
      <c r="O32" s="68"/>
      <c r="Q32" s="141"/>
      <c r="U32" s="141"/>
      <c r="V32" s="141"/>
      <c r="W32" s="141"/>
    </row>
    <row r="37" spans="11:11">
      <c r="K37" s="90"/>
    </row>
  </sheetData>
  <phoneticPr fontId="9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F19" sqref="F19"/>
    </sheetView>
  </sheetViews>
  <sheetFormatPr defaultColWidth="12.7109375" defaultRowHeight="15" customHeight="1"/>
  <cols>
    <col min="1" max="1" width="0.28515625" customWidth="1"/>
    <col min="2" max="2" width="2.85546875" customWidth="1"/>
    <col min="3" max="3" width="23.28515625" customWidth="1"/>
    <col min="4" max="4" width="14.140625" customWidth="1"/>
    <col min="5" max="5" width="15.85546875" customWidth="1"/>
    <col min="6" max="6" width="17.140625" customWidth="1"/>
    <col min="7" max="7" width="16.140625" customWidth="1"/>
    <col min="8" max="10" width="14.140625" customWidth="1"/>
    <col min="11" max="11" width="12.42578125" customWidth="1"/>
    <col min="12" max="13" width="13" customWidth="1"/>
    <col min="14" max="27" width="12.42578125" customWidth="1"/>
  </cols>
  <sheetData>
    <row r="1" spans="1:27" ht="1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>
      <c r="A2" s="1"/>
      <c r="B2" s="144"/>
      <c r="C2" s="145"/>
      <c r="D2" s="145"/>
      <c r="E2" s="146" t="s">
        <v>0</v>
      </c>
      <c r="F2" s="147"/>
      <c r="G2" s="147"/>
      <c r="H2" s="147"/>
      <c r="I2" s="147"/>
      <c r="J2" s="148"/>
      <c r="K2" s="149" t="s">
        <v>1</v>
      </c>
      <c r="L2" s="147"/>
      <c r="M2" s="14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>
      <c r="A3" s="1"/>
      <c r="B3" s="150" t="s">
        <v>2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1"/>
      <c r="B4" s="157" t="s">
        <v>178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>
      <c r="A5" s="1"/>
      <c r="B5" s="4"/>
      <c r="C5" s="4" t="s">
        <v>179</v>
      </c>
      <c r="D5" s="138" t="s">
        <v>180</v>
      </c>
      <c r="E5" s="138" t="s">
        <v>181</v>
      </c>
      <c r="F5" s="138" t="s">
        <v>182</v>
      </c>
      <c r="G5" s="5" t="s">
        <v>183</v>
      </c>
      <c r="H5" s="4" t="s">
        <v>184</v>
      </c>
      <c r="I5" s="4" t="s">
        <v>185</v>
      </c>
      <c r="J5" s="4" t="s">
        <v>186</v>
      </c>
      <c r="K5" s="138" t="s">
        <v>187</v>
      </c>
      <c r="L5" s="138" t="s">
        <v>188</v>
      </c>
      <c r="M5" s="139" t="s">
        <v>189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>
      <c r="A6" s="1"/>
      <c r="B6" s="6">
        <v>1</v>
      </c>
      <c r="C6" s="7"/>
      <c r="D6" s="7" t="s">
        <v>190</v>
      </c>
      <c r="E6" s="8"/>
      <c r="F6" s="9"/>
      <c r="G6" s="9"/>
      <c r="H6" s="10"/>
      <c r="I6" s="10"/>
      <c r="J6" s="10" t="str">
        <f t="shared" ref="J6:J30" si="0">IF(G6="","",I6-H6)</f>
        <v/>
      </c>
      <c r="K6" s="11" t="str">
        <f t="shared" ref="K6:K30" si="1">IF(G6="","",IFERROR(I6/H6-1,"0%"))</f>
        <v/>
      </c>
      <c r="L6" s="12" t="str">
        <f t="shared" ref="L6:L30" si="2">IFERROR(IF(I6="","",I6/$I$32),"")</f>
        <v/>
      </c>
      <c r="M6" s="1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>
      <c r="A7" s="1"/>
      <c r="B7" s="6">
        <v>2</v>
      </c>
      <c r="C7" s="7"/>
      <c r="D7" s="7"/>
      <c r="E7" s="8"/>
      <c r="F7" s="9"/>
      <c r="G7" s="9"/>
      <c r="H7" s="10" t="str">
        <f t="shared" ref="H7:H30" si="3">IF(G7="","",E7*F7)</f>
        <v/>
      </c>
      <c r="I7" s="10" t="str">
        <f t="shared" ref="I7:I30" si="4">IF(G7="","",E7*G7)</f>
        <v/>
      </c>
      <c r="J7" s="10" t="str">
        <f t="shared" si="0"/>
        <v/>
      </c>
      <c r="K7" s="11" t="str">
        <f t="shared" si="1"/>
        <v/>
      </c>
      <c r="L7" s="12" t="str">
        <f t="shared" si="2"/>
        <v/>
      </c>
      <c r="M7" s="1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>
      <c r="A8" s="1"/>
      <c r="B8" s="6">
        <v>3</v>
      </c>
      <c r="C8" s="7"/>
      <c r="D8" s="7"/>
      <c r="E8" s="8"/>
      <c r="F8" s="9"/>
      <c r="G8" s="9"/>
      <c r="H8" s="10" t="str">
        <f t="shared" si="3"/>
        <v/>
      </c>
      <c r="I8" s="10" t="str">
        <f t="shared" si="4"/>
        <v/>
      </c>
      <c r="J8" s="10" t="str">
        <f t="shared" si="0"/>
        <v/>
      </c>
      <c r="K8" s="11" t="str">
        <f t="shared" si="1"/>
        <v/>
      </c>
      <c r="L8" s="12" t="str">
        <f t="shared" si="2"/>
        <v/>
      </c>
      <c r="M8" s="13"/>
      <c r="N8" s="1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>
      <c r="A9" s="1"/>
      <c r="B9" s="6">
        <v>4</v>
      </c>
      <c r="C9" s="7"/>
      <c r="D9" s="7"/>
      <c r="E9" s="8"/>
      <c r="F9" s="9"/>
      <c r="G9" s="9"/>
      <c r="H9" s="10" t="str">
        <f t="shared" si="3"/>
        <v/>
      </c>
      <c r="I9" s="10" t="str">
        <f t="shared" si="4"/>
        <v/>
      </c>
      <c r="J9" s="10" t="str">
        <f t="shared" si="0"/>
        <v/>
      </c>
      <c r="K9" s="11" t="str">
        <f t="shared" si="1"/>
        <v/>
      </c>
      <c r="L9" s="12" t="str">
        <f t="shared" si="2"/>
        <v/>
      </c>
      <c r="M9" s="13"/>
      <c r="N9" s="1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>
      <c r="A10" s="1"/>
      <c r="B10" s="6">
        <v>5</v>
      </c>
      <c r="C10" s="7"/>
      <c r="D10" s="7"/>
      <c r="E10" s="8"/>
      <c r="F10" s="9"/>
      <c r="G10" s="9"/>
      <c r="H10" s="10" t="str">
        <f t="shared" si="3"/>
        <v/>
      </c>
      <c r="I10" s="10" t="str">
        <f t="shared" si="4"/>
        <v/>
      </c>
      <c r="J10" s="10" t="str">
        <f t="shared" si="0"/>
        <v/>
      </c>
      <c r="K10" s="11" t="str">
        <f t="shared" si="1"/>
        <v/>
      </c>
      <c r="L10" s="12" t="str">
        <f t="shared" si="2"/>
        <v/>
      </c>
      <c r="M10" s="13"/>
      <c r="N10" s="1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>
      <c r="A11" s="1"/>
      <c r="B11" s="6">
        <v>6</v>
      </c>
      <c r="C11" s="7"/>
      <c r="D11" s="7"/>
      <c r="E11" s="8"/>
      <c r="F11" s="9"/>
      <c r="G11" s="9"/>
      <c r="H11" s="10" t="str">
        <f t="shared" si="3"/>
        <v/>
      </c>
      <c r="I11" s="10" t="str">
        <f t="shared" si="4"/>
        <v/>
      </c>
      <c r="J11" s="10" t="str">
        <f t="shared" si="0"/>
        <v/>
      </c>
      <c r="K11" s="11" t="str">
        <f t="shared" si="1"/>
        <v/>
      </c>
      <c r="L11" s="12" t="str">
        <f t="shared" si="2"/>
        <v/>
      </c>
      <c r="M11" s="13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>
      <c r="A12" s="1"/>
      <c r="B12" s="6">
        <v>7</v>
      </c>
      <c r="C12" s="7"/>
      <c r="D12" s="7"/>
      <c r="E12" s="8"/>
      <c r="F12" s="9"/>
      <c r="G12" s="9"/>
      <c r="H12" s="10" t="str">
        <f t="shared" si="3"/>
        <v/>
      </c>
      <c r="I12" s="10" t="str">
        <f t="shared" si="4"/>
        <v/>
      </c>
      <c r="J12" s="10" t="str">
        <f t="shared" si="0"/>
        <v/>
      </c>
      <c r="K12" s="11" t="str">
        <f t="shared" si="1"/>
        <v/>
      </c>
      <c r="L12" s="12" t="str">
        <f t="shared" si="2"/>
        <v/>
      </c>
      <c r="M12" s="13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>
      <c r="A13" s="1"/>
      <c r="B13" s="6">
        <v>8</v>
      </c>
      <c r="C13" s="7"/>
      <c r="D13" s="7"/>
      <c r="E13" s="8"/>
      <c r="F13" s="9"/>
      <c r="G13" s="9"/>
      <c r="H13" s="10" t="str">
        <f t="shared" si="3"/>
        <v/>
      </c>
      <c r="I13" s="10" t="str">
        <f t="shared" si="4"/>
        <v/>
      </c>
      <c r="J13" s="10" t="str">
        <f t="shared" si="0"/>
        <v/>
      </c>
      <c r="K13" s="11" t="str">
        <f t="shared" si="1"/>
        <v/>
      </c>
      <c r="L13" s="12" t="str">
        <f t="shared" si="2"/>
        <v/>
      </c>
      <c r="M13" s="13"/>
      <c r="N13" s="1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>
      <c r="A14" s="1"/>
      <c r="B14" s="6">
        <v>9</v>
      </c>
      <c r="C14" s="7"/>
      <c r="D14" s="7"/>
      <c r="E14" s="8"/>
      <c r="F14" s="9"/>
      <c r="G14" s="9"/>
      <c r="H14" s="10" t="str">
        <f t="shared" si="3"/>
        <v/>
      </c>
      <c r="I14" s="10" t="str">
        <f t="shared" si="4"/>
        <v/>
      </c>
      <c r="J14" s="10" t="str">
        <f t="shared" si="0"/>
        <v/>
      </c>
      <c r="K14" s="11" t="str">
        <f t="shared" si="1"/>
        <v/>
      </c>
      <c r="L14" s="12" t="str">
        <f t="shared" si="2"/>
        <v/>
      </c>
      <c r="M14" s="13"/>
      <c r="N14" s="1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1"/>
      <c r="B15" s="6">
        <v>10</v>
      </c>
      <c r="C15" s="7"/>
      <c r="D15" s="7"/>
      <c r="E15" s="8"/>
      <c r="F15" s="9"/>
      <c r="G15" s="9"/>
      <c r="H15" s="10" t="str">
        <f t="shared" si="3"/>
        <v/>
      </c>
      <c r="I15" s="10" t="str">
        <f t="shared" si="4"/>
        <v/>
      </c>
      <c r="J15" s="10" t="str">
        <f t="shared" si="0"/>
        <v/>
      </c>
      <c r="K15" s="11" t="str">
        <f t="shared" si="1"/>
        <v/>
      </c>
      <c r="L15" s="12" t="str">
        <f t="shared" si="2"/>
        <v/>
      </c>
      <c r="M15" s="13"/>
      <c r="N15" s="1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1"/>
      <c r="B16" s="6">
        <v>11</v>
      </c>
      <c r="C16" s="7"/>
      <c r="D16" s="7"/>
      <c r="E16" s="8"/>
      <c r="F16" s="9"/>
      <c r="G16" s="9"/>
      <c r="H16" s="10" t="str">
        <f t="shared" si="3"/>
        <v/>
      </c>
      <c r="I16" s="10" t="str">
        <f t="shared" si="4"/>
        <v/>
      </c>
      <c r="J16" s="10" t="str">
        <f t="shared" si="0"/>
        <v/>
      </c>
      <c r="K16" s="11" t="str">
        <f t="shared" si="1"/>
        <v/>
      </c>
      <c r="L16" s="12" t="str">
        <f t="shared" si="2"/>
        <v/>
      </c>
      <c r="M16" s="13"/>
      <c r="N16" s="1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1"/>
      <c r="B17" s="6">
        <v>12</v>
      </c>
      <c r="C17" s="7"/>
      <c r="D17" s="7"/>
      <c r="E17" s="8"/>
      <c r="F17" s="9"/>
      <c r="G17" s="9"/>
      <c r="H17" s="10" t="str">
        <f t="shared" si="3"/>
        <v/>
      </c>
      <c r="I17" s="10" t="str">
        <f t="shared" si="4"/>
        <v/>
      </c>
      <c r="J17" s="10" t="str">
        <f t="shared" si="0"/>
        <v/>
      </c>
      <c r="K17" s="11" t="str">
        <f t="shared" si="1"/>
        <v/>
      </c>
      <c r="L17" s="12" t="str">
        <f t="shared" si="2"/>
        <v/>
      </c>
      <c r="M17" s="13"/>
      <c r="N17" s="1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1"/>
      <c r="B18" s="6">
        <v>13</v>
      </c>
      <c r="C18" s="7"/>
      <c r="D18" s="7"/>
      <c r="E18" s="8"/>
      <c r="F18" s="9"/>
      <c r="G18" s="9"/>
      <c r="H18" s="10" t="str">
        <f t="shared" si="3"/>
        <v/>
      </c>
      <c r="I18" s="10" t="str">
        <f t="shared" si="4"/>
        <v/>
      </c>
      <c r="J18" s="10" t="str">
        <f t="shared" si="0"/>
        <v/>
      </c>
      <c r="K18" s="11" t="str">
        <f t="shared" si="1"/>
        <v/>
      </c>
      <c r="L18" s="12" t="str">
        <f t="shared" si="2"/>
        <v/>
      </c>
      <c r="M18" s="13"/>
      <c r="N18" s="1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1"/>
      <c r="B19" s="6">
        <v>14</v>
      </c>
      <c r="C19" s="7"/>
      <c r="D19" s="7"/>
      <c r="E19" s="8"/>
      <c r="F19" s="9"/>
      <c r="G19" s="9"/>
      <c r="H19" s="10" t="str">
        <f t="shared" si="3"/>
        <v/>
      </c>
      <c r="I19" s="10" t="str">
        <f t="shared" si="4"/>
        <v/>
      </c>
      <c r="J19" s="10" t="str">
        <f t="shared" si="0"/>
        <v/>
      </c>
      <c r="K19" s="11" t="str">
        <f t="shared" si="1"/>
        <v/>
      </c>
      <c r="L19" s="12" t="str">
        <f t="shared" si="2"/>
        <v/>
      </c>
      <c r="M19" s="13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1"/>
      <c r="B20" s="6">
        <v>15</v>
      </c>
      <c r="C20" s="7"/>
      <c r="D20" s="7"/>
      <c r="E20" s="8"/>
      <c r="F20" s="9"/>
      <c r="G20" s="9"/>
      <c r="H20" s="10" t="str">
        <f t="shared" si="3"/>
        <v/>
      </c>
      <c r="I20" s="10" t="str">
        <f t="shared" si="4"/>
        <v/>
      </c>
      <c r="J20" s="10" t="str">
        <f t="shared" si="0"/>
        <v/>
      </c>
      <c r="K20" s="11" t="str">
        <f t="shared" si="1"/>
        <v/>
      </c>
      <c r="L20" s="12" t="str">
        <f t="shared" si="2"/>
        <v/>
      </c>
      <c r="M20" s="13"/>
      <c r="N20" s="1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1"/>
      <c r="B21" s="6">
        <v>16</v>
      </c>
      <c r="C21" s="7"/>
      <c r="D21" s="7"/>
      <c r="E21" s="8"/>
      <c r="F21" s="9"/>
      <c r="G21" s="9"/>
      <c r="H21" s="10" t="str">
        <f t="shared" si="3"/>
        <v/>
      </c>
      <c r="I21" s="10" t="str">
        <f t="shared" si="4"/>
        <v/>
      </c>
      <c r="J21" s="10" t="str">
        <f t="shared" si="0"/>
        <v/>
      </c>
      <c r="K21" s="11" t="str">
        <f t="shared" si="1"/>
        <v/>
      </c>
      <c r="L21" s="12" t="str">
        <f t="shared" si="2"/>
        <v/>
      </c>
      <c r="M21" s="13"/>
      <c r="N21" s="1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1"/>
      <c r="B22" s="6">
        <v>17</v>
      </c>
      <c r="C22" s="7"/>
      <c r="D22" s="7"/>
      <c r="E22" s="8"/>
      <c r="F22" s="9"/>
      <c r="G22" s="9"/>
      <c r="H22" s="10" t="str">
        <f t="shared" si="3"/>
        <v/>
      </c>
      <c r="I22" s="10" t="str">
        <f t="shared" si="4"/>
        <v/>
      </c>
      <c r="J22" s="10" t="str">
        <f t="shared" si="0"/>
        <v/>
      </c>
      <c r="K22" s="11" t="str">
        <f t="shared" si="1"/>
        <v/>
      </c>
      <c r="L22" s="12" t="str">
        <f t="shared" si="2"/>
        <v/>
      </c>
      <c r="M22" s="13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1"/>
      <c r="B23" s="6">
        <v>18</v>
      </c>
      <c r="C23" s="7"/>
      <c r="D23" s="7"/>
      <c r="E23" s="8"/>
      <c r="F23" s="9"/>
      <c r="G23" s="9"/>
      <c r="H23" s="10" t="str">
        <f t="shared" si="3"/>
        <v/>
      </c>
      <c r="I23" s="10" t="str">
        <f t="shared" si="4"/>
        <v/>
      </c>
      <c r="J23" s="10" t="str">
        <f t="shared" si="0"/>
        <v/>
      </c>
      <c r="K23" s="11" t="str">
        <f t="shared" si="1"/>
        <v/>
      </c>
      <c r="L23" s="12" t="str">
        <f t="shared" si="2"/>
        <v/>
      </c>
      <c r="M23" s="13"/>
      <c r="N23" s="1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1"/>
      <c r="B24" s="6">
        <v>19</v>
      </c>
      <c r="C24" s="7"/>
      <c r="D24" s="7"/>
      <c r="E24" s="8"/>
      <c r="F24" s="9"/>
      <c r="G24" s="9"/>
      <c r="H24" s="10" t="str">
        <f t="shared" si="3"/>
        <v/>
      </c>
      <c r="I24" s="10" t="str">
        <f t="shared" si="4"/>
        <v/>
      </c>
      <c r="J24" s="10" t="str">
        <f t="shared" si="0"/>
        <v/>
      </c>
      <c r="K24" s="11" t="str">
        <f t="shared" si="1"/>
        <v/>
      </c>
      <c r="L24" s="12" t="str">
        <f t="shared" si="2"/>
        <v/>
      </c>
      <c r="M24" s="13"/>
      <c r="N24" s="1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1"/>
      <c r="B25" s="6">
        <v>20</v>
      </c>
      <c r="C25" s="7"/>
      <c r="D25" s="7"/>
      <c r="E25" s="8"/>
      <c r="F25" s="9"/>
      <c r="G25" s="9"/>
      <c r="H25" s="10" t="str">
        <f t="shared" si="3"/>
        <v/>
      </c>
      <c r="I25" s="10" t="str">
        <f t="shared" si="4"/>
        <v/>
      </c>
      <c r="J25" s="10" t="str">
        <f t="shared" si="0"/>
        <v/>
      </c>
      <c r="K25" s="11" t="str">
        <f t="shared" si="1"/>
        <v/>
      </c>
      <c r="L25" s="12" t="str">
        <f t="shared" si="2"/>
        <v/>
      </c>
      <c r="M25" s="13"/>
      <c r="N25" s="1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A26" s="1"/>
      <c r="B26" s="6">
        <v>21</v>
      </c>
      <c r="C26" s="7"/>
      <c r="D26" s="7"/>
      <c r="E26" s="8"/>
      <c r="F26" s="9"/>
      <c r="G26" s="9"/>
      <c r="H26" s="10" t="str">
        <f t="shared" si="3"/>
        <v/>
      </c>
      <c r="I26" s="10" t="str">
        <f t="shared" si="4"/>
        <v/>
      </c>
      <c r="J26" s="10" t="str">
        <f t="shared" si="0"/>
        <v/>
      </c>
      <c r="K26" s="11" t="str">
        <f t="shared" si="1"/>
        <v/>
      </c>
      <c r="L26" s="12" t="str">
        <f t="shared" si="2"/>
        <v/>
      </c>
      <c r="M26" s="13"/>
      <c r="N26" s="1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1"/>
      <c r="B27" s="6">
        <v>22</v>
      </c>
      <c r="C27" s="7"/>
      <c r="D27" s="7"/>
      <c r="E27" s="8"/>
      <c r="F27" s="9"/>
      <c r="G27" s="9"/>
      <c r="H27" s="10" t="str">
        <f t="shared" si="3"/>
        <v/>
      </c>
      <c r="I27" s="10" t="str">
        <f t="shared" si="4"/>
        <v/>
      </c>
      <c r="J27" s="10" t="str">
        <f t="shared" si="0"/>
        <v/>
      </c>
      <c r="K27" s="11" t="str">
        <f t="shared" si="1"/>
        <v/>
      </c>
      <c r="L27" s="12" t="str">
        <f t="shared" si="2"/>
        <v/>
      </c>
      <c r="M27" s="13"/>
      <c r="N27" s="1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A28" s="1"/>
      <c r="B28" s="6">
        <v>23</v>
      </c>
      <c r="C28" s="7"/>
      <c r="D28" s="7"/>
      <c r="E28" s="8"/>
      <c r="F28" s="9"/>
      <c r="G28" s="9"/>
      <c r="H28" s="10" t="str">
        <f t="shared" si="3"/>
        <v/>
      </c>
      <c r="I28" s="10" t="str">
        <f t="shared" si="4"/>
        <v/>
      </c>
      <c r="J28" s="10" t="str">
        <f t="shared" si="0"/>
        <v/>
      </c>
      <c r="K28" s="11" t="str">
        <f t="shared" si="1"/>
        <v/>
      </c>
      <c r="L28" s="12" t="str">
        <f t="shared" si="2"/>
        <v/>
      </c>
      <c r="M28" s="13"/>
      <c r="N28" s="1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A29" s="1"/>
      <c r="B29" s="6">
        <v>24</v>
      </c>
      <c r="C29" s="7"/>
      <c r="D29" s="7"/>
      <c r="E29" s="8"/>
      <c r="F29" s="9"/>
      <c r="G29" s="9"/>
      <c r="H29" s="10" t="str">
        <f t="shared" si="3"/>
        <v/>
      </c>
      <c r="I29" s="10" t="str">
        <f t="shared" si="4"/>
        <v/>
      </c>
      <c r="J29" s="10" t="str">
        <f t="shared" si="0"/>
        <v/>
      </c>
      <c r="K29" s="11" t="str">
        <f t="shared" si="1"/>
        <v/>
      </c>
      <c r="L29" s="12" t="str">
        <f t="shared" si="2"/>
        <v/>
      </c>
      <c r="M29" s="13"/>
      <c r="N29" s="1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A30" s="1"/>
      <c r="B30" s="6">
        <v>25</v>
      </c>
      <c r="C30" s="7"/>
      <c r="D30" s="7"/>
      <c r="E30" s="8"/>
      <c r="F30" s="9"/>
      <c r="G30" s="9"/>
      <c r="H30" s="10" t="str">
        <f t="shared" si="3"/>
        <v/>
      </c>
      <c r="I30" s="10" t="str">
        <f t="shared" si="4"/>
        <v/>
      </c>
      <c r="J30" s="10" t="str">
        <f t="shared" si="0"/>
        <v/>
      </c>
      <c r="K30" s="11" t="str">
        <f t="shared" si="1"/>
        <v/>
      </c>
      <c r="L30" s="12" t="str">
        <f t="shared" si="2"/>
        <v/>
      </c>
      <c r="M30" s="13"/>
      <c r="N30" s="1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A31" s="15"/>
      <c r="B31" s="3"/>
      <c r="C31" s="3"/>
      <c r="D31" s="3"/>
      <c r="E31" s="3"/>
      <c r="F31" s="16"/>
      <c r="G31" s="17"/>
      <c r="H31" s="17"/>
      <c r="I31" s="17"/>
      <c r="J31" s="17"/>
      <c r="K31" s="1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A32" s="15"/>
      <c r="B32" s="3"/>
      <c r="C32" s="3"/>
      <c r="D32" s="3"/>
      <c r="E32" s="3"/>
      <c r="F32" s="3"/>
      <c r="G32" s="155" t="s">
        <v>191</v>
      </c>
      <c r="H32" s="156"/>
      <c r="I32" s="18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15"/>
      <c r="B33" s="3"/>
      <c r="C33" s="3"/>
      <c r="D33" s="3"/>
      <c r="E33" s="3"/>
      <c r="F33" s="3"/>
      <c r="G33" s="3"/>
      <c r="H33" s="3"/>
      <c r="I33" s="16"/>
      <c r="J33" s="16"/>
      <c r="K33" s="3"/>
      <c r="L33" s="3"/>
      <c r="M33" s="1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2025-05-06T18:22:25Z</dcterms:created>
  <dcterms:modified xsi:type="dcterms:W3CDTF">2025-06-02T18:44:25Z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