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C22" i="2"/>
  <c r="D22" i="2"/>
  <c r="E22" i="2"/>
  <c r="F22" i="2" s="1"/>
  <c r="G22" i="2" s="1"/>
  <c r="M22" i="2" s="1"/>
  <c r="H22" i="2"/>
  <c r="I22" i="2"/>
  <c r="J22" i="2"/>
  <c r="K22" i="2" s="1"/>
  <c r="L22" i="2" s="1"/>
  <c r="I30" i="1" l="1"/>
  <c r="C14" i="1" l="1"/>
  <c r="I46" i="1" l="1"/>
  <c r="C30" i="1"/>
  <c r="F3" i="2" l="1"/>
  <c r="F4" i="2"/>
  <c r="G4" i="2"/>
  <c r="H4" i="2"/>
  <c r="F5" i="2"/>
  <c r="G5" i="2"/>
  <c r="H5" i="2"/>
  <c r="F6" i="2"/>
  <c r="G6" i="2"/>
  <c r="H6" i="2"/>
  <c r="F7" i="2"/>
  <c r="G7" i="2"/>
  <c r="F8" i="2"/>
  <c r="G8" i="2"/>
  <c r="F2" i="2"/>
  <c r="C9" i="2"/>
  <c r="C4" i="2"/>
  <c r="D4" i="2"/>
  <c r="C5" i="2"/>
  <c r="D5" i="2"/>
  <c r="C6" i="2"/>
  <c r="D6" i="2"/>
  <c r="C7" i="2"/>
  <c r="C8" i="2"/>
  <c r="B8" i="2"/>
  <c r="B3" i="2"/>
  <c r="B4" i="2"/>
  <c r="B5" i="2"/>
  <c r="B6" i="2"/>
  <c r="B7" i="2"/>
  <c r="B2" i="2"/>
  <c r="C26" i="2" l="1"/>
  <c r="C30" i="2"/>
  <c r="C34" i="2"/>
  <c r="C38" i="2"/>
  <c r="C42" i="2"/>
  <c r="C35" i="2"/>
  <c r="C43" i="2"/>
  <c r="C23" i="2"/>
  <c r="C29" i="2"/>
  <c r="C37" i="2"/>
  <c r="C45" i="2"/>
  <c r="C27" i="2"/>
  <c r="C31" i="2"/>
  <c r="C39" i="2"/>
  <c r="C25" i="2"/>
  <c r="C24" i="2"/>
  <c r="C28" i="2"/>
  <c r="C32" i="2"/>
  <c r="C36" i="2"/>
  <c r="C40" i="2"/>
  <c r="C44" i="2"/>
  <c r="C33" i="2"/>
  <c r="C41" i="2"/>
  <c r="H24" i="2"/>
  <c r="H28" i="2"/>
  <c r="H32" i="2"/>
  <c r="H36" i="2"/>
  <c r="H40" i="2"/>
  <c r="H44" i="2"/>
  <c r="H23" i="2"/>
  <c r="H25" i="2"/>
  <c r="H29" i="2"/>
  <c r="H33" i="2"/>
  <c r="H37" i="2"/>
  <c r="H41" i="2"/>
  <c r="H45" i="2"/>
  <c r="H26" i="2"/>
  <c r="H30" i="2"/>
  <c r="H34" i="2"/>
  <c r="H38" i="2"/>
  <c r="H42" i="2"/>
  <c r="H27" i="2"/>
  <c r="H31" i="2"/>
  <c r="H35" i="2"/>
  <c r="H39" i="2"/>
  <c r="H43" i="2"/>
  <c r="B18" i="2"/>
  <c r="E27" i="2"/>
  <c r="F27" i="2" s="1"/>
  <c r="E31" i="2"/>
  <c r="F31" i="2" s="1"/>
  <c r="E35" i="2"/>
  <c r="F35" i="2" s="1"/>
  <c r="E39" i="2"/>
  <c r="F39" i="2" s="1"/>
  <c r="E43" i="2"/>
  <c r="F43" i="2" s="1"/>
  <c r="E25" i="2"/>
  <c r="F25" i="2" s="1"/>
  <c r="E29" i="2"/>
  <c r="F29" i="2" s="1"/>
  <c r="E37" i="2"/>
  <c r="F37" i="2" s="1"/>
  <c r="E45" i="2"/>
  <c r="F45" i="2" s="1"/>
  <c r="E30" i="2"/>
  <c r="F30" i="2" s="1"/>
  <c r="E34" i="2"/>
  <c r="F34" i="2" s="1"/>
  <c r="E42" i="2"/>
  <c r="F42" i="2" s="1"/>
  <c r="E24" i="2"/>
  <c r="F24" i="2" s="1"/>
  <c r="E28" i="2"/>
  <c r="F28" i="2" s="1"/>
  <c r="E32" i="2"/>
  <c r="F32" i="2" s="1"/>
  <c r="E36" i="2"/>
  <c r="F36" i="2" s="1"/>
  <c r="E40" i="2"/>
  <c r="F40" i="2" s="1"/>
  <c r="E44" i="2"/>
  <c r="F44" i="2" s="1"/>
  <c r="E23" i="2"/>
  <c r="F23" i="2" s="1"/>
  <c r="E33" i="2"/>
  <c r="F33" i="2" s="1"/>
  <c r="E41" i="2"/>
  <c r="F41" i="2" s="1"/>
  <c r="E26" i="2"/>
  <c r="F26" i="2" s="1"/>
  <c r="E38" i="2"/>
  <c r="F38" i="2" s="1"/>
  <c r="C13" i="2"/>
  <c r="C14" i="2" s="1"/>
  <c r="J56" i="1"/>
  <c r="I57" i="1"/>
  <c r="J57" i="1" s="1"/>
  <c r="I56" i="1"/>
  <c r="H59" i="1" s="1"/>
  <c r="I55" i="1"/>
  <c r="J55" i="1" s="1"/>
  <c r="I42" i="1"/>
  <c r="J42" i="1" s="1"/>
  <c r="I41" i="1"/>
  <c r="J41" i="1" s="1"/>
  <c r="I40" i="1"/>
  <c r="J40" i="1" s="1"/>
  <c r="I26" i="1"/>
  <c r="J26" i="1" s="1"/>
  <c r="I25" i="1"/>
  <c r="I24" i="1"/>
  <c r="J24" i="1" s="1"/>
  <c r="I18" i="1"/>
  <c r="I17" i="1"/>
  <c r="J6" i="1"/>
  <c r="J18" i="1" s="1"/>
  <c r="J5" i="1"/>
  <c r="J25" i="1" s="1"/>
  <c r="J4" i="1"/>
  <c r="J17" i="1" s="1"/>
  <c r="C57" i="1"/>
  <c r="D57" i="1" s="1"/>
  <c r="D40" i="1"/>
  <c r="C24" i="1"/>
  <c r="D24" i="1" s="1"/>
  <c r="D18" i="1"/>
  <c r="C18" i="1"/>
  <c r="D6" i="1"/>
  <c r="D4" i="1"/>
  <c r="D17" i="1" s="1"/>
  <c r="D5" i="1"/>
  <c r="D25" i="1" s="1"/>
  <c r="C56" i="1"/>
  <c r="D59" i="1" s="1"/>
  <c r="C55" i="1"/>
  <c r="D55" i="1" s="1"/>
  <c r="C42" i="1"/>
  <c r="D42" i="1" s="1"/>
  <c r="C41" i="1"/>
  <c r="D41" i="1" s="1"/>
  <c r="C40" i="1"/>
  <c r="C26" i="1"/>
  <c r="D26" i="1" s="1"/>
  <c r="C25" i="1"/>
  <c r="C17" i="1"/>
  <c r="D33" i="2" l="1"/>
  <c r="D37" i="2"/>
  <c r="D41" i="2"/>
  <c r="G41" i="2" s="1"/>
  <c r="D45" i="2"/>
  <c r="G45" i="2" s="1"/>
  <c r="D27" i="2"/>
  <c r="D31" i="2"/>
  <c r="D35" i="2"/>
  <c r="G35" i="2" s="1"/>
  <c r="D43" i="2"/>
  <c r="D40" i="2"/>
  <c r="D44" i="2"/>
  <c r="D30" i="2"/>
  <c r="G30" i="2" s="1"/>
  <c r="D34" i="2"/>
  <c r="D38" i="2"/>
  <c r="D42" i="2"/>
  <c r="D24" i="2"/>
  <c r="G24" i="2" s="1"/>
  <c r="D28" i="2"/>
  <c r="D32" i="2"/>
  <c r="D39" i="2"/>
  <c r="D25" i="2"/>
  <c r="G25" i="2" s="1"/>
  <c r="D29" i="2"/>
  <c r="D36" i="2"/>
  <c r="G36" i="2" s="1"/>
  <c r="D26" i="2"/>
  <c r="G33" i="2"/>
  <c r="G42" i="2"/>
  <c r="G37" i="2"/>
  <c r="G39" i="2"/>
  <c r="G27" i="2"/>
  <c r="G32" i="2"/>
  <c r="G34" i="2"/>
  <c r="G29" i="2"/>
  <c r="G40" i="2"/>
  <c r="G43" i="2"/>
  <c r="G38" i="2"/>
  <c r="G26" i="2"/>
  <c r="G44" i="2"/>
  <c r="G28" i="2"/>
  <c r="G31" i="2"/>
  <c r="D23" i="2"/>
  <c r="G23" i="2" s="1"/>
  <c r="D56" i="1"/>
  <c r="C61" i="1" s="1"/>
  <c r="C62" i="1" s="1"/>
  <c r="F12" i="1" s="1"/>
  <c r="C46" i="1"/>
  <c r="J59" i="1"/>
  <c r="I20" i="1"/>
  <c r="I12" i="1" s="1"/>
  <c r="I61" i="1"/>
  <c r="C20" i="1"/>
  <c r="C12" i="1" s="1"/>
  <c r="C31" i="1"/>
  <c r="C33" i="1" s="1"/>
  <c r="C34" i="1" s="1"/>
  <c r="D12" i="1" s="1"/>
  <c r="B59" i="1"/>
  <c r="B64" i="1" s="1"/>
  <c r="C47" i="1"/>
  <c r="C49" i="1" s="1"/>
  <c r="C50" i="1" s="1"/>
  <c r="E12" i="1" s="1"/>
  <c r="B52" i="1"/>
  <c r="I31" i="1" l="1"/>
  <c r="I33" i="1" s="1"/>
  <c r="I34" i="1" s="1"/>
  <c r="J12" i="1" s="1"/>
  <c r="I14" i="1" s="1"/>
  <c r="G9" i="2" s="1"/>
  <c r="H36" i="1"/>
  <c r="H64" i="1"/>
  <c r="I62" i="1"/>
  <c r="L12" i="1" s="1"/>
  <c r="H52" i="1"/>
  <c r="I47" i="1"/>
  <c r="I49" i="1" s="1"/>
  <c r="I50" i="1" s="1"/>
  <c r="K12" i="1" s="1"/>
  <c r="B36" i="1"/>
  <c r="G13" i="2" l="1"/>
  <c r="G14" i="2" s="1"/>
  <c r="J31" i="2"/>
  <c r="K31" i="2" s="1"/>
  <c r="J37" i="2"/>
  <c r="K37" i="2" s="1"/>
  <c r="J28" i="2"/>
  <c r="K28" i="2" s="1"/>
  <c r="J44" i="2"/>
  <c r="K44" i="2" s="1"/>
  <c r="J25" i="2"/>
  <c r="K25" i="2" s="1"/>
  <c r="J38" i="2"/>
  <c r="K38" i="2" s="1"/>
  <c r="J35" i="2"/>
  <c r="K35" i="2" s="1"/>
  <c r="J45" i="2"/>
  <c r="K45" i="2" s="1"/>
  <c r="J26" i="2"/>
  <c r="K26" i="2" s="1"/>
  <c r="J32" i="2"/>
  <c r="K32" i="2" s="1"/>
  <c r="J33" i="2"/>
  <c r="K33" i="2" s="1"/>
  <c r="F18" i="2"/>
  <c r="J39" i="2"/>
  <c r="K39" i="2" s="1"/>
  <c r="J34" i="2"/>
  <c r="K34" i="2" s="1"/>
  <c r="J36" i="2"/>
  <c r="K36" i="2" s="1"/>
  <c r="J41" i="2"/>
  <c r="K41" i="2" s="1"/>
  <c r="J23" i="2"/>
  <c r="K23" i="2" s="1"/>
  <c r="J27" i="2"/>
  <c r="K27" i="2" s="1"/>
  <c r="J43" i="2"/>
  <c r="K43" i="2" s="1"/>
  <c r="J29" i="2"/>
  <c r="K29" i="2" s="1"/>
  <c r="J42" i="2"/>
  <c r="K42" i="2" s="1"/>
  <c r="J24" i="2"/>
  <c r="K24" i="2" s="1"/>
  <c r="J40" i="2"/>
  <c r="K40" i="2" s="1"/>
  <c r="J30" i="2"/>
  <c r="K30" i="2" s="1"/>
  <c r="L32" i="2" l="1"/>
  <c r="M32" i="2" s="1"/>
  <c r="L38" i="2"/>
  <c r="M38" i="2" s="1"/>
  <c r="L39" i="2"/>
  <c r="M39" i="2" s="1"/>
  <c r="L36" i="2"/>
  <c r="M36" i="2" s="1"/>
  <c r="I26" i="2"/>
  <c r="L26" i="2" s="1"/>
  <c r="M26" i="2" s="1"/>
  <c r="I30" i="2"/>
  <c r="L30" i="2" s="1"/>
  <c r="M30" i="2" s="1"/>
  <c r="I34" i="2"/>
  <c r="L34" i="2" s="1"/>
  <c r="M34" i="2" s="1"/>
  <c r="I38" i="2"/>
  <c r="I42" i="2"/>
  <c r="L42" i="2" s="1"/>
  <c r="M42" i="2" s="1"/>
  <c r="I24" i="2"/>
  <c r="L24" i="2" s="1"/>
  <c r="M24" i="2" s="1"/>
  <c r="I32" i="2"/>
  <c r="I40" i="2"/>
  <c r="L40" i="2" s="1"/>
  <c r="M40" i="2" s="1"/>
  <c r="I25" i="2"/>
  <c r="L25" i="2" s="1"/>
  <c r="M25" i="2" s="1"/>
  <c r="I29" i="2"/>
  <c r="L29" i="2" s="1"/>
  <c r="M29" i="2" s="1"/>
  <c r="I37" i="2"/>
  <c r="L37" i="2" s="1"/>
  <c r="M37" i="2" s="1"/>
  <c r="I45" i="2"/>
  <c r="L45" i="2" s="1"/>
  <c r="M45" i="2" s="1"/>
  <c r="I27" i="2"/>
  <c r="L27" i="2" s="1"/>
  <c r="M27" i="2" s="1"/>
  <c r="I31" i="2"/>
  <c r="L31" i="2" s="1"/>
  <c r="M31" i="2" s="1"/>
  <c r="I35" i="2"/>
  <c r="L35" i="2" s="1"/>
  <c r="M35" i="2" s="1"/>
  <c r="I39" i="2"/>
  <c r="I43" i="2"/>
  <c r="L43" i="2" s="1"/>
  <c r="M43" i="2" s="1"/>
  <c r="I28" i="2"/>
  <c r="L28" i="2" s="1"/>
  <c r="M28" i="2" s="1"/>
  <c r="I36" i="2"/>
  <c r="I44" i="2"/>
  <c r="L44" i="2" s="1"/>
  <c r="M44" i="2" s="1"/>
  <c r="I33" i="2"/>
  <c r="L33" i="2" s="1"/>
  <c r="M33" i="2" s="1"/>
  <c r="I41" i="2"/>
  <c r="L41" i="2" s="1"/>
  <c r="M41" i="2" s="1"/>
  <c r="I23" i="2"/>
  <c r="L23" i="2" s="1"/>
  <c r="M23" i="2" s="1"/>
</calcChain>
</file>

<file path=xl/sharedStrings.xml><?xml version="1.0" encoding="utf-8"?>
<sst xmlns="http://schemas.openxmlformats.org/spreadsheetml/2006/main" count="135" uniqueCount="52">
  <si>
    <t>Cuenca 1</t>
  </si>
  <si>
    <t xml:space="preserve">Datos </t>
  </si>
  <si>
    <t>Longitud</t>
  </si>
  <si>
    <t xml:space="preserve">Area </t>
  </si>
  <si>
    <t>S</t>
  </si>
  <si>
    <t>C</t>
  </si>
  <si>
    <t>Tiempo de concentracióm</t>
  </si>
  <si>
    <t>Metodos</t>
  </si>
  <si>
    <t>Kirpich</t>
  </si>
  <si>
    <t>V-H</t>
  </si>
  <si>
    <t>Passini</t>
  </si>
  <si>
    <t>Giandotti</t>
  </si>
  <si>
    <t>TC</t>
  </si>
  <si>
    <t>L=</t>
  </si>
  <si>
    <t>S=</t>
  </si>
  <si>
    <t>T=</t>
  </si>
  <si>
    <t>min</t>
  </si>
  <si>
    <t>Ventura -Heras</t>
  </si>
  <si>
    <t>i=</t>
  </si>
  <si>
    <t>≤a≤</t>
  </si>
  <si>
    <t>a=</t>
  </si>
  <si>
    <t>au=</t>
  </si>
  <si>
    <t>hrs</t>
  </si>
  <si>
    <t>h=</t>
  </si>
  <si>
    <t xml:space="preserve"> </t>
  </si>
  <si>
    <t>≤tc≤</t>
  </si>
  <si>
    <t>tc=</t>
  </si>
  <si>
    <t>H</t>
  </si>
  <si>
    <t>Cuenca 2</t>
  </si>
  <si>
    <t>TC1=</t>
  </si>
  <si>
    <t>TC2=</t>
  </si>
  <si>
    <t>A</t>
  </si>
  <si>
    <t>B</t>
  </si>
  <si>
    <t>n</t>
  </si>
  <si>
    <t>Tiempo total de lluevia en cuenca 1</t>
  </si>
  <si>
    <t>Tiempo total de lluevia en cuenca 2</t>
  </si>
  <si>
    <t>Tiempo</t>
  </si>
  <si>
    <t>i</t>
  </si>
  <si>
    <t>a%</t>
  </si>
  <si>
    <t>a</t>
  </si>
  <si>
    <t>Q1+Q2</t>
  </si>
  <si>
    <t xml:space="preserve">Comportamiento de ambos caudales </t>
  </si>
  <si>
    <t>Qmax =</t>
  </si>
  <si>
    <t>Comportamiento de caudal en el punto C</t>
  </si>
  <si>
    <t>Carnet</t>
  </si>
  <si>
    <t xml:space="preserve">Nombre </t>
  </si>
  <si>
    <t>Grupo No.4</t>
  </si>
  <si>
    <t>Kevin Daniel Són Cuc</t>
  </si>
  <si>
    <t>Dulce Esmeralda de León Barillas</t>
  </si>
  <si>
    <t xml:space="preserve">Brandon Daniel Monterroso Solis </t>
  </si>
  <si>
    <t>Marlon Ivan Carreto Rivera</t>
  </si>
  <si>
    <t xml:space="preserve">Orlando Moises Aguilar de León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</si>
</sst>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Q&quot;#,##0;[Red]\-&quot;Q&quot;#,##0"/>
    <numFmt numFmtId="164" formatCode="0.0000"/>
    <numFmt numFmtId="165" formatCode="0.000"/>
    <numFmt numFmtId="166" formatCode="0.00\ &quot;km&quot;"/>
    <numFmt numFmtId="167" formatCode="0.00\ &quot;m&quot;"/>
    <numFmt numFmtId="168" formatCode="0.00\ &quot;m²&quot;"/>
    <numFmt numFmtId="169" formatCode="0.00\ &quot;km²&quot;"/>
    <numFmt numFmtId="170" formatCode="0.00\ &quot;%&quot;"/>
    <numFmt numFmtId="171" formatCode="0.000\ &quot;m/m&quot;"/>
    <numFmt numFmtId="172" formatCode="0.00\ &quot;min&quot;"/>
    <numFmt numFmtId="173" formatCode="0.00\ &quot;mm/h&quot;"/>
    <numFmt numFmtId="174" formatCode="##0.0E+0\ &quot;m/s&quot;"/>
    <numFmt numFmtId="175" formatCode="0.00\ &quot;m³/s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175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3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Comportamiento</a:t>
            </a:r>
            <a:r>
              <a:rPr lang="en-US" baseline="0"/>
              <a:t> de caudales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Hoja2!$G$21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Hoja2!$B$22:$B$45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</c:numCache>
            </c:numRef>
          </c:cat>
          <c:val>
            <c:numRef>
              <c:f>Hoja2!$G$22:$G$45</c:f>
              <c:numCache>
                <c:formatCode>0.00\ "m³/s"</c:formatCode>
                <c:ptCount val="24"/>
                <c:pt idx="0">
                  <c:v>0</c:v>
                </c:pt>
                <c:pt idx="1">
                  <c:v>77.066949764919698</c:v>
                </c:pt>
                <c:pt idx="2">
                  <c:v>154.1338995298394</c:v>
                </c:pt>
                <c:pt idx="3">
                  <c:v>231.20084929475911</c:v>
                </c:pt>
                <c:pt idx="4">
                  <c:v>308.26779905967879</c:v>
                </c:pt>
                <c:pt idx="5">
                  <c:v>385.33474882459859</c:v>
                </c:pt>
                <c:pt idx="6">
                  <c:v>462.40169858951822</c:v>
                </c:pt>
                <c:pt idx="7">
                  <c:v>539.46864835443796</c:v>
                </c:pt>
                <c:pt idx="8">
                  <c:v>602.326331108864</c:v>
                </c:pt>
                <c:pt idx="9">
                  <c:v>602.326331108864</c:v>
                </c:pt>
                <c:pt idx="10">
                  <c:v>588.11706409837029</c:v>
                </c:pt>
                <c:pt idx="11">
                  <c:v>511.05011433345061</c:v>
                </c:pt>
                <c:pt idx="12">
                  <c:v>433.98316456853098</c:v>
                </c:pt>
                <c:pt idx="13">
                  <c:v>356.91621480361124</c:v>
                </c:pt>
                <c:pt idx="14">
                  <c:v>279.8492650386915</c:v>
                </c:pt>
                <c:pt idx="15">
                  <c:v>202.78231527377184</c:v>
                </c:pt>
                <c:pt idx="16">
                  <c:v>125.71536550885207</c:v>
                </c:pt>
                <c:pt idx="17">
                  <c:v>48.648415743932368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BD1-8B5A-7A83283B6A3F}"/>
            </c:ext>
          </c:extLst>
        </c:ser>
        <c:ser>
          <c:idx val="1"/>
          <c:order val="1"/>
          <c:tx>
            <c:strRef>
              <c:f>Hoja2!$L$21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Hoja2!$B$22:$B$45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</c:numCache>
            </c:numRef>
          </c:cat>
          <c:val>
            <c:numRef>
              <c:f>Hoja2!$L$22:$L$45</c:f>
              <c:numCache>
                <c:formatCode>0.00\ "m³/s"</c:formatCode>
                <c:ptCount val="24"/>
                <c:pt idx="0">
                  <c:v>0</c:v>
                </c:pt>
                <c:pt idx="1">
                  <c:v>137.66565591861942</c:v>
                </c:pt>
                <c:pt idx="2">
                  <c:v>275.33131183723884</c:v>
                </c:pt>
                <c:pt idx="3">
                  <c:v>412.99696775585824</c:v>
                </c:pt>
                <c:pt idx="4">
                  <c:v>550.66262367447769</c:v>
                </c:pt>
                <c:pt idx="5">
                  <c:v>688.32827959309702</c:v>
                </c:pt>
                <c:pt idx="6">
                  <c:v>825.99393551171647</c:v>
                </c:pt>
                <c:pt idx="7">
                  <c:v>963.65959143033604</c:v>
                </c:pt>
                <c:pt idx="8">
                  <c:v>1101.3252473489554</c:v>
                </c:pt>
                <c:pt idx="9">
                  <c:v>1238.9909032675748</c:v>
                </c:pt>
                <c:pt idx="10">
                  <c:v>1376.656559186194</c:v>
                </c:pt>
                <c:pt idx="11">
                  <c:v>1430.6634630500637</c:v>
                </c:pt>
                <c:pt idx="12">
                  <c:v>1430.6634630500637</c:v>
                </c:pt>
                <c:pt idx="13">
                  <c:v>1347.0047109953136</c:v>
                </c:pt>
                <c:pt idx="14">
                  <c:v>1209.3390550766942</c:v>
                </c:pt>
                <c:pt idx="15">
                  <c:v>1071.6733991580747</c:v>
                </c:pt>
                <c:pt idx="16">
                  <c:v>934.00774323945518</c:v>
                </c:pt>
                <c:pt idx="17">
                  <c:v>796.34208732083584</c:v>
                </c:pt>
                <c:pt idx="18">
                  <c:v>658.67643140221639</c:v>
                </c:pt>
                <c:pt idx="19">
                  <c:v>521.01077548359706</c:v>
                </c:pt>
                <c:pt idx="20">
                  <c:v>383.34511956497767</c:v>
                </c:pt>
                <c:pt idx="21">
                  <c:v>245.67946364635827</c:v>
                </c:pt>
                <c:pt idx="22">
                  <c:v>108.01380772773882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D-4BD1-8B5A-7A83283B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732784"/>
        <c:axId val="1397731952"/>
      </c:lineChart>
      <c:catAx>
        <c:axId val="13977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7731952"/>
        <c:crosses val="autoZero"/>
        <c:auto val="1"/>
        <c:lblAlgn val="ctr"/>
        <c:lblOffset val="100"/>
        <c:noMultiLvlLbl val="0"/>
      </c:catAx>
      <c:valAx>
        <c:axId val="13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Caudal</a:t>
                </a:r>
                <a:r>
                  <a:rPr lang="es-GT" baseline="0"/>
                  <a:t> (Q)</a:t>
                </a:r>
                <a:endParaRPr lang="es-G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\ &quot;m³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7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Comportamiento</a:t>
            </a:r>
            <a:r>
              <a:rPr lang="en-US" baseline="0"/>
              <a:t> de caudal en el punto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156884374960377"/>
          <c:y val="0.11232492997198881"/>
          <c:w val="0.84554870858533993"/>
          <c:h val="0.71522995900022301"/>
        </c:manualLayout>
      </c:layout>
      <c:lineChart>
        <c:grouping val="standard"/>
        <c:varyColors val="0"/>
        <c:ser>
          <c:idx val="0"/>
          <c:order val="0"/>
          <c:tx>
            <c:strRef>
              <c:f>Hoja2!$M$21</c:f>
              <c:strCache>
                <c:ptCount val="1"/>
                <c:pt idx="0">
                  <c:v>Q1+Q2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Hoja2!$B$22:$B$45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</c:numCache>
            </c:numRef>
          </c:cat>
          <c:val>
            <c:numRef>
              <c:f>Hoja2!$M$22:$M$45</c:f>
              <c:numCache>
                <c:formatCode>0.00\ "m³/s"</c:formatCode>
                <c:ptCount val="24"/>
                <c:pt idx="0">
                  <c:v>0</c:v>
                </c:pt>
                <c:pt idx="1">
                  <c:v>214.73260568353913</c:v>
                </c:pt>
                <c:pt idx="2">
                  <c:v>429.46521136707827</c:v>
                </c:pt>
                <c:pt idx="3">
                  <c:v>644.19781705061735</c:v>
                </c:pt>
                <c:pt idx="4">
                  <c:v>858.93042273415654</c:v>
                </c:pt>
                <c:pt idx="5">
                  <c:v>1073.6630284176956</c:v>
                </c:pt>
                <c:pt idx="6">
                  <c:v>1288.3956341012347</c:v>
                </c:pt>
                <c:pt idx="7">
                  <c:v>1503.128239784774</c:v>
                </c:pt>
                <c:pt idx="8">
                  <c:v>1703.6515784578194</c:v>
                </c:pt>
                <c:pt idx="9">
                  <c:v>1841.3172343764388</c:v>
                </c:pt>
                <c:pt idx="10">
                  <c:v>1964.7736232845643</c:v>
                </c:pt>
                <c:pt idx="11">
                  <c:v>1941.7135773835143</c:v>
                </c:pt>
                <c:pt idx="12">
                  <c:v>1864.6466276185947</c:v>
                </c:pt>
                <c:pt idx="13">
                  <c:v>1703.9209257989248</c:v>
                </c:pt>
                <c:pt idx="14">
                  <c:v>1489.1883201153857</c:v>
                </c:pt>
                <c:pt idx="15">
                  <c:v>1274.4557144318467</c:v>
                </c:pt>
                <c:pt idx="16">
                  <c:v>1059.7231087483074</c:v>
                </c:pt>
                <c:pt idx="17">
                  <c:v>844.99050306476818</c:v>
                </c:pt>
                <c:pt idx="18">
                  <c:v>658.67643140221639</c:v>
                </c:pt>
                <c:pt idx="19">
                  <c:v>521.01077548359706</c:v>
                </c:pt>
                <c:pt idx="20">
                  <c:v>383.34511956497767</c:v>
                </c:pt>
                <c:pt idx="21">
                  <c:v>245.67946364635827</c:v>
                </c:pt>
                <c:pt idx="22">
                  <c:v>108.01380772773882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D-421B-A38C-0320F837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732784"/>
        <c:axId val="1397731952"/>
      </c:lineChart>
      <c:catAx>
        <c:axId val="13977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7731952"/>
        <c:crosses val="autoZero"/>
        <c:auto val="1"/>
        <c:lblAlgn val="ctr"/>
        <c:lblOffset val="100"/>
        <c:noMultiLvlLbl val="0"/>
      </c:catAx>
      <c:valAx>
        <c:axId val="13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Caudal</a:t>
                </a:r>
                <a:r>
                  <a:rPr lang="es-GT" baseline="0"/>
                  <a:t> (Q)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\ &quot;m³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7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49</xdr:row>
      <xdr:rowOff>125730</xdr:rowOff>
    </xdr:from>
    <xdr:to>
      <xdr:col>11</xdr:col>
      <xdr:colOff>815340</xdr:colOff>
      <xdr:row>72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236220</xdr:colOff>
      <xdr:row>75</xdr:row>
      <xdr:rowOff>0</xdr:rowOff>
    </xdr:from>
    <xdr:to>
      <xdr:col>11</xdr:col>
      <xdr:colOff>815340</xdr:colOff>
      <xdr:row>97</xdr:row>
      <xdr:rowOff>57150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6"/>
  <sheetViews>
    <sheetView showGridLines="0" tabSelected="1" zoomScaleNormal="100" workbookViewId="0">
      <selection activeCell="J1" sqref="J1"/>
    </sheetView>
  </sheetViews>
  <sheetFormatPr baseColWidth="10" defaultRowHeight="14.4" x14ac:dyDescent="0.3"/>
  <sheetData>
    <row r="2" spans="2:18" x14ac:dyDescent="0.3">
      <c r="B2" s="37" t="s">
        <v>0</v>
      </c>
      <c r="C2" s="37"/>
      <c r="D2" s="37"/>
      <c r="E2" s="1"/>
      <c r="F2" s="1"/>
      <c r="G2" s="1"/>
      <c r="H2" s="37" t="s">
        <v>28</v>
      </c>
      <c r="I2" s="37"/>
      <c r="J2" s="37"/>
      <c r="K2" s="1"/>
      <c r="L2" s="1"/>
    </row>
    <row r="3" spans="2:18" x14ac:dyDescent="0.3">
      <c r="B3" s="37" t="s">
        <v>1</v>
      </c>
      <c r="C3" s="37"/>
      <c r="D3" s="37"/>
      <c r="E3" s="1"/>
      <c r="F3" s="1"/>
      <c r="G3" s="1"/>
      <c r="H3" s="37" t="s">
        <v>1</v>
      </c>
      <c r="I3" s="37"/>
      <c r="J3" s="37"/>
      <c r="K3" s="1"/>
      <c r="L3" s="1"/>
    </row>
    <row r="4" spans="2:18" x14ac:dyDescent="0.3">
      <c r="B4" s="2" t="s">
        <v>2</v>
      </c>
      <c r="C4" s="2">
        <v>5.3</v>
      </c>
      <c r="D4" s="2">
        <f>+C4*1000</f>
        <v>5300</v>
      </c>
      <c r="E4" s="1"/>
      <c r="F4" s="1"/>
      <c r="G4" s="1"/>
      <c r="H4" s="2" t="s">
        <v>2</v>
      </c>
      <c r="I4" s="2">
        <v>19.100000000000001</v>
      </c>
      <c r="J4" s="2">
        <f>+I4*1000</f>
        <v>19100</v>
      </c>
      <c r="K4" s="1"/>
      <c r="L4" s="1"/>
    </row>
    <row r="5" spans="2:18" x14ac:dyDescent="0.3">
      <c r="B5" s="2" t="s">
        <v>3</v>
      </c>
      <c r="C5" s="2">
        <v>69500000</v>
      </c>
      <c r="D5" s="2">
        <f>+C5/(1000^2)</f>
        <v>69.5</v>
      </c>
      <c r="E5" s="1"/>
      <c r="F5" s="1"/>
      <c r="G5" s="1"/>
      <c r="H5" s="2" t="s">
        <v>3</v>
      </c>
      <c r="I5" s="2">
        <v>192000000</v>
      </c>
      <c r="J5" s="2">
        <f>+I5/(1000^2)</f>
        <v>192</v>
      </c>
      <c r="K5" s="1"/>
      <c r="L5" s="1"/>
    </row>
    <row r="6" spans="2:18" x14ac:dyDescent="0.3">
      <c r="B6" s="2" t="s">
        <v>4</v>
      </c>
      <c r="C6" s="2">
        <v>3.2</v>
      </c>
      <c r="D6" s="2">
        <f>+C6/100</f>
        <v>3.2000000000000001E-2</v>
      </c>
      <c r="E6" s="1"/>
      <c r="F6" s="1"/>
      <c r="G6" s="1"/>
      <c r="H6" s="2" t="s">
        <v>4</v>
      </c>
      <c r="I6" s="2">
        <v>4</v>
      </c>
      <c r="J6" s="2">
        <f>+I6/100</f>
        <v>0.04</v>
      </c>
      <c r="K6" s="1"/>
      <c r="L6" s="1"/>
    </row>
    <row r="7" spans="2:18" ht="15" thickBot="1" x14ac:dyDescent="0.35">
      <c r="B7" s="2" t="s">
        <v>27</v>
      </c>
      <c r="C7" s="37">
        <v>169.5</v>
      </c>
      <c r="D7" s="37"/>
      <c r="E7" s="1"/>
      <c r="F7" s="1"/>
      <c r="G7" s="1"/>
      <c r="H7" s="2" t="s">
        <v>27</v>
      </c>
      <c r="I7" s="37">
        <v>764</v>
      </c>
      <c r="J7" s="37"/>
      <c r="K7" s="1"/>
      <c r="L7" s="1"/>
    </row>
    <row r="8" spans="2:18" ht="15" thickBot="1" x14ac:dyDescent="0.35">
      <c r="B8" s="2" t="s">
        <v>5</v>
      </c>
      <c r="C8" s="37">
        <v>0.6</v>
      </c>
      <c r="D8" s="37"/>
      <c r="E8" s="1"/>
      <c r="F8" s="1"/>
      <c r="G8" s="1"/>
      <c r="H8" s="2" t="s">
        <v>5</v>
      </c>
      <c r="I8" s="37">
        <v>0.62</v>
      </c>
      <c r="J8" s="37"/>
      <c r="K8" s="1"/>
      <c r="L8" s="1"/>
      <c r="N8" s="45" t="s">
        <v>46</v>
      </c>
      <c r="O8" s="46"/>
      <c r="P8" s="46"/>
      <c r="Q8" s="46"/>
      <c r="R8" s="47"/>
    </row>
    <row r="9" spans="2:18" ht="15" thickBot="1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31" t="s">
        <v>44</v>
      </c>
      <c r="O9" s="45" t="s">
        <v>45</v>
      </c>
      <c r="P9" s="46"/>
      <c r="Q9" s="46"/>
      <c r="R9" s="47"/>
    </row>
    <row r="10" spans="2:18" x14ac:dyDescent="0.3">
      <c r="B10" s="38" t="s">
        <v>6</v>
      </c>
      <c r="C10" s="38"/>
      <c r="D10" s="38"/>
      <c r="E10" s="38"/>
      <c r="F10" s="38"/>
      <c r="G10" s="1"/>
      <c r="H10" s="38" t="s">
        <v>6</v>
      </c>
      <c r="I10" s="38"/>
      <c r="J10" s="38"/>
      <c r="K10" s="38"/>
      <c r="L10" s="38"/>
      <c r="N10" s="33">
        <v>202030818</v>
      </c>
      <c r="O10" s="48" t="s">
        <v>47</v>
      </c>
      <c r="P10" s="48"/>
      <c r="Q10" s="48"/>
      <c r="R10" s="48"/>
    </row>
    <row r="11" spans="2:18" x14ac:dyDescent="0.3"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1"/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N11" s="32">
        <v>201832107</v>
      </c>
      <c r="O11" s="44" t="s">
        <v>48</v>
      </c>
      <c r="P11" s="44"/>
      <c r="Q11" s="44"/>
      <c r="R11" s="44"/>
    </row>
    <row r="12" spans="2:18" x14ac:dyDescent="0.3">
      <c r="B12" s="2" t="s">
        <v>12</v>
      </c>
      <c r="C12" s="3">
        <f>+C20</f>
        <v>55.493187809514673</v>
      </c>
      <c r="D12" s="3">
        <f>+C34</f>
        <v>78.156243752498739</v>
      </c>
      <c r="E12" s="3">
        <f>+C50</f>
        <v>31.256463490832221</v>
      </c>
      <c r="F12" s="3">
        <f>+C62</f>
        <v>237.89832393595378</v>
      </c>
      <c r="G12" s="1"/>
      <c r="H12" s="2" t="s">
        <v>12</v>
      </c>
      <c r="I12" s="3">
        <f>+I20</f>
        <v>136.65722317903706</v>
      </c>
      <c r="J12" s="3">
        <f>+I34</f>
        <v>103.92304845413263</v>
      </c>
      <c r="K12" s="3">
        <f>+I50</f>
        <v>60.141760800807504</v>
      </c>
      <c r="L12" s="3">
        <f>+I62</f>
        <v>228.13120418807301</v>
      </c>
      <c r="N12" s="32">
        <v>201932029</v>
      </c>
      <c r="O12" s="44" t="s">
        <v>49</v>
      </c>
      <c r="P12" s="44"/>
      <c r="Q12" s="44"/>
      <c r="R12" s="44"/>
    </row>
    <row r="13" spans="2:18" ht="15" thickBot="1" x14ac:dyDescent="0.35">
      <c r="B13" s="5"/>
      <c r="C13" s="12"/>
      <c r="D13" s="12"/>
      <c r="E13" s="12"/>
      <c r="F13" s="12"/>
      <c r="G13" s="1"/>
      <c r="H13" s="5"/>
      <c r="I13" s="12"/>
      <c r="J13" s="12"/>
      <c r="K13" s="12"/>
      <c r="L13" s="12"/>
      <c r="N13" s="32">
        <v>201230088</v>
      </c>
      <c r="O13" s="44" t="s">
        <v>50</v>
      </c>
      <c r="P13" s="44"/>
      <c r="Q13" s="44"/>
      <c r="R13" s="44"/>
    </row>
    <row r="14" spans="2:18" ht="15" thickBot="1" x14ac:dyDescent="0.35">
      <c r="B14" s="15" t="s">
        <v>29</v>
      </c>
      <c r="C14" s="42">
        <f>+D12</f>
        <v>78.156243752498739</v>
      </c>
      <c r="D14" s="43"/>
      <c r="E14" s="12"/>
      <c r="F14" s="12"/>
      <c r="G14" s="1"/>
      <c r="H14" s="15" t="s">
        <v>30</v>
      </c>
      <c r="I14" s="42">
        <f>+J12</f>
        <v>103.92304845413263</v>
      </c>
      <c r="J14" s="43"/>
      <c r="K14" s="12"/>
      <c r="L14" s="12"/>
      <c r="N14" s="32">
        <v>202031838</v>
      </c>
      <c r="O14" s="44" t="s">
        <v>51</v>
      </c>
      <c r="P14" s="44"/>
      <c r="Q14" s="44"/>
      <c r="R14" s="44"/>
    </row>
    <row r="15" spans="2:18" ht="15" thickBot="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8" x14ac:dyDescent="0.3">
      <c r="B16" s="39" t="s">
        <v>8</v>
      </c>
      <c r="C16" s="40"/>
      <c r="D16" s="41"/>
      <c r="E16" s="1"/>
      <c r="F16" s="1"/>
      <c r="G16" s="1"/>
      <c r="H16" s="39" t="s">
        <v>8</v>
      </c>
      <c r="I16" s="40"/>
      <c r="J16" s="41"/>
      <c r="K16" s="1"/>
      <c r="L16" s="1"/>
    </row>
    <row r="17" spans="2:12" x14ac:dyDescent="0.3">
      <c r="B17" s="4" t="s">
        <v>13</v>
      </c>
      <c r="C17" s="5">
        <f>+C4</f>
        <v>5.3</v>
      </c>
      <c r="D17" s="6">
        <f>+D4</f>
        <v>5300</v>
      </c>
      <c r="E17" s="1"/>
      <c r="F17" s="1"/>
      <c r="G17" s="1"/>
      <c r="H17" s="4" t="s">
        <v>13</v>
      </c>
      <c r="I17" s="5">
        <f>+I4</f>
        <v>19.100000000000001</v>
      </c>
      <c r="J17" s="6">
        <f>+J4</f>
        <v>19100</v>
      </c>
      <c r="K17" s="1"/>
      <c r="L17" s="1"/>
    </row>
    <row r="18" spans="2:12" x14ac:dyDescent="0.3">
      <c r="B18" s="4" t="s">
        <v>14</v>
      </c>
      <c r="C18" s="5">
        <f>+C6</f>
        <v>3.2</v>
      </c>
      <c r="D18" s="6">
        <f>+D6</f>
        <v>3.2000000000000001E-2</v>
      </c>
      <c r="E18" s="1"/>
      <c r="F18" s="1"/>
      <c r="G18" s="1"/>
      <c r="H18" s="4" t="s">
        <v>14</v>
      </c>
      <c r="I18" s="5">
        <f>+I6</f>
        <v>4</v>
      </c>
      <c r="J18" s="6">
        <f>+J6</f>
        <v>0.04</v>
      </c>
      <c r="K18" s="1"/>
      <c r="L18" s="1"/>
    </row>
    <row r="19" spans="2:12" x14ac:dyDescent="0.3">
      <c r="B19" s="4"/>
      <c r="C19" s="5"/>
      <c r="D19" s="7"/>
      <c r="E19" s="1"/>
      <c r="F19" s="1"/>
      <c r="G19" s="1"/>
      <c r="H19" s="4"/>
      <c r="I19" s="5"/>
      <c r="J19" s="7"/>
      <c r="K19" s="1"/>
      <c r="L19" s="1"/>
    </row>
    <row r="20" spans="2:12" ht="15" thickBot="1" x14ac:dyDescent="0.35">
      <c r="B20" s="8" t="s">
        <v>15</v>
      </c>
      <c r="C20" s="9">
        <f>0.02*((D17)^0.77)*((D18)^-0.385)</f>
        <v>55.493187809514673</v>
      </c>
      <c r="D20" s="10" t="s">
        <v>16</v>
      </c>
      <c r="E20" s="1"/>
      <c r="F20" s="1"/>
      <c r="G20" s="1"/>
      <c r="H20" s="8" t="s">
        <v>15</v>
      </c>
      <c r="I20" s="9">
        <f>0.02*((J17)^0.77)*((J18)^-0.385)</f>
        <v>136.65722317903706</v>
      </c>
      <c r="J20" s="10" t="s">
        <v>16</v>
      </c>
      <c r="K20" s="1"/>
      <c r="L20" s="1"/>
    </row>
    <row r="21" spans="2:12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ht="15" thickBo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3">
      <c r="B23" s="39" t="s">
        <v>17</v>
      </c>
      <c r="C23" s="40"/>
      <c r="D23" s="41"/>
      <c r="E23" s="1"/>
      <c r="F23" s="1"/>
      <c r="G23" s="1"/>
      <c r="H23" s="39" t="s">
        <v>17</v>
      </c>
      <c r="I23" s="40"/>
      <c r="J23" s="41"/>
      <c r="K23" s="1"/>
      <c r="L23" s="1"/>
    </row>
    <row r="24" spans="2:12" x14ac:dyDescent="0.3">
      <c r="B24" s="4" t="s">
        <v>18</v>
      </c>
      <c r="C24" s="5">
        <f>+C6</f>
        <v>3.2</v>
      </c>
      <c r="D24" s="6">
        <f>+C24</f>
        <v>3.2</v>
      </c>
      <c r="E24" s="1"/>
      <c r="F24" s="1"/>
      <c r="G24" s="1"/>
      <c r="H24" s="4" t="s">
        <v>18</v>
      </c>
      <c r="I24" s="5">
        <f>+I6</f>
        <v>4</v>
      </c>
      <c r="J24" s="6">
        <f>+I24</f>
        <v>4</v>
      </c>
      <c r="K24" s="1"/>
      <c r="L24" s="1"/>
    </row>
    <row r="25" spans="2:12" x14ac:dyDescent="0.3">
      <c r="B25" s="4" t="s">
        <v>14</v>
      </c>
      <c r="C25" s="5">
        <f>+C5</f>
        <v>69500000</v>
      </c>
      <c r="D25" s="6">
        <f>+D5</f>
        <v>69.5</v>
      </c>
      <c r="E25" s="1"/>
      <c r="F25" s="1"/>
      <c r="G25" s="1"/>
      <c r="H25" s="4" t="s">
        <v>14</v>
      </c>
      <c r="I25" s="5">
        <f>+I5</f>
        <v>192000000</v>
      </c>
      <c r="J25" s="6">
        <f>+J5</f>
        <v>192</v>
      </c>
      <c r="K25" s="1"/>
      <c r="L25" s="1"/>
    </row>
    <row r="26" spans="2:12" x14ac:dyDescent="0.3">
      <c r="B26" s="4" t="s">
        <v>13</v>
      </c>
      <c r="C26" s="5">
        <f>+C4</f>
        <v>5.3</v>
      </c>
      <c r="D26" s="6">
        <f>+C26</f>
        <v>5.3</v>
      </c>
      <c r="E26" s="1"/>
      <c r="F26" s="1"/>
      <c r="G26" s="1"/>
      <c r="H26" s="4" t="s">
        <v>13</v>
      </c>
      <c r="I26" s="5">
        <f>+I4</f>
        <v>19.100000000000001</v>
      </c>
      <c r="J26" s="6">
        <f>+I26</f>
        <v>19.100000000000001</v>
      </c>
      <c r="K26" s="1"/>
      <c r="L26" s="1"/>
    </row>
    <row r="27" spans="2:12" x14ac:dyDescent="0.3">
      <c r="B27" s="4"/>
      <c r="C27" s="5"/>
      <c r="D27" s="7"/>
      <c r="E27" s="1"/>
      <c r="F27" s="1"/>
      <c r="G27" s="1"/>
      <c r="H27" s="4"/>
      <c r="I27" s="5"/>
      <c r="J27" s="7"/>
      <c r="K27" s="1"/>
      <c r="L27" s="1"/>
    </row>
    <row r="28" spans="2:12" x14ac:dyDescent="0.3">
      <c r="B28" s="4">
        <v>0.05</v>
      </c>
      <c r="C28" s="11" t="s">
        <v>19</v>
      </c>
      <c r="D28" s="7">
        <v>0.5</v>
      </c>
      <c r="E28" s="1"/>
      <c r="F28" s="1"/>
      <c r="G28" s="1"/>
      <c r="H28" s="4">
        <v>0.05</v>
      </c>
      <c r="I28" s="11" t="s">
        <v>19</v>
      </c>
      <c r="J28" s="7">
        <v>0.5</v>
      </c>
      <c r="K28" s="1"/>
      <c r="L28" s="1"/>
    </row>
    <row r="29" spans="2:12" x14ac:dyDescent="0.3">
      <c r="B29" s="4"/>
      <c r="C29" s="5"/>
      <c r="D29" s="7"/>
      <c r="E29" s="1"/>
      <c r="F29" s="1"/>
      <c r="G29" s="1"/>
      <c r="H29" s="4"/>
      <c r="I29" s="5"/>
      <c r="J29" s="7"/>
      <c r="K29" s="1"/>
      <c r="L29" s="1"/>
    </row>
    <row r="30" spans="2:12" x14ac:dyDescent="0.3">
      <c r="B30" s="4" t="s">
        <v>20</v>
      </c>
      <c r="C30" s="12">
        <f>+D26/(D25^0.5)</f>
        <v>0.63574575253831123</v>
      </c>
      <c r="D30" s="7"/>
      <c r="E30" s="1"/>
      <c r="F30" s="1"/>
      <c r="G30" s="1"/>
      <c r="H30" s="4" t="s">
        <v>20</v>
      </c>
      <c r="I30" s="12">
        <f>+J26/(J25^0.5)</f>
        <v>1.3784237676902318</v>
      </c>
      <c r="J30" s="7"/>
      <c r="K30" s="1"/>
      <c r="L30" s="1"/>
    </row>
    <row r="31" spans="2:12" x14ac:dyDescent="0.3">
      <c r="B31" s="4" t="s">
        <v>21</v>
      </c>
      <c r="C31" s="5">
        <f>+IF(C30&lt;B28,B28,IF(C30&gt;D28,D28,C30))</f>
        <v>0.5</v>
      </c>
      <c r="D31" s="7"/>
      <c r="E31" s="1"/>
      <c r="F31" s="1"/>
      <c r="G31" s="1"/>
      <c r="H31" s="4" t="s">
        <v>21</v>
      </c>
      <c r="I31" s="5">
        <f>+IF(I30&lt;H28,H28,IF(I30&gt;J28,J28,I30))</f>
        <v>0.5</v>
      </c>
      <c r="J31" s="7"/>
      <c r="K31" s="1"/>
      <c r="L31" s="1"/>
    </row>
    <row r="32" spans="2:12" x14ac:dyDescent="0.3">
      <c r="B32" s="4"/>
      <c r="C32" s="5"/>
      <c r="D32" s="7"/>
      <c r="E32" s="1"/>
      <c r="F32" s="1"/>
      <c r="G32" s="1"/>
      <c r="H32" s="4"/>
      <c r="I32" s="5"/>
      <c r="J32" s="7"/>
      <c r="K32" s="1"/>
      <c r="L32" s="1"/>
    </row>
    <row r="33" spans="2:12" x14ac:dyDescent="0.3">
      <c r="B33" s="4" t="s">
        <v>15</v>
      </c>
      <c r="C33" s="12">
        <f>+C31*(D25^0.5)/D24</f>
        <v>1.3026040625416457</v>
      </c>
      <c r="D33" s="7" t="s">
        <v>22</v>
      </c>
      <c r="E33" s="1"/>
      <c r="F33" s="1"/>
      <c r="G33" s="1"/>
      <c r="H33" s="4" t="s">
        <v>15</v>
      </c>
      <c r="I33" s="12">
        <f>+I31*(J25^0.5)/J24</f>
        <v>1.7320508075688772</v>
      </c>
      <c r="J33" s="7" t="s">
        <v>22</v>
      </c>
      <c r="K33" s="1"/>
      <c r="L33" s="1"/>
    </row>
    <row r="34" spans="2:12" x14ac:dyDescent="0.3">
      <c r="B34" s="4" t="s">
        <v>15</v>
      </c>
      <c r="C34" s="12">
        <f>+C33*60</f>
        <v>78.156243752498739</v>
      </c>
      <c r="D34" s="7" t="s">
        <v>16</v>
      </c>
      <c r="E34" s="1"/>
      <c r="F34" s="1"/>
      <c r="G34" s="1"/>
      <c r="H34" s="4" t="s">
        <v>15</v>
      </c>
      <c r="I34" s="12">
        <f>+I33*60</f>
        <v>103.92304845413263</v>
      </c>
      <c r="J34" s="7" t="s">
        <v>16</v>
      </c>
      <c r="K34" s="1"/>
      <c r="L34" s="1"/>
    </row>
    <row r="35" spans="2:12" x14ac:dyDescent="0.3">
      <c r="B35" s="4"/>
      <c r="C35" s="5"/>
      <c r="D35" s="7"/>
      <c r="E35" s="1"/>
      <c r="F35" s="1"/>
      <c r="G35" s="1"/>
      <c r="H35" s="4"/>
      <c r="I35" s="5"/>
      <c r="J35" s="7"/>
      <c r="K35" s="1"/>
      <c r="L35" s="1"/>
    </row>
    <row r="36" spans="2:12" ht="15" thickBot="1" x14ac:dyDescent="0.35">
      <c r="B36" s="34" t="str">
        <f>+IF(AND(C30&gt;=B28,C30&lt;=D28),"Cumple con parametros","No cumple con parametros")</f>
        <v>No cumple con parametros</v>
      </c>
      <c r="C36" s="35"/>
      <c r="D36" s="36"/>
      <c r="E36" s="1"/>
      <c r="F36" s="1"/>
      <c r="G36" s="1"/>
      <c r="H36" s="34" t="str">
        <f>+IF(AND(I30&gt;=H28,I30&lt;=J28),"Cumple con parametros","No cumple con parametros")</f>
        <v>No cumple con parametros</v>
      </c>
      <c r="I36" s="35"/>
      <c r="J36" s="36"/>
      <c r="K36" s="1"/>
      <c r="L36" s="1"/>
    </row>
    <row r="37" spans="2:12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ht="15" thickBo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3">
      <c r="B39" s="39" t="s">
        <v>10</v>
      </c>
      <c r="C39" s="40"/>
      <c r="D39" s="41"/>
      <c r="E39" s="1"/>
      <c r="F39" s="1"/>
      <c r="G39" s="1"/>
      <c r="H39" s="39" t="s">
        <v>10</v>
      </c>
      <c r="I39" s="40"/>
      <c r="J39" s="41"/>
      <c r="K39" s="1"/>
      <c r="L39" s="1"/>
    </row>
    <row r="40" spans="2:12" x14ac:dyDescent="0.3">
      <c r="B40" s="4" t="s">
        <v>18</v>
      </c>
      <c r="C40" s="5">
        <f>+C6</f>
        <v>3.2</v>
      </c>
      <c r="D40" s="6">
        <f>+C40</f>
        <v>3.2</v>
      </c>
      <c r="E40" s="1"/>
      <c r="F40" s="1"/>
      <c r="G40" s="1"/>
      <c r="H40" s="4" t="s">
        <v>18</v>
      </c>
      <c r="I40" s="5">
        <f>+I6</f>
        <v>4</v>
      </c>
      <c r="J40" s="6">
        <f>+I40</f>
        <v>4</v>
      </c>
      <c r="K40" s="1"/>
      <c r="L40" s="1"/>
    </row>
    <row r="41" spans="2:12" x14ac:dyDescent="0.3">
      <c r="B41" s="4" t="s">
        <v>14</v>
      </c>
      <c r="C41" s="5">
        <f>+C5</f>
        <v>69500000</v>
      </c>
      <c r="D41" s="6">
        <f>+C41/(1000^2)</f>
        <v>69.5</v>
      </c>
      <c r="E41" s="1"/>
      <c r="F41" s="1"/>
      <c r="G41" s="1"/>
      <c r="H41" s="4" t="s">
        <v>14</v>
      </c>
      <c r="I41" s="5">
        <f>+I5</f>
        <v>192000000</v>
      </c>
      <c r="J41" s="6">
        <f>+I41/(1000^2)</f>
        <v>192</v>
      </c>
      <c r="K41" s="1"/>
      <c r="L41" s="1"/>
    </row>
    <row r="42" spans="2:12" x14ac:dyDescent="0.3">
      <c r="B42" s="4" t="s">
        <v>13</v>
      </c>
      <c r="C42" s="5">
        <f>+C4</f>
        <v>5.3</v>
      </c>
      <c r="D42" s="6">
        <f>+C42</f>
        <v>5.3</v>
      </c>
      <c r="E42" s="1"/>
      <c r="F42" s="1"/>
      <c r="G42" s="1"/>
      <c r="H42" s="4" t="s">
        <v>13</v>
      </c>
      <c r="I42" s="5">
        <f>+I4</f>
        <v>19.100000000000001</v>
      </c>
      <c r="J42" s="6">
        <f>+I42</f>
        <v>19.100000000000001</v>
      </c>
      <c r="K42" s="1"/>
      <c r="L42" s="1"/>
    </row>
    <row r="43" spans="2:12" x14ac:dyDescent="0.3">
      <c r="B43" s="4"/>
      <c r="C43" s="5"/>
      <c r="D43" s="7"/>
      <c r="E43" s="1"/>
      <c r="F43" s="1"/>
      <c r="G43" s="1"/>
      <c r="H43" s="4"/>
      <c r="I43" s="5"/>
      <c r="J43" s="7"/>
      <c r="K43" s="1"/>
      <c r="L43" s="1"/>
    </row>
    <row r="44" spans="2:12" x14ac:dyDescent="0.3">
      <c r="B44" s="4">
        <v>0.04</v>
      </c>
      <c r="C44" s="11" t="s">
        <v>19</v>
      </c>
      <c r="D44" s="7">
        <v>0.13</v>
      </c>
      <c r="E44" s="1"/>
      <c r="F44" s="1"/>
      <c r="G44" s="1"/>
      <c r="H44" s="4">
        <v>0.04</v>
      </c>
      <c r="I44" s="11" t="s">
        <v>19</v>
      </c>
      <c r="J44" s="7">
        <v>0.13</v>
      </c>
      <c r="K44" s="1"/>
      <c r="L44" s="1"/>
    </row>
    <row r="45" spans="2:12" x14ac:dyDescent="0.3">
      <c r="B45" s="4"/>
      <c r="C45" s="5"/>
      <c r="D45" s="7"/>
      <c r="E45" s="1"/>
      <c r="F45" s="1"/>
      <c r="G45" s="1"/>
      <c r="H45" s="4"/>
      <c r="I45" s="5"/>
      <c r="J45" s="7"/>
      <c r="K45" s="1"/>
      <c r="L45" s="1"/>
    </row>
    <row r="46" spans="2:12" x14ac:dyDescent="0.3">
      <c r="B46" s="4" t="s">
        <v>20</v>
      </c>
      <c r="C46" s="12">
        <f>+D42/(D41^0.5)</f>
        <v>0.63574575253831123</v>
      </c>
      <c r="D46" s="7"/>
      <c r="E46" s="1"/>
      <c r="F46" s="1"/>
      <c r="G46" s="1"/>
      <c r="H46" s="4" t="s">
        <v>20</v>
      </c>
      <c r="I46" s="12">
        <f>+J42/(J41^0.5)</f>
        <v>1.3784237676902318</v>
      </c>
      <c r="J46" s="7"/>
      <c r="K46" s="1"/>
      <c r="L46" s="1"/>
    </row>
    <row r="47" spans="2:12" x14ac:dyDescent="0.3">
      <c r="B47" s="4" t="s">
        <v>21</v>
      </c>
      <c r="C47" s="5">
        <f>+(IF(C46&lt;=B44,B44,IF(C46&gt;=D44,D44,C46)))</f>
        <v>0.13</v>
      </c>
      <c r="D47" s="7"/>
      <c r="E47" s="1"/>
      <c r="F47" s="1"/>
      <c r="G47" s="1"/>
      <c r="H47" s="4" t="s">
        <v>21</v>
      </c>
      <c r="I47" s="5">
        <f>+(IF(I46&lt;=H44,H44,IF(I46&gt;=J44,J44,I46)))</f>
        <v>0.13</v>
      </c>
      <c r="J47" s="7"/>
      <c r="K47" s="1"/>
      <c r="L47" s="1"/>
    </row>
    <row r="48" spans="2:12" x14ac:dyDescent="0.3">
      <c r="B48" s="4"/>
      <c r="C48" s="5"/>
      <c r="D48" s="7"/>
      <c r="E48" s="1"/>
      <c r="F48" s="1"/>
      <c r="G48" s="1"/>
      <c r="H48" s="4"/>
      <c r="I48" s="5"/>
      <c r="J48" s="7"/>
      <c r="K48" s="1"/>
      <c r="L48" s="1"/>
    </row>
    <row r="49" spans="2:12" x14ac:dyDescent="0.3">
      <c r="B49" s="4" t="s">
        <v>15</v>
      </c>
      <c r="C49" s="12">
        <f>+C47*((D41*D42)^(1/3))/(D40^0.5)</f>
        <v>0.52094105818053704</v>
      </c>
      <c r="D49" s="7" t="s">
        <v>22</v>
      </c>
      <c r="E49" s="1"/>
      <c r="F49" s="1"/>
      <c r="G49" s="1"/>
      <c r="H49" s="4" t="s">
        <v>15</v>
      </c>
      <c r="I49" s="12">
        <f>+I47*((J41*J42)^(1/3))/(J40^0.5)</f>
        <v>1.0023626800134584</v>
      </c>
      <c r="J49" s="7" t="s">
        <v>22</v>
      </c>
      <c r="K49" s="1"/>
      <c r="L49" s="1"/>
    </row>
    <row r="50" spans="2:12" x14ac:dyDescent="0.3">
      <c r="B50" s="4" t="s">
        <v>15</v>
      </c>
      <c r="C50" s="12">
        <f>+C49*60</f>
        <v>31.256463490832221</v>
      </c>
      <c r="D50" s="7" t="s">
        <v>16</v>
      </c>
      <c r="E50" s="1"/>
      <c r="F50" s="1"/>
      <c r="G50" s="1"/>
      <c r="H50" s="4" t="s">
        <v>15</v>
      </c>
      <c r="I50" s="12">
        <f>+I49*60</f>
        <v>60.141760800807504</v>
      </c>
      <c r="J50" s="7" t="s">
        <v>16</v>
      </c>
      <c r="K50" s="1"/>
      <c r="L50" s="1"/>
    </row>
    <row r="51" spans="2:12" x14ac:dyDescent="0.3">
      <c r="B51" s="4"/>
      <c r="C51" s="5"/>
      <c r="D51" s="7"/>
      <c r="E51" s="1"/>
      <c r="F51" s="1"/>
      <c r="G51" s="1"/>
      <c r="H51" s="4"/>
      <c r="I51" s="5"/>
      <c r="J51" s="7"/>
      <c r="K51" s="1"/>
      <c r="L51" s="1"/>
    </row>
    <row r="52" spans="2:12" ht="15" thickBot="1" x14ac:dyDescent="0.35">
      <c r="B52" s="34" t="str">
        <f>+IF(AND(C46&gt;=B44,C46&lt;=D44),"Cumple con parametros","No cumple con parametros")</f>
        <v>No cumple con parametros</v>
      </c>
      <c r="C52" s="35"/>
      <c r="D52" s="36"/>
      <c r="E52" s="1"/>
      <c r="F52" s="1"/>
      <c r="G52" s="1"/>
      <c r="H52" s="34" t="str">
        <f>+IF(AND(I46&gt;=H44,I46&lt;=J44),"Cumple con parametros","No cumple con parametros")</f>
        <v>No cumple con parametros</v>
      </c>
      <c r="I52" s="35"/>
      <c r="J52" s="36"/>
      <c r="K52" s="1"/>
      <c r="L52" s="1"/>
    </row>
    <row r="53" spans="2:12" ht="15" thickBot="1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3">
      <c r="B54" s="39" t="s">
        <v>11</v>
      </c>
      <c r="C54" s="40"/>
      <c r="D54" s="41"/>
      <c r="E54" s="1"/>
      <c r="F54" s="1"/>
      <c r="G54" s="1"/>
      <c r="H54" s="39" t="s">
        <v>11</v>
      </c>
      <c r="I54" s="40"/>
      <c r="J54" s="41"/>
      <c r="K54" s="1"/>
      <c r="L54" s="1"/>
    </row>
    <row r="55" spans="2:12" x14ac:dyDescent="0.3">
      <c r="B55" s="4" t="s">
        <v>14</v>
      </c>
      <c r="C55" s="5">
        <f>+C5</f>
        <v>69500000</v>
      </c>
      <c r="D55" s="6">
        <f>+C55/(1000^2)</f>
        <v>69.5</v>
      </c>
      <c r="E55" s="1"/>
      <c r="F55" s="1"/>
      <c r="G55" s="1"/>
      <c r="H55" s="4" t="s">
        <v>14</v>
      </c>
      <c r="I55" s="5">
        <f>+I5</f>
        <v>192000000</v>
      </c>
      <c r="J55" s="6">
        <f>+I55/(1000^2)</f>
        <v>192</v>
      </c>
      <c r="K55" s="1"/>
      <c r="L55" s="1"/>
    </row>
    <row r="56" spans="2:12" x14ac:dyDescent="0.3">
      <c r="B56" s="4" t="s">
        <v>13</v>
      </c>
      <c r="C56" s="5">
        <f>+C4</f>
        <v>5.3</v>
      </c>
      <c r="D56" s="6">
        <f>+C56</f>
        <v>5.3</v>
      </c>
      <c r="E56" s="1"/>
      <c r="F56" s="1"/>
      <c r="G56" s="1"/>
      <c r="H56" s="4" t="s">
        <v>13</v>
      </c>
      <c r="I56" s="5">
        <f>+I4</f>
        <v>19.100000000000001</v>
      </c>
      <c r="J56" s="6">
        <f>+I4</f>
        <v>19.100000000000001</v>
      </c>
      <c r="K56" s="1"/>
      <c r="L56" s="1"/>
    </row>
    <row r="57" spans="2:12" x14ac:dyDescent="0.3">
      <c r="B57" s="4" t="s">
        <v>23</v>
      </c>
      <c r="C57" s="5">
        <f>+C7</f>
        <v>169.5</v>
      </c>
      <c r="D57" s="6">
        <f>+C57</f>
        <v>169.5</v>
      </c>
      <c r="E57" s="1"/>
      <c r="F57" s="1"/>
      <c r="G57" s="1"/>
      <c r="H57" s="4" t="s">
        <v>23</v>
      </c>
      <c r="I57" s="5">
        <f>+I7</f>
        <v>764</v>
      </c>
      <c r="J57" s="6">
        <f>+I57</f>
        <v>764</v>
      </c>
      <c r="K57" s="1"/>
      <c r="L57" s="1"/>
    </row>
    <row r="58" spans="2:12" x14ac:dyDescent="0.3">
      <c r="B58" s="4" t="s">
        <v>24</v>
      </c>
      <c r="C58" s="5"/>
      <c r="D58" s="7"/>
      <c r="E58" s="1"/>
      <c r="F58" s="1"/>
      <c r="G58" s="1"/>
      <c r="H58" s="4" t="s">
        <v>24</v>
      </c>
      <c r="I58" s="5"/>
      <c r="J58" s="7"/>
      <c r="K58" s="1"/>
      <c r="L58" s="1"/>
    </row>
    <row r="59" spans="2:12" x14ac:dyDescent="0.3">
      <c r="B59" s="13">
        <f>+C56/3600</f>
        <v>1.4722222222222222E-3</v>
      </c>
      <c r="C59" s="11" t="s">
        <v>25</v>
      </c>
      <c r="D59" s="14">
        <f>+(C56/3600)+1.5</f>
        <v>1.5014722222222223</v>
      </c>
      <c r="E59" s="1"/>
      <c r="F59" s="1"/>
      <c r="G59" s="1"/>
      <c r="H59" s="13">
        <f>+I56/3600</f>
        <v>5.3055555555555555E-3</v>
      </c>
      <c r="I59" s="11" t="s">
        <v>25</v>
      </c>
      <c r="J59" s="14">
        <f>+(I56/3600)+1.5</f>
        <v>1.5053055555555555</v>
      </c>
      <c r="K59" s="1"/>
      <c r="L59" s="1"/>
    </row>
    <row r="60" spans="2:12" x14ac:dyDescent="0.3">
      <c r="B60" s="4"/>
      <c r="C60" s="5"/>
      <c r="D60" s="7"/>
      <c r="E60" s="1"/>
      <c r="F60" s="1"/>
      <c r="G60" s="1"/>
      <c r="H60" s="4"/>
      <c r="I60" s="5"/>
      <c r="J60" s="7"/>
      <c r="K60" s="1"/>
      <c r="L60" s="1"/>
    </row>
    <row r="61" spans="2:12" x14ac:dyDescent="0.3">
      <c r="B61" s="4" t="s">
        <v>26</v>
      </c>
      <c r="C61" s="12">
        <f>+((4*(D55^0.5)+1.5*D56)/(0.8*(D57^0.5)))</f>
        <v>3.9649720655992295</v>
      </c>
      <c r="D61" s="7"/>
      <c r="E61" s="1"/>
      <c r="F61" s="1"/>
      <c r="G61" s="1"/>
      <c r="H61" s="4" t="s">
        <v>26</v>
      </c>
      <c r="I61" s="12">
        <f>+((4*(J55^0.5)+1.5*J56)/(0.8*(J57^0.5)))</f>
        <v>3.8021867364678834</v>
      </c>
      <c r="J61" s="7"/>
      <c r="K61" s="1"/>
      <c r="L61" s="1"/>
    </row>
    <row r="62" spans="2:12" x14ac:dyDescent="0.3">
      <c r="B62" s="4" t="s">
        <v>26</v>
      </c>
      <c r="C62" s="12">
        <f>+C61*60</f>
        <v>237.89832393595378</v>
      </c>
      <c r="D62" s="7"/>
      <c r="E62" s="1"/>
      <c r="F62" s="1"/>
      <c r="G62" s="1"/>
      <c r="H62" s="4" t="s">
        <v>26</v>
      </c>
      <c r="I62" s="12">
        <f>+I61*60</f>
        <v>228.13120418807301</v>
      </c>
      <c r="J62" s="7"/>
      <c r="K62" s="1"/>
      <c r="L62" s="1"/>
    </row>
    <row r="63" spans="2:12" x14ac:dyDescent="0.3">
      <c r="B63" s="4"/>
      <c r="C63" s="5"/>
      <c r="D63" s="7"/>
      <c r="E63" s="1"/>
      <c r="F63" s="1"/>
      <c r="G63" s="1"/>
      <c r="H63" s="4"/>
      <c r="I63" s="5"/>
      <c r="J63" s="7"/>
      <c r="K63" s="1"/>
      <c r="L63" s="1"/>
    </row>
    <row r="64" spans="2:12" ht="15" thickBot="1" x14ac:dyDescent="0.35">
      <c r="B64" s="34" t="str">
        <f>+IF(AND(C61&lt;B59,C61&gt;D59),"Cumple con los parametros","No cumple con los parametros")</f>
        <v>No cumple con los parametros</v>
      </c>
      <c r="C64" s="35"/>
      <c r="D64" s="36"/>
      <c r="E64" s="1"/>
      <c r="F64" s="1"/>
      <c r="G64" s="1"/>
      <c r="H64" s="34" t="str">
        <f>+IF(AND(I61&lt;H59,I61&gt;J59),"Cumple con los parametros","No cumple con los parametros")</f>
        <v>No cumple con los parametros</v>
      </c>
      <c r="I64" s="35"/>
      <c r="J64" s="36"/>
      <c r="K64" s="1"/>
      <c r="L64" s="1"/>
    </row>
    <row r="65" spans="2:7" x14ac:dyDescent="0.3">
      <c r="B65" s="1"/>
      <c r="C65" s="1"/>
      <c r="D65" s="1"/>
      <c r="E65" s="1"/>
      <c r="F65" s="1"/>
      <c r="G65" s="1"/>
    </row>
    <row r="66" spans="2:7" x14ac:dyDescent="0.3">
      <c r="B66" s="1"/>
      <c r="C66" s="1"/>
      <c r="D66" s="1"/>
      <c r="E66" s="1"/>
      <c r="F66" s="1"/>
      <c r="G66" s="1"/>
    </row>
  </sheetData>
  <mergeCells count="33">
    <mergeCell ref="O11:R11"/>
    <mergeCell ref="O12:R12"/>
    <mergeCell ref="O13:R13"/>
    <mergeCell ref="O14:R14"/>
    <mergeCell ref="N8:R8"/>
    <mergeCell ref="O9:R9"/>
    <mergeCell ref="O10:R10"/>
    <mergeCell ref="B2:D2"/>
    <mergeCell ref="C8:D8"/>
    <mergeCell ref="C7:D7"/>
    <mergeCell ref="B10:F10"/>
    <mergeCell ref="B16:D16"/>
    <mergeCell ref="C14:D14"/>
    <mergeCell ref="B39:D39"/>
    <mergeCell ref="B52:D52"/>
    <mergeCell ref="B54:D54"/>
    <mergeCell ref="B64:D64"/>
    <mergeCell ref="B3:D3"/>
    <mergeCell ref="B23:D23"/>
    <mergeCell ref="B36:D36"/>
    <mergeCell ref="H64:J64"/>
    <mergeCell ref="H2:J2"/>
    <mergeCell ref="H3:J3"/>
    <mergeCell ref="I7:J7"/>
    <mergeCell ref="I8:J8"/>
    <mergeCell ref="H10:L10"/>
    <mergeCell ref="H16:J16"/>
    <mergeCell ref="I14:J14"/>
    <mergeCell ref="H23:J23"/>
    <mergeCell ref="H36:J36"/>
    <mergeCell ref="H39:J39"/>
    <mergeCell ref="H52:J52"/>
    <mergeCell ref="H54:J54"/>
  </mergeCells>
  <conditionalFormatting sqref="C30">
    <cfRule type="cellIs" dxfId="18" priority="16" operator="between">
      <formula>$B$28</formula>
      <formula>$D$28</formula>
    </cfRule>
    <cfRule type="cellIs" dxfId="17" priority="17" operator="lessThan">
      <formula>$B$28</formula>
    </cfRule>
    <cfRule type="cellIs" dxfId="16" priority="18" operator="greaterThan">
      <formula>$D$28</formula>
    </cfRule>
  </conditionalFormatting>
  <conditionalFormatting sqref="I30">
    <cfRule type="cellIs" dxfId="15" priority="13" operator="between">
      <formula>$H$28</formula>
      <formula>$J$28</formula>
    </cfRule>
    <cfRule type="cellIs" dxfId="14" priority="14" operator="lessThan">
      <formula>$H$28</formula>
    </cfRule>
    <cfRule type="cellIs" dxfId="13" priority="15" operator="greaterThan">
      <formula>$J$28</formula>
    </cfRule>
  </conditionalFormatting>
  <conditionalFormatting sqref="C46">
    <cfRule type="cellIs" dxfId="12" priority="10" operator="between">
      <formula>$B$44</formula>
      <formula>$D$44</formula>
    </cfRule>
    <cfRule type="cellIs" dxfId="11" priority="11" operator="greaterThan">
      <formula>$D$44</formula>
    </cfRule>
    <cfRule type="cellIs" dxfId="10" priority="12" operator="lessThan">
      <formula>$B$44</formula>
    </cfRule>
  </conditionalFormatting>
  <conditionalFormatting sqref="I46">
    <cfRule type="cellIs" dxfId="9" priority="7" operator="between">
      <formula>$H$44</formula>
      <formula>$J$44</formula>
    </cfRule>
    <cfRule type="cellIs" dxfId="8" priority="8" operator="greaterThan">
      <formula>$J$44</formula>
    </cfRule>
    <cfRule type="cellIs" dxfId="7" priority="9" operator="lessThan">
      <formula>$H$44</formula>
    </cfRule>
  </conditionalFormatting>
  <conditionalFormatting sqref="C61">
    <cfRule type="cellIs" dxfId="6" priority="4" operator="greaterThan">
      <formula>$D$59</formula>
    </cfRule>
    <cfRule type="cellIs" dxfId="5" priority="5" operator="between">
      <formula>$B$59</formula>
      <formula>$D$59</formula>
    </cfRule>
    <cfRule type="cellIs" dxfId="4" priority="6" operator="lessThan">
      <formula>$B$59</formula>
    </cfRule>
  </conditionalFormatting>
  <conditionalFormatting sqref="I61">
    <cfRule type="cellIs" dxfId="3" priority="1" operator="between">
      <formula>$H$59</formula>
      <formula>$J$59</formula>
    </cfRule>
    <cfRule type="cellIs" dxfId="2" priority="2" operator="greaterThan">
      <formula>$J$59</formula>
    </cfRule>
    <cfRule type="cellIs" dxfId="1" priority="3" operator="lessThan">
      <formula>$H$59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showGridLines="0" zoomScaleNormal="100" workbookViewId="0">
      <selection activeCell="J46" sqref="J46"/>
    </sheetView>
  </sheetViews>
  <sheetFormatPr baseColWidth="10" defaultRowHeight="14.4" x14ac:dyDescent="0.3"/>
  <cols>
    <col min="1" max="2" width="11.5546875" style="1"/>
    <col min="3" max="3" width="16.6640625" style="1" bestFit="1" customWidth="1"/>
    <col min="4" max="4" width="12" style="1" bestFit="1" customWidth="1"/>
    <col min="5" max="5" width="11.5546875" style="1"/>
    <col min="6" max="6" width="16.6640625" style="1" bestFit="1" customWidth="1"/>
    <col min="7" max="7" width="17.44140625" style="1" bestFit="1" customWidth="1"/>
    <col min="8" max="8" width="11.5546875" style="1"/>
    <col min="9" max="9" width="12" style="1" bestFit="1" customWidth="1"/>
    <col min="10" max="10" width="11.5546875" style="1"/>
    <col min="11" max="11" width="17.44140625" style="1" bestFit="1" customWidth="1"/>
    <col min="12" max="13" width="12.6640625" style="1" bestFit="1" customWidth="1"/>
    <col min="14" max="16384" width="11.5546875" style="1"/>
  </cols>
  <sheetData>
    <row r="2" spans="2:8" x14ac:dyDescent="0.3">
      <c r="B2" s="37" t="str">
        <f>+Hoja1!B2</f>
        <v>Cuenca 1</v>
      </c>
      <c r="C2" s="37"/>
      <c r="D2" s="37"/>
      <c r="F2" s="37" t="str">
        <f>+Hoja1!H2</f>
        <v>Cuenca 2</v>
      </c>
      <c r="G2" s="37"/>
      <c r="H2" s="37"/>
    </row>
    <row r="3" spans="2:8" x14ac:dyDescent="0.3">
      <c r="B3" s="37" t="str">
        <f>+Hoja1!B3</f>
        <v xml:space="preserve">Datos </v>
      </c>
      <c r="C3" s="37"/>
      <c r="D3" s="37"/>
      <c r="F3" s="37" t="str">
        <f>+Hoja1!H3</f>
        <v xml:space="preserve">Datos </v>
      </c>
      <c r="G3" s="37"/>
      <c r="H3" s="37"/>
    </row>
    <row r="4" spans="2:8" x14ac:dyDescent="0.3">
      <c r="B4" s="2" t="str">
        <f>+Hoja1!B4</f>
        <v>Longitud</v>
      </c>
      <c r="C4" s="22">
        <f>+Hoja1!C4</f>
        <v>5.3</v>
      </c>
      <c r="D4" s="23">
        <f>+Hoja1!D4</f>
        <v>5300</v>
      </c>
      <c r="F4" s="2" t="str">
        <f>+Hoja1!H4</f>
        <v>Longitud</v>
      </c>
      <c r="G4" s="22">
        <f>+Hoja1!I4</f>
        <v>19.100000000000001</v>
      </c>
      <c r="H4" s="23">
        <f>+Hoja1!J4</f>
        <v>19100</v>
      </c>
    </row>
    <row r="5" spans="2:8" x14ac:dyDescent="0.3">
      <c r="B5" s="2" t="str">
        <f>+Hoja1!B5</f>
        <v xml:space="preserve">Area </v>
      </c>
      <c r="C5" s="24">
        <f>+Hoja1!C5</f>
        <v>69500000</v>
      </c>
      <c r="D5" s="25">
        <f>+Hoja1!D5</f>
        <v>69.5</v>
      </c>
      <c r="F5" s="2" t="str">
        <f>+Hoja1!H5</f>
        <v xml:space="preserve">Area </v>
      </c>
      <c r="G5" s="24">
        <f>+Hoja1!I5</f>
        <v>192000000</v>
      </c>
      <c r="H5" s="25">
        <f>+Hoja1!J5</f>
        <v>192</v>
      </c>
    </row>
    <row r="6" spans="2:8" x14ac:dyDescent="0.3">
      <c r="B6" s="2" t="str">
        <f>+Hoja1!B6</f>
        <v>S</v>
      </c>
      <c r="C6" s="26">
        <f>+Hoja1!C6</f>
        <v>3.2</v>
      </c>
      <c r="D6" s="27">
        <f>+Hoja1!D6</f>
        <v>3.2000000000000001E-2</v>
      </c>
      <c r="F6" s="2" t="str">
        <f>+Hoja1!H6</f>
        <v>S</v>
      </c>
      <c r="G6" s="26">
        <f>+Hoja1!I6</f>
        <v>4</v>
      </c>
      <c r="H6" s="27">
        <f>+Hoja1!J6</f>
        <v>0.04</v>
      </c>
    </row>
    <row r="7" spans="2:8" x14ac:dyDescent="0.3">
      <c r="B7" s="2" t="str">
        <f>+Hoja1!B7</f>
        <v>H</v>
      </c>
      <c r="C7" s="49">
        <f>+Hoja1!C7</f>
        <v>169.5</v>
      </c>
      <c r="D7" s="50"/>
      <c r="F7" s="2" t="str">
        <f>+Hoja1!H7</f>
        <v>H</v>
      </c>
      <c r="G7" s="49">
        <f>+Hoja1!I7</f>
        <v>764</v>
      </c>
      <c r="H7" s="50"/>
    </row>
    <row r="8" spans="2:8" x14ac:dyDescent="0.3">
      <c r="B8" s="2" t="str">
        <f>+Hoja1!B8</f>
        <v>C</v>
      </c>
      <c r="C8" s="37">
        <f>+Hoja1!C8</f>
        <v>0.6</v>
      </c>
      <c r="D8" s="37"/>
      <c r="F8" s="2" t="str">
        <f>+Hoja1!H8</f>
        <v>C</v>
      </c>
      <c r="G8" s="37">
        <f>+Hoja1!I8</f>
        <v>0.62</v>
      </c>
      <c r="H8" s="37"/>
    </row>
    <row r="9" spans="2:8" x14ac:dyDescent="0.3">
      <c r="B9" s="2" t="s">
        <v>12</v>
      </c>
      <c r="C9" s="51">
        <f>+Hoja1!C14</f>
        <v>78.156243752498739</v>
      </c>
      <c r="D9" s="51"/>
      <c r="F9" s="2" t="s">
        <v>12</v>
      </c>
      <c r="G9" s="51">
        <f>+Hoja1!I14</f>
        <v>103.92304845413263</v>
      </c>
      <c r="H9" s="51"/>
    </row>
    <row r="10" spans="2:8" x14ac:dyDescent="0.3">
      <c r="B10" s="2" t="s">
        <v>31</v>
      </c>
      <c r="C10" s="37">
        <v>1015</v>
      </c>
      <c r="D10" s="37"/>
      <c r="F10" s="2" t="s">
        <v>31</v>
      </c>
      <c r="G10" s="37">
        <v>1015</v>
      </c>
      <c r="H10" s="37"/>
    </row>
    <row r="11" spans="2:8" x14ac:dyDescent="0.3">
      <c r="B11" s="2" t="s">
        <v>32</v>
      </c>
      <c r="C11" s="37">
        <v>4</v>
      </c>
      <c r="D11" s="37"/>
      <c r="F11" s="2" t="s">
        <v>32</v>
      </c>
      <c r="G11" s="37">
        <v>4</v>
      </c>
      <c r="H11" s="37"/>
    </row>
    <row r="12" spans="2:8" x14ac:dyDescent="0.3">
      <c r="B12" s="2" t="s">
        <v>33</v>
      </c>
      <c r="C12" s="37">
        <v>0.67400000000000004</v>
      </c>
      <c r="D12" s="37"/>
      <c r="F12" s="2" t="s">
        <v>33</v>
      </c>
      <c r="G12" s="37">
        <v>0.67400000000000004</v>
      </c>
      <c r="H12" s="37"/>
    </row>
    <row r="13" spans="2:8" x14ac:dyDescent="0.3">
      <c r="B13" s="2" t="s">
        <v>18</v>
      </c>
      <c r="C13" s="56">
        <f>+C10/((C11+C9)^C12)</f>
        <v>51.99939549141272</v>
      </c>
      <c r="D13" s="56"/>
      <c r="F13" s="2" t="s">
        <v>18</v>
      </c>
      <c r="G13" s="56">
        <f>+G10/((G11+G9)^G12)</f>
        <v>43.266032148691444</v>
      </c>
      <c r="H13" s="56"/>
    </row>
    <row r="14" spans="2:8" x14ac:dyDescent="0.3">
      <c r="B14" s="2" t="s">
        <v>18</v>
      </c>
      <c r="C14" s="57">
        <f>+C13*(1/1000)*(1/3600)</f>
        <v>1.4444276525392422E-5</v>
      </c>
      <c r="D14" s="57"/>
      <c r="F14" s="2" t="s">
        <v>18</v>
      </c>
      <c r="G14" s="57">
        <f>+G13*(1/1000)*(1/3600)</f>
        <v>1.20183422635254E-5</v>
      </c>
      <c r="H14" s="57"/>
    </row>
    <row r="17" spans="2:13" x14ac:dyDescent="0.3">
      <c r="B17" s="37" t="s">
        <v>34</v>
      </c>
      <c r="C17" s="37"/>
      <c r="D17" s="37"/>
      <c r="F17" s="37" t="s">
        <v>35</v>
      </c>
      <c r="G17" s="37"/>
      <c r="H17" s="37"/>
    </row>
    <row r="18" spans="2:13" x14ac:dyDescent="0.3">
      <c r="B18" s="55">
        <f>+C9+20+C9</f>
        <v>176.31248750499748</v>
      </c>
      <c r="C18" s="55"/>
      <c r="D18" s="55"/>
      <c r="F18" s="55">
        <f>+G9+20+G9</f>
        <v>227.84609690826525</v>
      </c>
      <c r="G18" s="55"/>
      <c r="H18" s="55"/>
    </row>
    <row r="21" spans="2:13" x14ac:dyDescent="0.3">
      <c r="B21" s="2" t="s">
        <v>36</v>
      </c>
      <c r="C21" s="2" t="s">
        <v>5</v>
      </c>
      <c r="D21" s="2" t="s">
        <v>37</v>
      </c>
      <c r="E21" s="2" t="s">
        <v>38</v>
      </c>
      <c r="F21" s="2" t="s">
        <v>39</v>
      </c>
      <c r="G21" s="18">
        <v>1</v>
      </c>
      <c r="H21" s="2" t="s">
        <v>5</v>
      </c>
      <c r="I21" s="2" t="s">
        <v>37</v>
      </c>
      <c r="J21" s="2" t="s">
        <v>38</v>
      </c>
      <c r="K21" s="2" t="s">
        <v>39</v>
      </c>
      <c r="L21" s="18">
        <v>2</v>
      </c>
      <c r="M21" s="2" t="s">
        <v>40</v>
      </c>
    </row>
    <row r="22" spans="2:13" x14ac:dyDescent="0.3">
      <c r="B22" s="20">
        <v>0</v>
      </c>
      <c r="C22" s="20">
        <f>+$C$8</f>
        <v>0.6</v>
      </c>
      <c r="D22" s="28">
        <f>+$C$14</f>
        <v>1.4444276525392422E-5</v>
      </c>
      <c r="E22" s="19">
        <f>+IF(B22&lt;$C$9,B22/$C$9,IF(AND(B22&gt;=$C$9,B22&lt;=$C$9+20),1,IF(AND(B22&gt;$C$9+20,B22&lt;=$C$9+20+$C$9),(1-(B22-($C$9+20))/$C$9),0)))</f>
        <v>0</v>
      </c>
      <c r="F22" s="24">
        <f>+E22*$C$5</f>
        <v>0</v>
      </c>
      <c r="G22" s="29">
        <f>+F22*D22*C22</f>
        <v>0</v>
      </c>
      <c r="H22" s="20">
        <f>+$G$8</f>
        <v>0.62</v>
      </c>
      <c r="I22" s="28">
        <f>+$G$14</f>
        <v>1.20183422635254E-5</v>
      </c>
      <c r="J22" s="19">
        <f>+IF(B22&lt;$G$9,B22/$G$9,IF(AND(B22&gt;=$G$9,B22&lt;=$G$9+20),1,IF(AND(B22&gt;$G$9+20,B22&lt;=$G$9+20+$G$9),(1-(B22-($G$9+20))/$G$9),0)))</f>
        <v>0</v>
      </c>
      <c r="K22" s="24">
        <f>+J22*$G$5</f>
        <v>0</v>
      </c>
      <c r="L22" s="29">
        <f>+K22*I22*H22</f>
        <v>0</v>
      </c>
      <c r="M22" s="29">
        <f>+G22+L22</f>
        <v>0</v>
      </c>
    </row>
    <row r="23" spans="2:13" x14ac:dyDescent="0.3">
      <c r="B23" s="2">
        <v>10</v>
      </c>
      <c r="C23" s="2">
        <f>+$C$8</f>
        <v>0.6</v>
      </c>
      <c r="D23" s="28">
        <f>+$C$14</f>
        <v>1.4444276525392422E-5</v>
      </c>
      <c r="E23" s="19">
        <f>+IF(B23&lt;$C$9,B23/$C$9,IF(AND(B23&gt;=$C$9,B23&lt;=$C$9+20),1,IF(AND(B23&gt;$C$9+20,B23&lt;=$C$9+20+$C$9),(1-(B23-($C$9+20))/$C$9),0)))</f>
        <v>0.12794883069953433</v>
      </c>
      <c r="F23" s="24">
        <f>+E23*$C$5</f>
        <v>8892443.7336176354</v>
      </c>
      <c r="G23" s="29">
        <f>+F23*D23*C23</f>
        <v>77.066949764919698</v>
      </c>
      <c r="H23" s="2">
        <f>+$G$8</f>
        <v>0.62</v>
      </c>
      <c r="I23" s="28">
        <f>+$G$14</f>
        <v>1.20183422635254E-5</v>
      </c>
      <c r="J23" s="19">
        <f>+IF(B23&lt;$G$9,B23/$G$9,IF(AND(B23&gt;=$G$9,B23&lt;=$G$9+20),1,IF(AND(B23&gt;$G$9+20,B23&lt;=$G$9+20+$G$9),(1-(B23-($G$9+20))/$G$9),0)))</f>
        <v>9.6225044864937631E-2</v>
      </c>
      <c r="K23" s="24">
        <f>+J23*$G$5</f>
        <v>18475208.614068024</v>
      </c>
      <c r="L23" s="29">
        <f>+K23*I23*H23</f>
        <v>137.66565591861942</v>
      </c>
      <c r="M23" s="29">
        <f>+G23+L23</f>
        <v>214.73260568353913</v>
      </c>
    </row>
    <row r="24" spans="2:13" x14ac:dyDescent="0.3">
      <c r="B24" s="2">
        <v>20</v>
      </c>
      <c r="C24" s="2">
        <f t="shared" ref="C24:C45" si="0">+$C$8</f>
        <v>0.6</v>
      </c>
      <c r="D24" s="28">
        <f t="shared" ref="D24:D45" si="1">+$C$14</f>
        <v>1.4444276525392422E-5</v>
      </c>
      <c r="E24" s="19">
        <f t="shared" ref="E24:E45" si="2">+IF(B24&lt;$C$9,B24/$C$9,IF(AND(B24&gt;=$C$9,B24&lt;=$C$9+20),1,IF(AND(B24&gt;$C$9+20,B24&lt;=$C$9+20+$C$9),(1-(B24-($C$9+20))/$C$9),0)))</f>
        <v>0.25589766139906867</v>
      </c>
      <c r="F24" s="24">
        <f t="shared" ref="F24:F45" si="3">+E24*$C$5</f>
        <v>17784887.467235271</v>
      </c>
      <c r="G24" s="29">
        <f t="shared" ref="G24:G45" si="4">+F24*D24*C24</f>
        <v>154.1338995298394</v>
      </c>
      <c r="H24" s="2">
        <f t="shared" ref="H24:H45" si="5">+$G$8</f>
        <v>0.62</v>
      </c>
      <c r="I24" s="28">
        <f t="shared" ref="I24:I45" si="6">+$G$14</f>
        <v>1.20183422635254E-5</v>
      </c>
      <c r="J24" s="19">
        <f t="shared" ref="J24:J45" si="7">+IF(B24&lt;$G$9,B24/$G$9,IF(AND(B24&gt;=$G$9,B24&lt;=$G$9+20),1,IF(AND(B24&gt;$G$9+20,B24&lt;=$G$9+20+$G$9),(1-(B24-($G$9+20))/$G$9),0)))</f>
        <v>0.19245008972987526</v>
      </c>
      <c r="K24" s="24">
        <f t="shared" ref="K24:K45" si="8">+J24*$G$5</f>
        <v>36950417.228136048</v>
      </c>
      <c r="L24" s="29">
        <f t="shared" ref="L24:L45" si="9">+K24*I24*H24</f>
        <v>275.33131183723884</v>
      </c>
      <c r="M24" s="29">
        <f t="shared" ref="M24:M45" si="10">+G24+L24</f>
        <v>429.46521136707827</v>
      </c>
    </row>
    <row r="25" spans="2:13" x14ac:dyDescent="0.3">
      <c r="B25" s="2">
        <v>30</v>
      </c>
      <c r="C25" s="2">
        <f t="shared" si="0"/>
        <v>0.6</v>
      </c>
      <c r="D25" s="28">
        <f t="shared" si="1"/>
        <v>1.4444276525392422E-5</v>
      </c>
      <c r="E25" s="19">
        <f t="shared" si="2"/>
        <v>0.38384649209860305</v>
      </c>
      <c r="F25" s="24">
        <f t="shared" si="3"/>
        <v>26677331.200852912</v>
      </c>
      <c r="G25" s="29">
        <f t="shared" si="4"/>
        <v>231.20084929475911</v>
      </c>
      <c r="H25" s="2">
        <f t="shared" si="5"/>
        <v>0.62</v>
      </c>
      <c r="I25" s="28">
        <f t="shared" si="6"/>
        <v>1.20183422635254E-5</v>
      </c>
      <c r="J25" s="19">
        <f t="shared" si="7"/>
        <v>0.28867513459481292</v>
      </c>
      <c r="K25" s="24">
        <f t="shared" si="8"/>
        <v>55425625.842204079</v>
      </c>
      <c r="L25" s="29">
        <f t="shared" si="9"/>
        <v>412.99696775585824</v>
      </c>
      <c r="M25" s="29">
        <f t="shared" si="10"/>
        <v>644.19781705061735</v>
      </c>
    </row>
    <row r="26" spans="2:13" x14ac:dyDescent="0.3">
      <c r="B26" s="2">
        <v>40</v>
      </c>
      <c r="C26" s="2">
        <f t="shared" si="0"/>
        <v>0.6</v>
      </c>
      <c r="D26" s="28">
        <f t="shared" si="1"/>
        <v>1.4444276525392422E-5</v>
      </c>
      <c r="E26" s="19">
        <f t="shared" si="2"/>
        <v>0.51179532279813733</v>
      </c>
      <c r="F26" s="24">
        <f t="shared" si="3"/>
        <v>35569774.934470542</v>
      </c>
      <c r="G26" s="29">
        <f t="shared" si="4"/>
        <v>308.26779905967879</v>
      </c>
      <c r="H26" s="2">
        <f t="shared" si="5"/>
        <v>0.62</v>
      </c>
      <c r="I26" s="28">
        <f t="shared" si="6"/>
        <v>1.20183422635254E-5</v>
      </c>
      <c r="J26" s="19">
        <f t="shared" si="7"/>
        <v>0.38490017945975052</v>
      </c>
      <c r="K26" s="24">
        <f t="shared" si="8"/>
        <v>73900834.456272095</v>
      </c>
      <c r="L26" s="29">
        <f t="shared" si="9"/>
        <v>550.66262367447769</v>
      </c>
      <c r="M26" s="29">
        <f t="shared" si="10"/>
        <v>858.93042273415654</v>
      </c>
    </row>
    <row r="27" spans="2:13" x14ac:dyDescent="0.3">
      <c r="B27" s="2">
        <v>50</v>
      </c>
      <c r="C27" s="2">
        <f t="shared" si="0"/>
        <v>0.6</v>
      </c>
      <c r="D27" s="28">
        <f t="shared" si="1"/>
        <v>1.4444276525392422E-5</v>
      </c>
      <c r="E27" s="19">
        <f t="shared" si="2"/>
        <v>0.63974415349767177</v>
      </c>
      <c r="F27" s="24">
        <f t="shared" si="3"/>
        <v>44462218.66808819</v>
      </c>
      <c r="G27" s="29">
        <f t="shared" si="4"/>
        <v>385.33474882459859</v>
      </c>
      <c r="H27" s="2">
        <f t="shared" si="5"/>
        <v>0.62</v>
      </c>
      <c r="I27" s="28">
        <f t="shared" si="6"/>
        <v>1.20183422635254E-5</v>
      </c>
      <c r="J27" s="19">
        <f t="shared" si="7"/>
        <v>0.48112522432468818</v>
      </c>
      <c r="K27" s="24">
        <f t="shared" si="8"/>
        <v>92376043.070340127</v>
      </c>
      <c r="L27" s="29">
        <f t="shared" si="9"/>
        <v>688.32827959309702</v>
      </c>
      <c r="M27" s="29">
        <f t="shared" si="10"/>
        <v>1073.6630284176956</v>
      </c>
    </row>
    <row r="28" spans="2:13" x14ac:dyDescent="0.3">
      <c r="B28" s="2">
        <v>60</v>
      </c>
      <c r="C28" s="2">
        <f t="shared" si="0"/>
        <v>0.6</v>
      </c>
      <c r="D28" s="28">
        <f t="shared" si="1"/>
        <v>1.4444276525392422E-5</v>
      </c>
      <c r="E28" s="19">
        <f t="shared" si="2"/>
        <v>0.76769298419720611</v>
      </c>
      <c r="F28" s="24">
        <f t="shared" si="3"/>
        <v>53354662.401705824</v>
      </c>
      <c r="G28" s="29">
        <f t="shared" si="4"/>
        <v>462.40169858951822</v>
      </c>
      <c r="H28" s="2">
        <f t="shared" si="5"/>
        <v>0.62</v>
      </c>
      <c r="I28" s="28">
        <f t="shared" si="6"/>
        <v>1.20183422635254E-5</v>
      </c>
      <c r="J28" s="19">
        <f t="shared" si="7"/>
        <v>0.57735026918962584</v>
      </c>
      <c r="K28" s="24">
        <f t="shared" si="8"/>
        <v>110851251.68440816</v>
      </c>
      <c r="L28" s="29">
        <f t="shared" si="9"/>
        <v>825.99393551171647</v>
      </c>
      <c r="M28" s="29">
        <f t="shared" si="10"/>
        <v>1288.3956341012347</v>
      </c>
    </row>
    <row r="29" spans="2:13" x14ac:dyDescent="0.3">
      <c r="B29" s="2">
        <v>70</v>
      </c>
      <c r="C29" s="2">
        <f t="shared" si="0"/>
        <v>0.6</v>
      </c>
      <c r="D29" s="28">
        <f t="shared" si="1"/>
        <v>1.4444276525392422E-5</v>
      </c>
      <c r="E29" s="19">
        <f t="shared" si="2"/>
        <v>0.89564181489674044</v>
      </c>
      <c r="F29" s="24">
        <f t="shared" si="3"/>
        <v>62247106.135323457</v>
      </c>
      <c r="G29" s="29">
        <f t="shared" si="4"/>
        <v>539.46864835443796</v>
      </c>
      <c r="H29" s="2">
        <f t="shared" si="5"/>
        <v>0.62</v>
      </c>
      <c r="I29" s="28">
        <f t="shared" si="6"/>
        <v>1.20183422635254E-5</v>
      </c>
      <c r="J29" s="19">
        <f t="shared" si="7"/>
        <v>0.6735753140545635</v>
      </c>
      <c r="K29" s="24">
        <f t="shared" si="8"/>
        <v>129326460.29847619</v>
      </c>
      <c r="L29" s="29">
        <f t="shared" si="9"/>
        <v>963.65959143033604</v>
      </c>
      <c r="M29" s="29">
        <f t="shared" si="10"/>
        <v>1503.128239784774</v>
      </c>
    </row>
    <row r="30" spans="2:13" x14ac:dyDescent="0.3">
      <c r="B30" s="2">
        <v>80</v>
      </c>
      <c r="C30" s="2">
        <f t="shared" si="0"/>
        <v>0.6</v>
      </c>
      <c r="D30" s="28">
        <f t="shared" si="1"/>
        <v>1.4444276525392422E-5</v>
      </c>
      <c r="E30" s="19">
        <f t="shared" si="2"/>
        <v>1</v>
      </c>
      <c r="F30" s="24">
        <f t="shared" si="3"/>
        <v>69500000</v>
      </c>
      <c r="G30" s="29">
        <f t="shared" si="4"/>
        <v>602.326331108864</v>
      </c>
      <c r="H30" s="2">
        <f t="shared" si="5"/>
        <v>0.62</v>
      </c>
      <c r="I30" s="28">
        <f t="shared" si="6"/>
        <v>1.20183422635254E-5</v>
      </c>
      <c r="J30" s="19">
        <f t="shared" si="7"/>
        <v>0.76980035891950105</v>
      </c>
      <c r="K30" s="24">
        <f t="shared" si="8"/>
        <v>147801668.91254419</v>
      </c>
      <c r="L30" s="29">
        <f t="shared" si="9"/>
        <v>1101.3252473489554</v>
      </c>
      <c r="M30" s="29">
        <f t="shared" si="10"/>
        <v>1703.6515784578194</v>
      </c>
    </row>
    <row r="31" spans="2:13" x14ac:dyDescent="0.3">
      <c r="B31" s="2">
        <v>90</v>
      </c>
      <c r="C31" s="2">
        <f t="shared" si="0"/>
        <v>0.6</v>
      </c>
      <c r="D31" s="28">
        <f t="shared" si="1"/>
        <v>1.4444276525392422E-5</v>
      </c>
      <c r="E31" s="19">
        <f t="shared" si="2"/>
        <v>1</v>
      </c>
      <c r="F31" s="24">
        <f t="shared" si="3"/>
        <v>69500000</v>
      </c>
      <c r="G31" s="29">
        <f t="shared" si="4"/>
        <v>602.326331108864</v>
      </c>
      <c r="H31" s="2">
        <f t="shared" si="5"/>
        <v>0.62</v>
      </c>
      <c r="I31" s="28">
        <f t="shared" si="6"/>
        <v>1.20183422635254E-5</v>
      </c>
      <c r="J31" s="19">
        <f t="shared" si="7"/>
        <v>0.86602540378443871</v>
      </c>
      <c r="K31" s="24">
        <f t="shared" si="8"/>
        <v>166276877.52661222</v>
      </c>
      <c r="L31" s="29">
        <f t="shared" si="9"/>
        <v>1238.9909032675748</v>
      </c>
      <c r="M31" s="29">
        <f t="shared" si="10"/>
        <v>1841.3172343764388</v>
      </c>
    </row>
    <row r="32" spans="2:13" x14ac:dyDescent="0.3">
      <c r="B32" s="2">
        <v>100</v>
      </c>
      <c r="C32" s="2">
        <f t="shared" si="0"/>
        <v>0.6</v>
      </c>
      <c r="D32" s="28">
        <f t="shared" si="1"/>
        <v>1.4444276525392422E-5</v>
      </c>
      <c r="E32" s="19">
        <f t="shared" si="2"/>
        <v>0.97640935440372523</v>
      </c>
      <c r="F32" s="24">
        <f t="shared" si="3"/>
        <v>67860450.131058902</v>
      </c>
      <c r="G32" s="29">
        <f t="shared" si="4"/>
        <v>588.11706409837029</v>
      </c>
      <c r="H32" s="2">
        <f t="shared" si="5"/>
        <v>0.62</v>
      </c>
      <c r="I32" s="28">
        <f t="shared" si="6"/>
        <v>1.20183422635254E-5</v>
      </c>
      <c r="J32" s="19">
        <f t="shared" si="7"/>
        <v>0.96225044864937637</v>
      </c>
      <c r="K32" s="24">
        <f t="shared" si="8"/>
        <v>184752086.14068025</v>
      </c>
      <c r="L32" s="29">
        <f t="shared" si="9"/>
        <v>1376.656559186194</v>
      </c>
      <c r="M32" s="29">
        <f t="shared" si="10"/>
        <v>1964.7736232845643</v>
      </c>
    </row>
    <row r="33" spans="1:13" x14ac:dyDescent="0.3">
      <c r="B33" s="2">
        <v>110</v>
      </c>
      <c r="C33" s="2">
        <f t="shared" si="0"/>
        <v>0.6</v>
      </c>
      <c r="D33" s="28">
        <f t="shared" si="1"/>
        <v>1.4444276525392422E-5</v>
      </c>
      <c r="E33" s="19">
        <f t="shared" si="2"/>
        <v>0.84846052370419089</v>
      </c>
      <c r="F33" s="24">
        <f t="shared" si="3"/>
        <v>58968006.397441268</v>
      </c>
      <c r="G33" s="29">
        <f t="shared" si="4"/>
        <v>511.05011433345061</v>
      </c>
      <c r="H33" s="2">
        <f t="shared" si="5"/>
        <v>0.62</v>
      </c>
      <c r="I33" s="28">
        <f t="shared" si="6"/>
        <v>1.20183422635254E-5</v>
      </c>
      <c r="J33" s="19">
        <f t="shared" si="7"/>
        <v>1</v>
      </c>
      <c r="K33" s="24">
        <f t="shared" si="8"/>
        <v>192000000</v>
      </c>
      <c r="L33" s="29">
        <f t="shared" si="9"/>
        <v>1430.6634630500637</v>
      </c>
      <c r="M33" s="29">
        <f t="shared" si="10"/>
        <v>1941.7135773835143</v>
      </c>
    </row>
    <row r="34" spans="1:13" x14ac:dyDescent="0.3">
      <c r="B34" s="2">
        <v>120</v>
      </c>
      <c r="C34" s="2">
        <f t="shared" si="0"/>
        <v>0.6</v>
      </c>
      <c r="D34" s="28">
        <f t="shared" si="1"/>
        <v>1.4444276525392422E-5</v>
      </c>
      <c r="E34" s="19">
        <f t="shared" si="2"/>
        <v>0.72051169300465656</v>
      </c>
      <c r="F34" s="24">
        <f t="shared" si="3"/>
        <v>50075562.663823634</v>
      </c>
      <c r="G34" s="29">
        <f t="shared" si="4"/>
        <v>433.98316456853098</v>
      </c>
      <c r="H34" s="2">
        <f t="shared" si="5"/>
        <v>0.62</v>
      </c>
      <c r="I34" s="28">
        <f t="shared" si="6"/>
        <v>1.20183422635254E-5</v>
      </c>
      <c r="J34" s="19">
        <f t="shared" si="7"/>
        <v>1</v>
      </c>
      <c r="K34" s="24">
        <f t="shared" si="8"/>
        <v>192000000</v>
      </c>
      <c r="L34" s="29">
        <f t="shared" si="9"/>
        <v>1430.6634630500637</v>
      </c>
      <c r="M34" s="29">
        <f t="shared" si="10"/>
        <v>1864.6466276185947</v>
      </c>
    </row>
    <row r="35" spans="1:13" x14ac:dyDescent="0.3">
      <c r="B35" s="2">
        <v>130</v>
      </c>
      <c r="C35" s="2">
        <f t="shared" si="0"/>
        <v>0.6</v>
      </c>
      <c r="D35" s="28">
        <f t="shared" si="1"/>
        <v>1.4444276525392422E-5</v>
      </c>
      <c r="E35" s="19">
        <f t="shared" si="2"/>
        <v>0.59256286230512223</v>
      </c>
      <c r="F35" s="24">
        <f t="shared" si="3"/>
        <v>41183118.930205993</v>
      </c>
      <c r="G35" s="29">
        <f t="shared" si="4"/>
        <v>356.91621480361124</v>
      </c>
      <c r="H35" s="2">
        <f t="shared" si="5"/>
        <v>0.62</v>
      </c>
      <c r="I35" s="28">
        <f t="shared" si="6"/>
        <v>1.20183422635254E-5</v>
      </c>
      <c r="J35" s="19">
        <f t="shared" si="7"/>
        <v>0.94152450648568597</v>
      </c>
      <c r="K35" s="24">
        <f t="shared" si="8"/>
        <v>180772705.24525172</v>
      </c>
      <c r="L35" s="29">
        <f t="shared" si="9"/>
        <v>1347.0047109953136</v>
      </c>
      <c r="M35" s="29">
        <f t="shared" si="10"/>
        <v>1703.9209257989248</v>
      </c>
    </row>
    <row r="36" spans="1:13" x14ac:dyDescent="0.3">
      <c r="B36" s="2">
        <v>140</v>
      </c>
      <c r="C36" s="2">
        <f t="shared" si="0"/>
        <v>0.6</v>
      </c>
      <c r="D36" s="28">
        <f t="shared" si="1"/>
        <v>1.4444276525392422E-5</v>
      </c>
      <c r="E36" s="19">
        <f t="shared" si="2"/>
        <v>0.4646140316055879</v>
      </c>
      <c r="F36" s="24">
        <f t="shared" si="3"/>
        <v>32290675.19658836</v>
      </c>
      <c r="G36" s="29">
        <f t="shared" si="4"/>
        <v>279.8492650386915</v>
      </c>
      <c r="H36" s="2">
        <f t="shared" si="5"/>
        <v>0.62</v>
      </c>
      <c r="I36" s="28">
        <f t="shared" si="6"/>
        <v>1.20183422635254E-5</v>
      </c>
      <c r="J36" s="19">
        <f t="shared" si="7"/>
        <v>0.84529946162074832</v>
      </c>
      <c r="K36" s="24">
        <f t="shared" si="8"/>
        <v>162297496.63118368</v>
      </c>
      <c r="L36" s="29">
        <f t="shared" si="9"/>
        <v>1209.3390550766942</v>
      </c>
      <c r="M36" s="29">
        <f t="shared" si="10"/>
        <v>1489.1883201153857</v>
      </c>
    </row>
    <row r="37" spans="1:13" x14ac:dyDescent="0.3">
      <c r="B37" s="2">
        <v>150</v>
      </c>
      <c r="C37" s="2">
        <f t="shared" si="0"/>
        <v>0.6</v>
      </c>
      <c r="D37" s="28">
        <f t="shared" si="1"/>
        <v>1.4444276525392422E-5</v>
      </c>
      <c r="E37" s="19">
        <f t="shared" si="2"/>
        <v>0.33666520090605356</v>
      </c>
      <c r="F37" s="24">
        <f t="shared" si="3"/>
        <v>23398231.462970722</v>
      </c>
      <c r="G37" s="29">
        <f t="shared" si="4"/>
        <v>202.78231527377184</v>
      </c>
      <c r="H37" s="2">
        <f t="shared" si="5"/>
        <v>0.62</v>
      </c>
      <c r="I37" s="28">
        <f t="shared" si="6"/>
        <v>1.20183422635254E-5</v>
      </c>
      <c r="J37" s="19">
        <f t="shared" si="7"/>
        <v>0.74907441675581077</v>
      </c>
      <c r="K37" s="24">
        <f t="shared" si="8"/>
        <v>143822288.01711565</v>
      </c>
      <c r="L37" s="29">
        <f t="shared" si="9"/>
        <v>1071.6733991580747</v>
      </c>
      <c r="M37" s="29">
        <f t="shared" si="10"/>
        <v>1274.4557144318467</v>
      </c>
    </row>
    <row r="38" spans="1:13" x14ac:dyDescent="0.3">
      <c r="B38" s="2">
        <v>160</v>
      </c>
      <c r="C38" s="2">
        <f t="shared" si="0"/>
        <v>0.6</v>
      </c>
      <c r="D38" s="28">
        <f t="shared" si="1"/>
        <v>1.4444276525392422E-5</v>
      </c>
      <c r="E38" s="19">
        <f t="shared" si="2"/>
        <v>0.20871637020651912</v>
      </c>
      <c r="F38" s="24">
        <f t="shared" si="3"/>
        <v>14505787.72935308</v>
      </c>
      <c r="G38" s="29">
        <f t="shared" si="4"/>
        <v>125.71536550885207</v>
      </c>
      <c r="H38" s="2">
        <f t="shared" si="5"/>
        <v>0.62</v>
      </c>
      <c r="I38" s="28">
        <f t="shared" si="6"/>
        <v>1.20183422635254E-5</v>
      </c>
      <c r="J38" s="19">
        <f t="shared" si="7"/>
        <v>0.652849371890873</v>
      </c>
      <c r="K38" s="24">
        <f t="shared" si="8"/>
        <v>125347079.40304762</v>
      </c>
      <c r="L38" s="29">
        <f t="shared" si="9"/>
        <v>934.00774323945518</v>
      </c>
      <c r="M38" s="29">
        <f t="shared" si="10"/>
        <v>1059.7231087483074</v>
      </c>
    </row>
    <row r="39" spans="1:13" x14ac:dyDescent="0.3">
      <c r="B39" s="2">
        <v>170</v>
      </c>
      <c r="C39" s="2">
        <f t="shared" si="0"/>
        <v>0.6</v>
      </c>
      <c r="D39" s="28">
        <f t="shared" si="1"/>
        <v>1.4444276525392422E-5</v>
      </c>
      <c r="E39" s="19">
        <f t="shared" si="2"/>
        <v>8.0767539506984787E-2</v>
      </c>
      <c r="F39" s="24">
        <f t="shared" si="3"/>
        <v>5613343.9957354423</v>
      </c>
      <c r="G39" s="29">
        <f t="shared" si="4"/>
        <v>48.648415743932368</v>
      </c>
      <c r="H39" s="2">
        <f t="shared" si="5"/>
        <v>0.62</v>
      </c>
      <c r="I39" s="28">
        <f t="shared" si="6"/>
        <v>1.20183422635254E-5</v>
      </c>
      <c r="J39" s="19">
        <f t="shared" si="7"/>
        <v>0.55662432702593545</v>
      </c>
      <c r="K39" s="24">
        <f t="shared" si="8"/>
        <v>106871870.7889796</v>
      </c>
      <c r="L39" s="29">
        <f t="shared" si="9"/>
        <v>796.34208732083584</v>
      </c>
      <c r="M39" s="29">
        <f t="shared" si="10"/>
        <v>844.99050306476818</v>
      </c>
    </row>
    <row r="40" spans="1:13" x14ac:dyDescent="0.3">
      <c r="B40" s="2">
        <v>180</v>
      </c>
      <c r="C40" s="2">
        <f t="shared" si="0"/>
        <v>0.6</v>
      </c>
      <c r="D40" s="28">
        <f t="shared" si="1"/>
        <v>1.4444276525392422E-5</v>
      </c>
      <c r="E40" s="19">
        <f t="shared" si="2"/>
        <v>0</v>
      </c>
      <c r="F40" s="24">
        <f t="shared" si="3"/>
        <v>0</v>
      </c>
      <c r="G40" s="29">
        <f t="shared" si="4"/>
        <v>0</v>
      </c>
      <c r="H40" s="2">
        <f t="shared" si="5"/>
        <v>0.62</v>
      </c>
      <c r="I40" s="28">
        <f t="shared" si="6"/>
        <v>1.20183422635254E-5</v>
      </c>
      <c r="J40" s="19">
        <f t="shared" si="7"/>
        <v>0.46039928216099779</v>
      </c>
      <c r="K40" s="24">
        <f t="shared" si="8"/>
        <v>88396662.174911574</v>
      </c>
      <c r="L40" s="29">
        <f t="shared" si="9"/>
        <v>658.67643140221639</v>
      </c>
      <c r="M40" s="29">
        <f t="shared" si="10"/>
        <v>658.67643140221639</v>
      </c>
    </row>
    <row r="41" spans="1:13" x14ac:dyDescent="0.3">
      <c r="B41" s="2">
        <v>190</v>
      </c>
      <c r="C41" s="2">
        <f t="shared" si="0"/>
        <v>0.6</v>
      </c>
      <c r="D41" s="28">
        <f t="shared" si="1"/>
        <v>1.4444276525392422E-5</v>
      </c>
      <c r="E41" s="19">
        <f t="shared" si="2"/>
        <v>0</v>
      </c>
      <c r="F41" s="24">
        <f t="shared" si="3"/>
        <v>0</v>
      </c>
      <c r="G41" s="29">
        <f t="shared" si="4"/>
        <v>0</v>
      </c>
      <c r="H41" s="2">
        <f t="shared" si="5"/>
        <v>0.62</v>
      </c>
      <c r="I41" s="28">
        <f t="shared" si="6"/>
        <v>1.20183422635254E-5</v>
      </c>
      <c r="J41" s="19">
        <f t="shared" si="7"/>
        <v>0.36417423729606013</v>
      </c>
      <c r="K41" s="24">
        <f t="shared" si="8"/>
        <v>69921453.560843542</v>
      </c>
      <c r="L41" s="29">
        <f t="shared" si="9"/>
        <v>521.01077548359706</v>
      </c>
      <c r="M41" s="29">
        <f t="shared" si="10"/>
        <v>521.01077548359706</v>
      </c>
    </row>
    <row r="42" spans="1:13" x14ac:dyDescent="0.3">
      <c r="B42" s="2">
        <v>200</v>
      </c>
      <c r="C42" s="2">
        <f t="shared" si="0"/>
        <v>0.6</v>
      </c>
      <c r="D42" s="28">
        <f t="shared" si="1"/>
        <v>1.4444276525392422E-5</v>
      </c>
      <c r="E42" s="19">
        <f t="shared" si="2"/>
        <v>0</v>
      </c>
      <c r="F42" s="24">
        <f t="shared" si="3"/>
        <v>0</v>
      </c>
      <c r="G42" s="29">
        <f t="shared" si="4"/>
        <v>0</v>
      </c>
      <c r="H42" s="2">
        <f t="shared" si="5"/>
        <v>0.62</v>
      </c>
      <c r="I42" s="28">
        <f t="shared" si="6"/>
        <v>1.20183422635254E-5</v>
      </c>
      <c r="J42" s="19">
        <f t="shared" si="7"/>
        <v>0.26794919243112247</v>
      </c>
      <c r="K42" s="24">
        <f t="shared" si="8"/>
        <v>51446244.946775518</v>
      </c>
      <c r="L42" s="29">
        <f t="shared" si="9"/>
        <v>383.34511956497767</v>
      </c>
      <c r="M42" s="29">
        <f t="shared" si="10"/>
        <v>383.34511956497767</v>
      </c>
    </row>
    <row r="43" spans="1:13" x14ac:dyDescent="0.3">
      <c r="B43" s="2">
        <v>210</v>
      </c>
      <c r="C43" s="2">
        <f t="shared" si="0"/>
        <v>0.6</v>
      </c>
      <c r="D43" s="28">
        <f t="shared" si="1"/>
        <v>1.4444276525392422E-5</v>
      </c>
      <c r="E43" s="19">
        <f t="shared" si="2"/>
        <v>0</v>
      </c>
      <c r="F43" s="24">
        <f t="shared" si="3"/>
        <v>0</v>
      </c>
      <c r="G43" s="29">
        <f t="shared" si="4"/>
        <v>0</v>
      </c>
      <c r="H43" s="2">
        <f t="shared" si="5"/>
        <v>0.62</v>
      </c>
      <c r="I43" s="28">
        <f t="shared" si="6"/>
        <v>1.20183422635254E-5</v>
      </c>
      <c r="J43" s="19">
        <f t="shared" si="7"/>
        <v>0.17172414756618493</v>
      </c>
      <c r="K43" s="24">
        <f t="shared" si="8"/>
        <v>32971036.332707506</v>
      </c>
      <c r="L43" s="29">
        <f t="shared" si="9"/>
        <v>245.67946364635827</v>
      </c>
      <c r="M43" s="29">
        <f t="shared" si="10"/>
        <v>245.67946364635827</v>
      </c>
    </row>
    <row r="44" spans="1:13" x14ac:dyDescent="0.3">
      <c r="B44" s="20">
        <v>220</v>
      </c>
      <c r="C44" s="20">
        <f t="shared" si="0"/>
        <v>0.6</v>
      </c>
      <c r="D44" s="28">
        <f t="shared" si="1"/>
        <v>1.4444276525392422E-5</v>
      </c>
      <c r="E44" s="19">
        <f t="shared" si="2"/>
        <v>0</v>
      </c>
      <c r="F44" s="24">
        <f t="shared" si="3"/>
        <v>0</v>
      </c>
      <c r="G44" s="29">
        <f t="shared" si="4"/>
        <v>0</v>
      </c>
      <c r="H44" s="20">
        <f t="shared" si="5"/>
        <v>0.62</v>
      </c>
      <c r="I44" s="28">
        <f t="shared" si="6"/>
        <v>1.20183422635254E-5</v>
      </c>
      <c r="J44" s="19">
        <f t="shared" si="7"/>
        <v>7.5499102701247267E-2</v>
      </c>
      <c r="K44" s="24">
        <f t="shared" si="8"/>
        <v>14495827.718639474</v>
      </c>
      <c r="L44" s="29">
        <f t="shared" si="9"/>
        <v>108.01380772773882</v>
      </c>
      <c r="M44" s="29">
        <f t="shared" si="10"/>
        <v>108.01380772773882</v>
      </c>
    </row>
    <row r="45" spans="1:13" x14ac:dyDescent="0.3">
      <c r="B45" s="20">
        <v>230</v>
      </c>
      <c r="C45" s="20">
        <f t="shared" si="0"/>
        <v>0.6</v>
      </c>
      <c r="D45" s="28">
        <f t="shared" si="1"/>
        <v>1.4444276525392422E-5</v>
      </c>
      <c r="E45" s="19">
        <f t="shared" si="2"/>
        <v>0</v>
      </c>
      <c r="F45" s="24">
        <f t="shared" si="3"/>
        <v>0</v>
      </c>
      <c r="G45" s="29">
        <f t="shared" si="4"/>
        <v>0</v>
      </c>
      <c r="H45" s="20">
        <f t="shared" si="5"/>
        <v>0.62</v>
      </c>
      <c r="I45" s="28">
        <f t="shared" si="6"/>
        <v>1.20183422635254E-5</v>
      </c>
      <c r="J45" s="19">
        <f t="shared" si="7"/>
        <v>0</v>
      </c>
      <c r="K45" s="24">
        <f t="shared" si="8"/>
        <v>0</v>
      </c>
      <c r="L45" s="29">
        <f t="shared" si="9"/>
        <v>0</v>
      </c>
      <c r="M45" s="29">
        <f t="shared" si="10"/>
        <v>0</v>
      </c>
    </row>
    <row r="46" spans="1:13" ht="15" thickBot="1" x14ac:dyDescent="0.35">
      <c r="A46" s="5"/>
      <c r="B46" s="5"/>
      <c r="C46" s="5"/>
      <c r="D46" s="5"/>
      <c r="E46" s="21"/>
      <c r="F46" s="5"/>
      <c r="G46" s="12"/>
      <c r="H46" s="5"/>
      <c r="I46" s="5"/>
      <c r="J46" s="21"/>
      <c r="K46" s="5"/>
      <c r="L46" s="12"/>
      <c r="M46" s="12"/>
    </row>
    <row r="47" spans="1:13" ht="15" thickBot="1" x14ac:dyDescent="0.35">
      <c r="A47" s="5"/>
      <c r="B47" s="15" t="s">
        <v>42</v>
      </c>
      <c r="C47" s="30">
        <f>+M32</f>
        <v>1964.7736232845643</v>
      </c>
      <c r="D47" s="5"/>
      <c r="E47" s="21"/>
      <c r="F47" s="5"/>
      <c r="G47" s="12"/>
      <c r="H47" s="5"/>
      <c r="I47" s="5"/>
      <c r="J47" s="21"/>
      <c r="K47" s="5"/>
      <c r="L47" s="12"/>
      <c r="M47" s="12"/>
    </row>
    <row r="48" spans="1:13" ht="15" thickBot="1" x14ac:dyDescent="0.35">
      <c r="A48" s="5"/>
      <c r="B48" s="5"/>
      <c r="C48" s="5"/>
      <c r="D48" s="5"/>
      <c r="E48" s="21"/>
      <c r="F48" s="5"/>
      <c r="G48" s="12"/>
      <c r="H48" s="5"/>
      <c r="I48" s="5"/>
      <c r="J48" s="21"/>
      <c r="K48" s="5"/>
      <c r="L48" s="12"/>
      <c r="M48" s="12"/>
    </row>
    <row r="49" spans="1:13" ht="15" thickBot="1" x14ac:dyDescent="0.35">
      <c r="A49" s="5"/>
      <c r="B49" s="52" t="s">
        <v>41</v>
      </c>
      <c r="C49" s="53"/>
      <c r="D49" s="53"/>
      <c r="E49" s="53"/>
      <c r="F49" s="53"/>
      <c r="G49" s="53"/>
      <c r="H49" s="53"/>
      <c r="I49" s="53"/>
      <c r="J49" s="53"/>
      <c r="K49" s="53"/>
      <c r="L49" s="54"/>
      <c r="M49" s="12"/>
    </row>
    <row r="50" spans="1:13" x14ac:dyDescent="0.3">
      <c r="A50" s="5"/>
      <c r="B50" s="5"/>
      <c r="C50" s="5"/>
      <c r="D50" s="5"/>
      <c r="E50" s="21"/>
      <c r="F50" s="5"/>
      <c r="G50" s="12"/>
      <c r="H50" s="5"/>
      <c r="I50" s="5"/>
      <c r="J50" s="21"/>
      <c r="K50" s="5"/>
      <c r="L50" s="12"/>
      <c r="M50" s="12"/>
    </row>
    <row r="51" spans="1:13" x14ac:dyDescent="0.3">
      <c r="A51" s="5"/>
      <c r="B51" s="5"/>
      <c r="C51" s="5"/>
      <c r="D51" s="5"/>
      <c r="E51" s="21"/>
      <c r="F51" s="5"/>
      <c r="G51" s="12"/>
      <c r="H51" s="5"/>
      <c r="I51" s="5"/>
      <c r="J51" s="21"/>
      <c r="K51" s="5"/>
      <c r="L51" s="12"/>
      <c r="M51" s="12"/>
    </row>
    <row r="52" spans="1:13" x14ac:dyDescent="0.3">
      <c r="A52" s="5"/>
      <c r="B52" s="5"/>
      <c r="C52" s="5"/>
      <c r="D52" s="5"/>
      <c r="E52" s="21"/>
      <c r="F52" s="5"/>
      <c r="G52" s="12"/>
      <c r="H52" s="5"/>
      <c r="I52" s="5"/>
      <c r="J52" s="21"/>
      <c r="K52" s="5"/>
      <c r="L52" s="12"/>
      <c r="M52" s="12"/>
    </row>
    <row r="53" spans="1:13" x14ac:dyDescent="0.3">
      <c r="A53" s="5"/>
      <c r="B53" s="5"/>
      <c r="C53" s="5"/>
      <c r="D53" s="5"/>
      <c r="E53" s="21"/>
      <c r="F53" s="5"/>
      <c r="G53" s="12"/>
      <c r="H53" s="5"/>
      <c r="I53" s="5"/>
      <c r="J53" s="21"/>
      <c r="K53" s="5"/>
      <c r="L53" s="12"/>
      <c r="M53" s="12"/>
    </row>
    <row r="54" spans="1:13" x14ac:dyDescent="0.3">
      <c r="A54" s="5"/>
      <c r="B54" s="5"/>
      <c r="C54" s="5"/>
      <c r="D54" s="5"/>
      <c r="E54" s="21"/>
      <c r="F54" s="5"/>
      <c r="G54" s="12"/>
      <c r="H54" s="5"/>
      <c r="I54" s="5"/>
      <c r="J54" s="21"/>
      <c r="K54" s="5"/>
      <c r="L54" s="12"/>
      <c r="M54" s="12"/>
    </row>
    <row r="55" spans="1:13" x14ac:dyDescent="0.3">
      <c r="A55" s="5"/>
      <c r="B55" s="5"/>
      <c r="C55" s="5"/>
      <c r="D55" s="5"/>
      <c r="E55" s="21"/>
      <c r="F55" s="5"/>
      <c r="G55" s="12"/>
      <c r="H55" s="5"/>
      <c r="I55" s="5"/>
      <c r="J55" s="21"/>
      <c r="K55" s="5"/>
      <c r="L55" s="12"/>
      <c r="M55" s="12"/>
    </row>
    <row r="56" spans="1:13" x14ac:dyDescent="0.3">
      <c r="A56" s="5"/>
      <c r="B56" s="5"/>
      <c r="C56" s="5"/>
      <c r="D56" s="5"/>
      <c r="E56" s="21"/>
      <c r="F56" s="5"/>
      <c r="G56" s="12"/>
      <c r="H56" s="5"/>
      <c r="I56" s="5"/>
      <c r="J56" s="21"/>
      <c r="K56" s="5"/>
      <c r="L56" s="12"/>
      <c r="M56" s="12"/>
    </row>
    <row r="57" spans="1:13" x14ac:dyDescent="0.3">
      <c r="A57" s="5"/>
      <c r="B57" s="5"/>
      <c r="C57" s="5"/>
      <c r="D57" s="5"/>
      <c r="E57" s="21"/>
      <c r="F57" s="5"/>
      <c r="G57" s="12"/>
      <c r="H57" s="5"/>
      <c r="I57" s="5"/>
      <c r="J57" s="21"/>
      <c r="K57" s="5"/>
      <c r="L57" s="12"/>
      <c r="M57" s="12"/>
    </row>
    <row r="58" spans="1:13" x14ac:dyDescent="0.3">
      <c r="A58" s="5"/>
      <c r="B58" s="5"/>
      <c r="C58" s="5"/>
      <c r="D58" s="5"/>
      <c r="E58" s="21"/>
      <c r="F58" s="5"/>
      <c r="G58" s="12"/>
      <c r="H58" s="5"/>
      <c r="I58" s="5"/>
      <c r="J58" s="21"/>
      <c r="K58" s="5"/>
      <c r="L58" s="12"/>
      <c r="M58" s="12"/>
    </row>
    <row r="59" spans="1:13" x14ac:dyDescent="0.3">
      <c r="A59" s="5"/>
      <c r="B59" s="5"/>
      <c r="C59" s="5"/>
      <c r="D59" s="5"/>
      <c r="E59" s="21"/>
      <c r="F59" s="5"/>
      <c r="G59" s="12"/>
      <c r="H59" s="5"/>
      <c r="I59" s="5"/>
      <c r="J59" s="21"/>
      <c r="K59" s="5"/>
      <c r="L59" s="12"/>
      <c r="M59" s="12"/>
    </row>
    <row r="60" spans="1:13" x14ac:dyDescent="0.3">
      <c r="A60" s="5"/>
      <c r="B60" s="5"/>
      <c r="C60" s="5"/>
      <c r="D60" s="5"/>
      <c r="E60" s="21"/>
      <c r="F60" s="5"/>
      <c r="G60" s="12"/>
      <c r="H60" s="5"/>
      <c r="I60" s="5"/>
      <c r="J60" s="21"/>
      <c r="K60" s="5"/>
      <c r="L60" s="12"/>
      <c r="M60" s="12"/>
    </row>
    <row r="61" spans="1:13" x14ac:dyDescent="0.3">
      <c r="A61" s="5"/>
      <c r="B61" s="5"/>
      <c r="C61" s="5"/>
      <c r="D61" s="5"/>
      <c r="E61" s="21"/>
      <c r="F61" s="5"/>
      <c r="G61" s="12"/>
      <c r="H61" s="5"/>
      <c r="I61" s="5"/>
      <c r="J61" s="21"/>
      <c r="K61" s="5"/>
      <c r="L61" s="12"/>
      <c r="M61" s="12"/>
    </row>
    <row r="62" spans="1:13" x14ac:dyDescent="0.3">
      <c r="A62" s="5"/>
      <c r="B62" s="5"/>
      <c r="C62" s="5"/>
      <c r="D62" s="5"/>
      <c r="E62" s="21"/>
      <c r="F62" s="5"/>
      <c r="G62" s="12"/>
      <c r="H62" s="5"/>
      <c r="I62" s="5"/>
      <c r="J62" s="21"/>
      <c r="K62" s="5"/>
      <c r="L62" s="12"/>
      <c r="M62" s="12"/>
    </row>
    <row r="63" spans="1:13" x14ac:dyDescent="0.3">
      <c r="A63" s="5"/>
      <c r="B63" s="5"/>
      <c r="C63" s="5"/>
      <c r="D63" s="5"/>
      <c r="E63" s="21"/>
      <c r="F63" s="5"/>
      <c r="G63" s="12"/>
      <c r="H63" s="5"/>
      <c r="I63" s="5"/>
      <c r="J63" s="21"/>
      <c r="K63" s="5"/>
      <c r="L63" s="12"/>
      <c r="M63" s="12"/>
    </row>
    <row r="64" spans="1:13" x14ac:dyDescent="0.3">
      <c r="A64" s="5"/>
      <c r="B64" s="5"/>
      <c r="C64" s="5"/>
      <c r="D64" s="5"/>
      <c r="E64" s="21"/>
      <c r="F64" s="5"/>
      <c r="G64" s="12"/>
      <c r="H64" s="5"/>
      <c r="I64" s="5"/>
      <c r="J64" s="21"/>
      <c r="K64" s="5"/>
      <c r="L64" s="12"/>
      <c r="M64" s="12"/>
    </row>
    <row r="65" spans="1:13" x14ac:dyDescent="0.3">
      <c r="A65" s="5"/>
      <c r="B65" s="5"/>
      <c r="C65" s="5"/>
      <c r="D65" s="5"/>
      <c r="E65" s="21"/>
      <c r="F65" s="5"/>
      <c r="G65" s="12"/>
      <c r="H65" s="5"/>
      <c r="I65" s="5"/>
      <c r="J65" s="21"/>
      <c r="K65" s="5"/>
      <c r="L65" s="12"/>
      <c r="M65" s="12"/>
    </row>
    <row r="66" spans="1:13" x14ac:dyDescent="0.3">
      <c r="A66" s="5"/>
      <c r="B66" s="5"/>
      <c r="C66" s="5"/>
      <c r="D66" s="5"/>
      <c r="E66" s="21"/>
      <c r="F66" s="5"/>
      <c r="G66" s="12"/>
      <c r="H66" s="5"/>
      <c r="I66" s="5"/>
      <c r="J66" s="21"/>
      <c r="K66" s="5"/>
      <c r="L66" s="12"/>
      <c r="M66" s="12"/>
    </row>
    <row r="67" spans="1:13" x14ac:dyDescent="0.3">
      <c r="A67" s="5"/>
      <c r="B67" s="5"/>
      <c r="C67" s="5"/>
      <c r="D67" s="5"/>
      <c r="E67" s="21"/>
      <c r="F67" s="5"/>
      <c r="G67" s="12"/>
      <c r="H67" s="5"/>
      <c r="I67" s="5"/>
      <c r="J67" s="21"/>
      <c r="K67" s="5"/>
      <c r="L67" s="12"/>
      <c r="M67" s="12"/>
    </row>
    <row r="68" spans="1:13" x14ac:dyDescent="0.3">
      <c r="A68" s="5"/>
      <c r="B68" s="5"/>
      <c r="C68" s="5"/>
      <c r="D68" s="5"/>
      <c r="E68" s="21"/>
      <c r="F68" s="5"/>
      <c r="G68" s="12"/>
      <c r="H68" s="5"/>
      <c r="I68" s="5"/>
      <c r="J68" s="21"/>
      <c r="K68" s="5"/>
      <c r="L68" s="12"/>
      <c r="M68" s="12"/>
    </row>
    <row r="69" spans="1:13" x14ac:dyDescent="0.3">
      <c r="A69" s="5"/>
      <c r="B69" s="5"/>
      <c r="C69" s="5"/>
      <c r="D69" s="5"/>
      <c r="E69" s="21"/>
      <c r="F69" s="5"/>
      <c r="G69" s="12"/>
      <c r="H69" s="5"/>
      <c r="I69" s="5"/>
      <c r="J69" s="21"/>
      <c r="K69" s="5"/>
      <c r="L69" s="12"/>
      <c r="M69" s="12"/>
    </row>
    <row r="70" spans="1:13" x14ac:dyDescent="0.3">
      <c r="A70" s="5"/>
      <c r="B70" s="5"/>
      <c r="C70" s="5"/>
      <c r="D70" s="5"/>
      <c r="E70" s="21"/>
      <c r="F70" s="5"/>
      <c r="G70" s="12"/>
      <c r="H70" s="5"/>
      <c r="I70" s="5"/>
      <c r="J70" s="21"/>
      <c r="K70" s="5"/>
      <c r="L70" s="12"/>
      <c r="M70" s="12"/>
    </row>
    <row r="71" spans="1:13" x14ac:dyDescent="0.3">
      <c r="A71" s="5"/>
      <c r="B71" s="5"/>
      <c r="C71" s="5"/>
      <c r="D71" s="5"/>
      <c r="E71" s="21"/>
      <c r="F71" s="5"/>
      <c r="G71" s="12"/>
      <c r="H71" s="5"/>
      <c r="I71" s="5"/>
      <c r="J71" s="21"/>
      <c r="K71" s="5"/>
      <c r="L71" s="12"/>
      <c r="M71" s="12"/>
    </row>
    <row r="72" spans="1:13" x14ac:dyDescent="0.3">
      <c r="A72" s="5"/>
      <c r="B72" s="5"/>
      <c r="C72" s="5"/>
      <c r="D72" s="5"/>
      <c r="E72" s="21"/>
      <c r="F72" s="5"/>
      <c r="G72" s="12"/>
      <c r="H72" s="5"/>
      <c r="I72" s="5"/>
      <c r="J72" s="21"/>
      <c r="K72" s="5"/>
      <c r="L72" s="12"/>
      <c r="M72" s="12"/>
    </row>
    <row r="73" spans="1:13" ht="15" thickBot="1" x14ac:dyDescent="0.35">
      <c r="A73" s="5"/>
      <c r="B73" s="5"/>
      <c r="C73" s="5"/>
      <c r="D73" s="5"/>
      <c r="E73" s="21"/>
      <c r="F73" s="5"/>
      <c r="G73" s="12"/>
      <c r="H73" s="5"/>
      <c r="I73" s="5"/>
      <c r="J73" s="21"/>
      <c r="K73" s="5"/>
      <c r="L73" s="12"/>
      <c r="M73" s="12"/>
    </row>
    <row r="74" spans="1:13" ht="15" thickBot="1" x14ac:dyDescent="0.35">
      <c r="B74" s="52" t="s">
        <v>43</v>
      </c>
      <c r="C74" s="53"/>
      <c r="D74" s="53"/>
      <c r="E74" s="53"/>
      <c r="F74" s="53"/>
      <c r="G74" s="53"/>
      <c r="H74" s="53"/>
      <c r="I74" s="53"/>
      <c r="J74" s="53"/>
      <c r="K74" s="53"/>
      <c r="L74" s="54"/>
      <c r="M74" s="17"/>
    </row>
    <row r="75" spans="1:13" x14ac:dyDescent="0.3">
      <c r="E75" s="16"/>
      <c r="G75" s="17"/>
      <c r="J75" s="16"/>
      <c r="L75" s="17"/>
      <c r="M75" s="17"/>
    </row>
    <row r="76" spans="1:13" x14ac:dyDescent="0.3">
      <c r="E76" s="16"/>
      <c r="G76" s="17"/>
      <c r="J76" s="16"/>
      <c r="L76" s="17"/>
      <c r="M76" s="17"/>
    </row>
    <row r="77" spans="1:13" x14ac:dyDescent="0.3">
      <c r="E77" s="16"/>
      <c r="G77" s="17"/>
      <c r="J77" s="16"/>
      <c r="L77" s="17"/>
      <c r="M77" s="17"/>
    </row>
    <row r="78" spans="1:13" x14ac:dyDescent="0.3">
      <c r="E78" s="16"/>
      <c r="G78" s="17"/>
      <c r="J78" s="16"/>
      <c r="L78" s="17"/>
      <c r="M78" s="17"/>
    </row>
    <row r="79" spans="1:13" x14ac:dyDescent="0.3">
      <c r="E79" s="16"/>
      <c r="G79" s="17"/>
      <c r="J79" s="16"/>
      <c r="L79" s="17"/>
      <c r="M79" s="17"/>
    </row>
    <row r="80" spans="1:13" x14ac:dyDescent="0.3">
      <c r="E80" s="16"/>
      <c r="G80" s="17"/>
      <c r="J80" s="16"/>
      <c r="L80" s="17"/>
      <c r="M80" s="17"/>
    </row>
    <row r="81" spans="5:13" x14ac:dyDescent="0.3">
      <c r="E81" s="16"/>
      <c r="G81" s="17"/>
      <c r="J81" s="16"/>
      <c r="L81" s="17"/>
      <c r="M81" s="17"/>
    </row>
  </sheetData>
  <mergeCells count="26">
    <mergeCell ref="B74:L74"/>
    <mergeCell ref="B49:L49"/>
    <mergeCell ref="C11:D11"/>
    <mergeCell ref="C10:D10"/>
    <mergeCell ref="C12:D12"/>
    <mergeCell ref="G10:H10"/>
    <mergeCell ref="G11:H11"/>
    <mergeCell ref="G12:H12"/>
    <mergeCell ref="B18:D18"/>
    <mergeCell ref="F18:H18"/>
    <mergeCell ref="C13:D13"/>
    <mergeCell ref="G13:H13"/>
    <mergeCell ref="C14:D14"/>
    <mergeCell ref="G14:H14"/>
    <mergeCell ref="B17:D17"/>
    <mergeCell ref="F17:H17"/>
    <mergeCell ref="F2:H2"/>
    <mergeCell ref="F3:H3"/>
    <mergeCell ref="G7:H7"/>
    <mergeCell ref="G8:H8"/>
    <mergeCell ref="G9:H9"/>
    <mergeCell ref="B2:D2"/>
    <mergeCell ref="B3:D3"/>
    <mergeCell ref="C7:D7"/>
    <mergeCell ref="C8:D8"/>
    <mergeCell ref="C9:D9"/>
  </mergeCells>
  <conditionalFormatting sqref="M22:M45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2024-04-08T22:28:09Z</dcterms:created>
  <dcterms:modified xsi:type="dcterms:W3CDTF">2024-04-10T03:53:21Z</dcterms:modified>
</cp:coreProperties>
</file>