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3040" windowHeight="9192" activeTab="5"/>
  </bookViews>
  <sheets>
    <sheet name="Uso de Suelo" sheetId="1" r:id="rId1"/>
    <sheet name="Carac. Geomorf." sheetId="2" r:id="rId2"/>
    <sheet name="T.C." sheetId="3" r:id="rId3"/>
    <sheet name="T.TRASNP." sheetId="4" r:id="rId4"/>
    <sheet name="Caudales" sheetId="5" r:id="rId5"/>
    <sheet name="Capacidad de los ríos" sheetId="6" r:id="rId6"/>
  </sheets>
  <definedNames>
    <definedName name="_xlnm.Print_Area" localSheetId="4">Caudales!$J$126:$X$196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6" l="1"/>
  <c r="B7" i="6" l="1"/>
  <c r="F9" i="6"/>
  <c r="Q223" i="5"/>
  <c r="Q224" i="5"/>
  <c r="Q225" i="5"/>
  <c r="Q226" i="5"/>
  <c r="Q227" i="5"/>
  <c r="Q228" i="5"/>
  <c r="Q229" i="5"/>
  <c r="Q230" i="5"/>
  <c r="Q231" i="5"/>
  <c r="Q232" i="5"/>
  <c r="Q233" i="5"/>
  <c r="Q234" i="5"/>
  <c r="Q235" i="5"/>
  <c r="Q236" i="5"/>
  <c r="Q237" i="5"/>
  <c r="Q238" i="5"/>
  <c r="Q239" i="5"/>
  <c r="Q240" i="5"/>
  <c r="Q241" i="5"/>
  <c r="Q242" i="5"/>
  <c r="Q243" i="5"/>
  <c r="Q244" i="5"/>
  <c r="Q245" i="5"/>
  <c r="Q246" i="5"/>
  <c r="Q247" i="5"/>
  <c r="Q248" i="5"/>
  <c r="Q249" i="5"/>
  <c r="Q250" i="5"/>
  <c r="Q251" i="5"/>
  <c r="Q252" i="5"/>
  <c r="Q253" i="5"/>
  <c r="Q254" i="5"/>
  <c r="Q255" i="5"/>
  <c r="Q256" i="5"/>
  <c r="Q257" i="5"/>
  <c r="Q258" i="5"/>
  <c r="Q259" i="5"/>
  <c r="Q260" i="5"/>
  <c r="Q261" i="5"/>
  <c r="Q262" i="5"/>
  <c r="Q263" i="5"/>
  <c r="Q264" i="5"/>
  <c r="Q265" i="5"/>
  <c r="Q266" i="5"/>
  <c r="Q267" i="5"/>
  <c r="Q268" i="5"/>
  <c r="Q269" i="5"/>
  <c r="Q270" i="5"/>
  <c r="Q271" i="5"/>
  <c r="Q272" i="5"/>
  <c r="Q273" i="5"/>
  <c r="Q274" i="5"/>
  <c r="Q275" i="5"/>
  <c r="Q276" i="5"/>
  <c r="Q277" i="5"/>
  <c r="Q278" i="5"/>
  <c r="Q279" i="5"/>
  <c r="Q280" i="5"/>
  <c r="Q281" i="5"/>
  <c r="Q282" i="5"/>
  <c r="Q283" i="5"/>
  <c r="Q284" i="5"/>
  <c r="Q285" i="5"/>
  <c r="Q286" i="5"/>
  <c r="Q287" i="5"/>
  <c r="Q288" i="5"/>
  <c r="Q289" i="5"/>
  <c r="Q290" i="5"/>
  <c r="Q291" i="5"/>
  <c r="Q292" i="5"/>
  <c r="Q293" i="5"/>
  <c r="Q294" i="5"/>
  <c r="Q295" i="5"/>
  <c r="Q296" i="5"/>
  <c r="Q297" i="5"/>
  <c r="Q298" i="5"/>
  <c r="Q222" i="5"/>
  <c r="P237" i="5"/>
  <c r="P234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51" i="5"/>
  <c r="P250" i="5"/>
  <c r="P249" i="5"/>
  <c r="K234" i="5"/>
  <c r="K238" i="5"/>
  <c r="I249" i="5"/>
  <c r="K219" i="5"/>
  <c r="K212" i="5"/>
  <c r="K220" i="5" s="1"/>
  <c r="K211" i="5"/>
  <c r="K223" i="5" s="1"/>
  <c r="K210" i="5"/>
  <c r="L209" i="5"/>
  <c r="K209" i="5"/>
  <c r="K208" i="5"/>
  <c r="L208" i="5"/>
  <c r="L207" i="5"/>
  <c r="K207" i="5"/>
  <c r="AE233" i="5"/>
  <c r="AS228" i="5"/>
  <c r="AS231" i="5" s="1"/>
  <c r="AS241" i="5" s="1"/>
  <c r="AS244" i="5" s="1"/>
  <c r="AS247" i="5" s="1"/>
  <c r="AS250" i="5" s="1"/>
  <c r="AS253" i="5" s="1"/>
  <c r="AS255" i="5" s="1"/>
  <c r="AS257" i="5" s="1"/>
  <c r="AS259" i="5" s="1"/>
  <c r="AS261" i="5" s="1"/>
  <c r="AS263" i="5" s="1"/>
  <c r="AS265" i="5" s="1"/>
  <c r="AS267" i="5" s="1"/>
  <c r="AS269" i="5" s="1"/>
  <c r="AS230" i="5"/>
  <c r="AS239" i="5" s="1"/>
  <c r="AS243" i="5" s="1"/>
  <c r="AS246" i="5" s="1"/>
  <c r="AS249" i="5" s="1"/>
  <c r="AS252" i="5" s="1"/>
  <c r="AS254" i="5" s="1"/>
  <c r="AS256" i="5" s="1"/>
  <c r="AS258" i="5" s="1"/>
  <c r="AS260" i="5" s="1"/>
  <c r="AS262" i="5" s="1"/>
  <c r="AS264" i="5" s="1"/>
  <c r="AS266" i="5" s="1"/>
  <c r="AS268" i="5" s="1"/>
  <c r="AS270" i="5" s="1"/>
  <c r="AS271" i="5" s="1"/>
  <c r="AS272" i="5" s="1"/>
  <c r="AS273" i="5" s="1"/>
  <c r="AS274" i="5" s="1"/>
  <c r="AS275" i="5" s="1"/>
  <c r="AS276" i="5" s="1"/>
  <c r="AS277" i="5" s="1"/>
  <c r="M234" i="5" l="1"/>
  <c r="N234" i="5" s="1"/>
  <c r="K237" i="5"/>
  <c r="K233" i="5"/>
  <c r="K236" i="5"/>
  <c r="K232" i="5"/>
  <c r="K239" i="5"/>
  <c r="K235" i="5"/>
  <c r="M237" i="5"/>
  <c r="N237" i="5" s="1"/>
  <c r="M228" i="5"/>
  <c r="N228" i="5" s="1"/>
  <c r="K230" i="5"/>
  <c r="M224" i="5"/>
  <c r="N224" i="5" s="1"/>
  <c r="K226" i="5"/>
  <c r="K229" i="5"/>
  <c r="K225" i="5"/>
  <c r="M222" i="5"/>
  <c r="N222" i="5" s="1"/>
  <c r="M231" i="5"/>
  <c r="N231" i="5" s="1"/>
  <c r="M227" i="5"/>
  <c r="N227" i="5" s="1"/>
  <c r="M223" i="5"/>
  <c r="N223" i="5" s="1"/>
  <c r="K228" i="5"/>
  <c r="K224" i="5"/>
  <c r="M230" i="5"/>
  <c r="N230" i="5" s="1"/>
  <c r="M226" i="5"/>
  <c r="N226" i="5" s="1"/>
  <c r="K222" i="5"/>
  <c r="K231" i="5"/>
  <c r="K227" i="5"/>
  <c r="M229" i="5"/>
  <c r="N229" i="5" s="1"/>
  <c r="M225" i="5"/>
  <c r="N225" i="5" s="1"/>
  <c r="AQ286" i="5"/>
  <c r="AR286" i="5" s="1"/>
  <c r="AP249" i="5"/>
  <c r="AP250" i="5"/>
  <c r="AQ216" i="5" l="1"/>
  <c r="W143" i="5"/>
  <c r="V143" i="5"/>
  <c r="V96" i="5"/>
  <c r="B47" i="4"/>
  <c r="B35" i="4"/>
  <c r="F4" i="6"/>
  <c r="F6" i="6" s="1"/>
  <c r="D9" i="6" s="1"/>
  <c r="B15" i="4"/>
  <c r="B25" i="4"/>
  <c r="B5" i="4"/>
  <c r="AK214" i="5" l="1"/>
  <c r="AF214" i="5"/>
  <c r="AE213" i="5"/>
  <c r="B55" i="5"/>
  <c r="P141" i="5"/>
  <c r="K141" i="5"/>
  <c r="J140" i="5"/>
  <c r="J93" i="5"/>
  <c r="J47" i="5"/>
  <c r="J16" i="5"/>
  <c r="K148" i="5" l="1"/>
  <c r="K152" i="5"/>
  <c r="K156" i="5"/>
  <c r="K160" i="5"/>
  <c r="K164" i="5"/>
  <c r="K168" i="5"/>
  <c r="K145" i="5"/>
  <c r="K149" i="5"/>
  <c r="K153" i="5"/>
  <c r="K157" i="5"/>
  <c r="K161" i="5"/>
  <c r="K165" i="5"/>
  <c r="K169" i="5"/>
  <c r="K147" i="5"/>
  <c r="K151" i="5"/>
  <c r="K155" i="5"/>
  <c r="K159" i="5"/>
  <c r="K163" i="5"/>
  <c r="K167" i="5"/>
  <c r="K146" i="5"/>
  <c r="K150" i="5"/>
  <c r="K154" i="5"/>
  <c r="K158" i="5"/>
  <c r="K162" i="5"/>
  <c r="K166" i="5"/>
  <c r="K170" i="5"/>
  <c r="K144" i="5"/>
  <c r="K133" i="5"/>
  <c r="P94" i="5"/>
  <c r="K94" i="5"/>
  <c r="P48" i="5"/>
  <c r="K48" i="5"/>
  <c r="F67" i="5"/>
  <c r="AL203" i="5" s="1"/>
  <c r="F66" i="5"/>
  <c r="AL202" i="5" s="1"/>
  <c r="B67" i="5"/>
  <c r="AF203" i="5" s="1"/>
  <c r="B66" i="5"/>
  <c r="AF202" i="5" s="1"/>
  <c r="F52" i="5"/>
  <c r="Q130" i="5" s="1"/>
  <c r="F51" i="5"/>
  <c r="Q129" i="5" s="1"/>
  <c r="B52" i="5"/>
  <c r="K130" i="5" s="1"/>
  <c r="B51" i="5"/>
  <c r="K129" i="5" s="1"/>
  <c r="F36" i="5"/>
  <c r="Q83" i="5" s="1"/>
  <c r="F35" i="5"/>
  <c r="Q82" i="5" s="1"/>
  <c r="B36" i="5"/>
  <c r="K83" i="5" s="1"/>
  <c r="B35" i="5"/>
  <c r="K82" i="5" s="1"/>
  <c r="F20" i="5" l="1"/>
  <c r="Q36" i="5" s="1"/>
  <c r="F21" i="5"/>
  <c r="Q37" i="5" s="1"/>
  <c r="B21" i="5"/>
  <c r="K37" i="5" s="1"/>
  <c r="B20" i="5"/>
  <c r="K36" i="5" s="1"/>
  <c r="P17" i="5" l="1"/>
  <c r="K17" i="5"/>
  <c r="F6" i="5"/>
  <c r="Q6" i="5" s="1"/>
  <c r="F5" i="5"/>
  <c r="Q5" i="5" s="1"/>
  <c r="AL10" i="5"/>
  <c r="AK10" i="5"/>
  <c r="AJ10" i="5"/>
  <c r="AI12" i="5"/>
  <c r="AL12" i="5" s="1"/>
  <c r="AI11" i="5"/>
  <c r="AL11" i="5" s="1"/>
  <c r="K215" i="5" s="1"/>
  <c r="AG12" i="5"/>
  <c r="AG16" i="5" s="1"/>
  <c r="AG11" i="5"/>
  <c r="AG28" i="5" s="1"/>
  <c r="AG10" i="5"/>
  <c r="AG22" i="5" s="1"/>
  <c r="B6" i="5"/>
  <c r="K6" i="5" s="1"/>
  <c r="B5" i="5"/>
  <c r="K5" i="5" s="1"/>
  <c r="B59" i="5" l="1"/>
  <c r="K137" i="5" s="1"/>
  <c r="F74" i="5"/>
  <c r="AL210" i="5" s="1"/>
  <c r="F59" i="5"/>
  <c r="Q137" i="5" s="1"/>
  <c r="B74" i="5"/>
  <c r="AF210" i="5" s="1"/>
  <c r="F43" i="5"/>
  <c r="Q90" i="5" s="1"/>
  <c r="F28" i="5"/>
  <c r="Q44" i="5" s="1"/>
  <c r="B43" i="5"/>
  <c r="K90" i="5" s="1"/>
  <c r="B28" i="5"/>
  <c r="K44" i="5" s="1"/>
  <c r="B13" i="5"/>
  <c r="K13" i="5" s="1"/>
  <c r="F13" i="5"/>
  <c r="Q13" i="5" s="1"/>
  <c r="AJ11" i="5"/>
  <c r="K213" i="5" s="1"/>
  <c r="AK12" i="5"/>
  <c r="AJ12" i="5"/>
  <c r="AK11" i="5"/>
  <c r="K214" i="5" l="1"/>
  <c r="K216" i="5" s="1"/>
  <c r="K217" i="5" s="1"/>
  <c r="B58" i="5"/>
  <c r="F72" i="5"/>
  <c r="AL208" i="5" s="1"/>
  <c r="F57" i="5"/>
  <c r="Q135" i="5" s="1"/>
  <c r="B72" i="5"/>
  <c r="AF208" i="5" s="1"/>
  <c r="B57" i="5"/>
  <c r="K135" i="5" s="1"/>
  <c r="F41" i="5"/>
  <c r="Q88" i="5" s="1"/>
  <c r="F26" i="5"/>
  <c r="Q42" i="5" s="1"/>
  <c r="B41" i="5"/>
  <c r="K88" i="5" s="1"/>
  <c r="B26" i="5"/>
  <c r="K42" i="5" s="1"/>
  <c r="B73" i="5"/>
  <c r="AF209" i="5" s="1"/>
  <c r="F58" i="5"/>
  <c r="Q136" i="5" s="1"/>
  <c r="F73" i="5"/>
  <c r="AL209" i="5" s="1"/>
  <c r="F42" i="5"/>
  <c r="Q89" i="5" s="1"/>
  <c r="F27" i="5"/>
  <c r="Q43" i="5" s="1"/>
  <c r="B42" i="5"/>
  <c r="K89" i="5" s="1"/>
  <c r="B27" i="5"/>
  <c r="K43" i="5" s="1"/>
  <c r="B11" i="5"/>
  <c r="K11" i="5" s="1"/>
  <c r="F11" i="5"/>
  <c r="Q11" i="5" s="1"/>
  <c r="B12" i="5"/>
  <c r="K12" i="5" s="1"/>
  <c r="F12" i="5"/>
  <c r="Q12" i="5" s="1"/>
  <c r="E295" i="3"/>
  <c r="F292" i="3"/>
  <c r="F291" i="3"/>
  <c r="A295" i="3"/>
  <c r="B292" i="3"/>
  <c r="B291" i="3"/>
  <c r="E239" i="3"/>
  <c r="F236" i="3"/>
  <c r="F235" i="3"/>
  <c r="A239" i="3"/>
  <c r="B236" i="3"/>
  <c r="B235" i="3"/>
  <c r="E183" i="3"/>
  <c r="F180" i="3"/>
  <c r="F179" i="3"/>
  <c r="A183" i="3"/>
  <c r="B180" i="3"/>
  <c r="B179" i="3"/>
  <c r="L235" i="5" l="1"/>
  <c r="L239" i="5"/>
  <c r="L232" i="5"/>
  <c r="L236" i="5"/>
  <c r="L234" i="5"/>
  <c r="O234" i="5" s="1"/>
  <c r="L238" i="5"/>
  <c r="L233" i="5"/>
  <c r="L237" i="5"/>
  <c r="O237" i="5" s="1"/>
  <c r="L224" i="5"/>
  <c r="O224" i="5" s="1"/>
  <c r="L228" i="5"/>
  <c r="O228" i="5" s="1"/>
  <c r="L225" i="5"/>
  <c r="O225" i="5" s="1"/>
  <c r="L229" i="5"/>
  <c r="O229" i="5" s="1"/>
  <c r="L223" i="5"/>
  <c r="O223" i="5" s="1"/>
  <c r="L227" i="5"/>
  <c r="O227" i="5" s="1"/>
  <c r="L231" i="5"/>
  <c r="O231" i="5" s="1"/>
  <c r="L222" i="5"/>
  <c r="O222" i="5" s="1"/>
  <c r="L226" i="5"/>
  <c r="O226" i="5" s="1"/>
  <c r="L230" i="5"/>
  <c r="O230" i="5" s="1"/>
  <c r="B120" i="3"/>
  <c r="B119" i="3"/>
  <c r="E123" i="3"/>
  <c r="F120" i="3"/>
  <c r="F119" i="3"/>
  <c r="A123" i="3"/>
  <c r="E67" i="3"/>
  <c r="A67" i="3"/>
  <c r="F64" i="3"/>
  <c r="F63" i="3"/>
  <c r="B64" i="3"/>
  <c r="B63" i="3"/>
  <c r="E82" i="1"/>
  <c r="C110" i="2"/>
  <c r="E106" i="2"/>
  <c r="E105" i="2"/>
  <c r="E109" i="2" l="1"/>
  <c r="G5" i="5"/>
  <c r="R5" i="5" s="1"/>
  <c r="G291" i="3"/>
  <c r="G6" i="5"/>
  <c r="R6" i="5" s="1"/>
  <c r="G292" i="3"/>
  <c r="F8" i="5"/>
  <c r="Q8" i="5" s="1"/>
  <c r="F294" i="3"/>
  <c r="D83" i="1"/>
  <c r="F9" i="5" s="1"/>
  <c r="C109" i="2"/>
  <c r="C101" i="2"/>
  <c r="E97" i="2"/>
  <c r="E96" i="2"/>
  <c r="G68" i="1"/>
  <c r="F69" i="1" s="1"/>
  <c r="B295" i="3" s="1"/>
  <c r="B9" i="5" s="1"/>
  <c r="K9" i="5" s="1"/>
  <c r="P20" i="5" l="1"/>
  <c r="Q9" i="5"/>
  <c r="P24" i="5"/>
  <c r="P28" i="5"/>
  <c r="P27" i="5"/>
  <c r="P21" i="5"/>
  <c r="P25" i="5"/>
  <c r="P29" i="5"/>
  <c r="P22" i="5"/>
  <c r="P26" i="5"/>
  <c r="P23" i="5"/>
  <c r="C6" i="5"/>
  <c r="L6" i="5" s="1"/>
  <c r="C292" i="3"/>
  <c r="B8" i="5"/>
  <c r="K8" i="5" s="1"/>
  <c r="B294" i="3"/>
  <c r="E100" i="2"/>
  <c r="C5" i="5"/>
  <c r="L5" i="5" s="1"/>
  <c r="C291" i="3"/>
  <c r="F7" i="5"/>
  <c r="Q7" i="5" s="1"/>
  <c r="F293" i="3"/>
  <c r="G7" i="5"/>
  <c r="R7" i="5" s="1"/>
  <c r="G293" i="3"/>
  <c r="F295" i="3"/>
  <c r="K20" i="5"/>
  <c r="K21" i="5"/>
  <c r="K25" i="5"/>
  <c r="K29" i="5"/>
  <c r="K28" i="5"/>
  <c r="K22" i="5"/>
  <c r="K26" i="5"/>
  <c r="K23" i="5"/>
  <c r="K27" i="5"/>
  <c r="K24" i="5"/>
  <c r="C100" i="2"/>
  <c r="F324" i="3"/>
  <c r="F325" i="3"/>
  <c r="G327" i="3" s="1"/>
  <c r="B314" i="3"/>
  <c r="B342" i="3"/>
  <c r="A336" i="3"/>
  <c r="A342" i="3" s="1"/>
  <c r="A335" i="3"/>
  <c r="A341" i="3" s="1"/>
  <c r="E334" i="3"/>
  <c r="D334" i="3"/>
  <c r="C334" i="3"/>
  <c r="B334" i="3"/>
  <c r="B325" i="3"/>
  <c r="F269" i="3"/>
  <c r="F270" i="3"/>
  <c r="G272" i="3" s="1"/>
  <c r="B259" i="3"/>
  <c r="B270" i="3"/>
  <c r="B285" i="3"/>
  <c r="A281" i="3"/>
  <c r="A285" i="3" s="1"/>
  <c r="A280" i="3"/>
  <c r="A284" i="3" s="1"/>
  <c r="E279" i="3"/>
  <c r="D279" i="3"/>
  <c r="C279" i="3"/>
  <c r="B279" i="3"/>
  <c r="B229" i="3"/>
  <c r="A225" i="3"/>
  <c r="A229" i="3" s="1"/>
  <c r="A224" i="3"/>
  <c r="A228" i="3" s="1"/>
  <c r="E223" i="3"/>
  <c r="D223" i="3"/>
  <c r="C223" i="3"/>
  <c r="B223" i="3"/>
  <c r="F213" i="3"/>
  <c r="B203" i="3"/>
  <c r="F204" i="3"/>
  <c r="B214" i="3"/>
  <c r="B173" i="3"/>
  <c r="A167" i="3"/>
  <c r="A173" i="3" s="1"/>
  <c r="A166" i="3"/>
  <c r="A172" i="3" s="1"/>
  <c r="E165" i="3"/>
  <c r="D165" i="3"/>
  <c r="C165" i="3"/>
  <c r="B165" i="3"/>
  <c r="F155" i="3"/>
  <c r="B145" i="3"/>
  <c r="F146" i="3"/>
  <c r="B156" i="3"/>
  <c r="B113" i="3"/>
  <c r="A108" i="3"/>
  <c r="A112" i="3" s="1"/>
  <c r="A109" i="3"/>
  <c r="A113" i="3" s="1"/>
  <c r="F87" i="3"/>
  <c r="F98" i="3"/>
  <c r="B97" i="3"/>
  <c r="B88" i="3"/>
  <c r="E107" i="3"/>
  <c r="D107" i="3"/>
  <c r="C107" i="3"/>
  <c r="B107" i="3"/>
  <c r="B7" i="5" l="1"/>
  <c r="K7" i="5" s="1"/>
  <c r="B293" i="3"/>
  <c r="C7" i="5"/>
  <c r="L7" i="5" s="1"/>
  <c r="C293" i="3"/>
  <c r="F314" i="3"/>
  <c r="F303" i="3"/>
  <c r="F315" i="3"/>
  <c r="F316" i="3" s="1"/>
  <c r="E321" i="3" s="1"/>
  <c r="F248" i="3"/>
  <c r="F259" i="3"/>
  <c r="F214" i="3"/>
  <c r="G216" i="3" s="1"/>
  <c r="F260" i="3"/>
  <c r="F261" i="3" s="1"/>
  <c r="E266" i="3" s="1"/>
  <c r="F156" i="3"/>
  <c r="G158" i="3" s="1"/>
  <c r="A327" i="3"/>
  <c r="C327" i="3"/>
  <c r="B304" i="3"/>
  <c r="B315" i="3"/>
  <c r="B316" i="3" s="1"/>
  <c r="B324" i="3"/>
  <c r="E327" i="3"/>
  <c r="F304" i="3"/>
  <c r="F305" i="3" s="1"/>
  <c r="B303" i="3"/>
  <c r="A272" i="3"/>
  <c r="C272" i="3"/>
  <c r="B249" i="3"/>
  <c r="B260" i="3"/>
  <c r="B261" i="3" s="1"/>
  <c r="B269" i="3"/>
  <c r="E272" i="3"/>
  <c r="F249" i="3"/>
  <c r="B248" i="3"/>
  <c r="F145" i="3"/>
  <c r="F147" i="3" s="1"/>
  <c r="E152" i="3" s="1"/>
  <c r="F134" i="3"/>
  <c r="B146" i="3"/>
  <c r="B147" i="3" s="1"/>
  <c r="F192" i="3"/>
  <c r="B135" i="3"/>
  <c r="B155" i="3"/>
  <c r="F203" i="3"/>
  <c r="F205" i="3" s="1"/>
  <c r="A216" i="3"/>
  <c r="C216" i="3"/>
  <c r="B193" i="3"/>
  <c r="B204" i="3"/>
  <c r="B205" i="3" s="1"/>
  <c r="B213" i="3"/>
  <c r="F193" i="3"/>
  <c r="B192" i="3"/>
  <c r="A158" i="3"/>
  <c r="C158" i="3"/>
  <c r="F135" i="3"/>
  <c r="B134" i="3"/>
  <c r="B76" i="3"/>
  <c r="F88" i="3"/>
  <c r="F89" i="3" s="1"/>
  <c r="F97" i="3"/>
  <c r="F77" i="3"/>
  <c r="B87" i="3"/>
  <c r="B89" i="3" s="1"/>
  <c r="A94" i="3" s="1"/>
  <c r="E100" i="3"/>
  <c r="G100" i="3"/>
  <c r="F76" i="3"/>
  <c r="B98" i="3"/>
  <c r="B77" i="3"/>
  <c r="D54" i="3"/>
  <c r="C54" i="3"/>
  <c r="B54" i="3"/>
  <c r="A54" i="3"/>
  <c r="F318" i="3" l="1"/>
  <c r="E216" i="3"/>
  <c r="F263" i="3"/>
  <c r="F250" i="3"/>
  <c r="F252" i="3" s="1"/>
  <c r="B78" i="3"/>
  <c r="A83" i="3" s="1"/>
  <c r="E158" i="3"/>
  <c r="B136" i="3"/>
  <c r="A141" i="3" s="1"/>
  <c r="F307" i="3"/>
  <c r="E310" i="3"/>
  <c r="A321" i="3"/>
  <c r="B318" i="3"/>
  <c r="B305" i="3"/>
  <c r="B250" i="3"/>
  <c r="A266" i="3"/>
  <c r="B263" i="3"/>
  <c r="E210" i="3"/>
  <c r="F207" i="3"/>
  <c r="F149" i="3"/>
  <c r="F78" i="3"/>
  <c r="E83" i="3" s="1"/>
  <c r="F136" i="3"/>
  <c r="E141" i="3" s="1"/>
  <c r="F194" i="3"/>
  <c r="E199" i="3" s="1"/>
  <c r="A210" i="3"/>
  <c r="B207" i="3"/>
  <c r="B194" i="3"/>
  <c r="A152" i="3"/>
  <c r="B149" i="3"/>
  <c r="B91" i="3"/>
  <c r="E94" i="3"/>
  <c r="F91" i="3"/>
  <c r="A100" i="3"/>
  <c r="C100" i="3"/>
  <c r="B80" i="3" l="1"/>
  <c r="E255" i="3"/>
  <c r="B138" i="3"/>
  <c r="F196" i="3"/>
  <c r="F138" i="3"/>
  <c r="A310" i="3"/>
  <c r="B307" i="3"/>
  <c r="A255" i="3"/>
  <c r="B252" i="3"/>
  <c r="F80" i="3"/>
  <c r="A199" i="3"/>
  <c r="B196" i="3"/>
  <c r="B6" i="3" l="1"/>
  <c r="B44" i="3" s="1"/>
  <c r="B5" i="3"/>
  <c r="B45" i="3" l="1"/>
  <c r="A47" i="3" s="1"/>
  <c r="B19" i="3"/>
  <c r="B18" i="3"/>
  <c r="B29" i="3"/>
  <c r="B30" i="3"/>
  <c r="C92" i="2"/>
  <c r="E88" i="2"/>
  <c r="E87" i="2"/>
  <c r="C77" i="2"/>
  <c r="E73" i="2"/>
  <c r="E72" i="2"/>
  <c r="C68" i="2"/>
  <c r="E64" i="2"/>
  <c r="E63" i="2"/>
  <c r="C59" i="2"/>
  <c r="E55" i="2"/>
  <c r="E54" i="2"/>
  <c r="C50" i="2"/>
  <c r="E46" i="2"/>
  <c r="E45" i="2"/>
  <c r="C35" i="2"/>
  <c r="E31" i="2"/>
  <c r="E30" i="2"/>
  <c r="C26" i="2"/>
  <c r="E22" i="2"/>
  <c r="E21" i="2"/>
  <c r="G66" i="5" s="1"/>
  <c r="AM202" i="5" s="1"/>
  <c r="C17" i="2"/>
  <c r="B66" i="3" s="1"/>
  <c r="B99" i="3" s="1"/>
  <c r="B101" i="3" s="1"/>
  <c r="E13" i="2"/>
  <c r="E12" i="2"/>
  <c r="C66" i="5" s="1"/>
  <c r="AG202" i="5" s="1"/>
  <c r="C8" i="2"/>
  <c r="B8" i="3" s="1"/>
  <c r="B46" i="3" s="1"/>
  <c r="E4" i="2"/>
  <c r="C6" i="3" s="1"/>
  <c r="E3" i="2"/>
  <c r="C68" i="1"/>
  <c r="B69" i="1" s="1"/>
  <c r="G54" i="1"/>
  <c r="F55" i="1" s="1"/>
  <c r="C54" i="1"/>
  <c r="B55" i="1" s="1"/>
  <c r="G40" i="1"/>
  <c r="F41" i="1" s="1"/>
  <c r="C40" i="1"/>
  <c r="B41" i="1" s="1"/>
  <c r="G26" i="1"/>
  <c r="F27" i="1" s="1"/>
  <c r="C26" i="1"/>
  <c r="B27" i="1" s="1"/>
  <c r="G12" i="1"/>
  <c r="F13" i="1" s="1"/>
  <c r="C12" i="1"/>
  <c r="B13" i="1" s="1"/>
  <c r="B9" i="3" s="1"/>
  <c r="B48" i="3" l="1"/>
  <c r="C64" i="3"/>
  <c r="C67" i="5"/>
  <c r="AG203" i="5" s="1"/>
  <c r="F38" i="5"/>
  <c r="Q85" i="5" s="1"/>
  <c r="F182" i="3"/>
  <c r="F215" i="3" s="1"/>
  <c r="F217" i="3" s="1"/>
  <c r="B102" i="3"/>
  <c r="E108" i="3" s="1"/>
  <c r="A103" i="3"/>
  <c r="C51" i="5"/>
  <c r="L129" i="5" s="1"/>
  <c r="C119" i="3"/>
  <c r="B128" i="3" s="1"/>
  <c r="G120" i="3"/>
  <c r="G52" i="5"/>
  <c r="R130" i="5" s="1"/>
  <c r="B38" i="5"/>
  <c r="K85" i="5" s="1"/>
  <c r="B182" i="3"/>
  <c r="B215" i="3" s="1"/>
  <c r="B217" i="3" s="1"/>
  <c r="C20" i="5"/>
  <c r="L36" i="5" s="1"/>
  <c r="C235" i="3"/>
  <c r="B242" i="3" s="1"/>
  <c r="G21" i="5"/>
  <c r="R37" i="5" s="1"/>
  <c r="G236" i="3"/>
  <c r="C7" i="2"/>
  <c r="B7" i="3" s="1"/>
  <c r="C5" i="3"/>
  <c r="B12" i="3" s="1"/>
  <c r="E49" i="2"/>
  <c r="G51" i="5"/>
  <c r="R129" i="5" s="1"/>
  <c r="G119" i="3"/>
  <c r="F128" i="3" s="1"/>
  <c r="G20" i="5"/>
  <c r="R36" i="5" s="1"/>
  <c r="G235" i="3"/>
  <c r="F242" i="3" s="1"/>
  <c r="C52" i="5"/>
  <c r="L130" i="5" s="1"/>
  <c r="C120" i="3"/>
  <c r="F122" i="3"/>
  <c r="F157" i="3" s="1"/>
  <c r="F159" i="3" s="1"/>
  <c r="E161" i="3" s="1"/>
  <c r="F54" i="5"/>
  <c r="Q132" i="5" s="1"/>
  <c r="G35" i="5"/>
  <c r="R82" i="5" s="1"/>
  <c r="G179" i="3"/>
  <c r="F186" i="3" s="1"/>
  <c r="C21" i="5"/>
  <c r="L37" i="5" s="1"/>
  <c r="C236" i="3"/>
  <c r="F326" i="3"/>
  <c r="F328" i="3" s="1"/>
  <c r="E330" i="3" s="1"/>
  <c r="F23" i="5"/>
  <c r="Q39" i="5" s="1"/>
  <c r="F238" i="3"/>
  <c r="F271" i="3" s="1"/>
  <c r="F273" i="3" s="1"/>
  <c r="F66" i="3"/>
  <c r="F99" i="3" s="1"/>
  <c r="F101" i="3" s="1"/>
  <c r="E103" i="3" s="1"/>
  <c r="F69" i="5"/>
  <c r="AL205" i="5" s="1"/>
  <c r="C36" i="5"/>
  <c r="L83" i="5" s="1"/>
  <c r="C180" i="3"/>
  <c r="G64" i="3"/>
  <c r="G67" i="5"/>
  <c r="AM203" i="5" s="1"/>
  <c r="B122" i="3"/>
  <c r="B54" i="5"/>
  <c r="K132" i="5" s="1"/>
  <c r="C35" i="5"/>
  <c r="L82" i="5" s="1"/>
  <c r="C179" i="3"/>
  <c r="B186" i="3" s="1"/>
  <c r="G36" i="5"/>
  <c r="R83" i="5" s="1"/>
  <c r="G180" i="3"/>
  <c r="B326" i="3"/>
  <c r="B328" i="3" s="1"/>
  <c r="A330" i="3" s="1"/>
  <c r="B23" i="5"/>
  <c r="K39" i="5" s="1"/>
  <c r="B238" i="3"/>
  <c r="B271" i="3" s="1"/>
  <c r="B273" i="3" s="1"/>
  <c r="A275" i="3" s="1"/>
  <c r="C47" i="3"/>
  <c r="A50" i="3" s="1"/>
  <c r="B67" i="3"/>
  <c r="B70" i="5"/>
  <c r="AF206" i="5" s="1"/>
  <c r="B183" i="3"/>
  <c r="B39" i="5"/>
  <c r="K86" i="5" s="1"/>
  <c r="F67" i="3"/>
  <c r="F70" i="5"/>
  <c r="AL206" i="5" s="1"/>
  <c r="F39" i="5"/>
  <c r="Q86" i="5" s="1"/>
  <c r="F183" i="3"/>
  <c r="B123" i="3"/>
  <c r="K136" i="5"/>
  <c r="B239" i="3"/>
  <c r="B24" i="5"/>
  <c r="F123" i="3"/>
  <c r="F55" i="5"/>
  <c r="F24" i="5"/>
  <c r="Q40" i="5" s="1"/>
  <c r="F239" i="3"/>
  <c r="E16" i="2"/>
  <c r="C63" i="3"/>
  <c r="B70" i="3" s="1"/>
  <c r="F160" i="3"/>
  <c r="E167" i="3" s="1"/>
  <c r="E25" i="2"/>
  <c r="G63" i="3"/>
  <c r="F70" i="3" s="1"/>
  <c r="E91" i="2"/>
  <c r="F297" i="3"/>
  <c r="C76" i="2"/>
  <c r="B297" i="3"/>
  <c r="E67" i="2"/>
  <c r="E58" i="2"/>
  <c r="E34" i="2"/>
  <c r="B20" i="3"/>
  <c r="B22" i="3" s="1"/>
  <c r="B31" i="3"/>
  <c r="A36" i="3" s="1"/>
  <c r="B49" i="3"/>
  <c r="D55" i="3" s="1"/>
  <c r="E76" i="2"/>
  <c r="C49" i="2"/>
  <c r="E7" i="2"/>
  <c r="C7" i="3" s="1"/>
  <c r="B13" i="3" s="1"/>
  <c r="C91" i="2"/>
  <c r="C67" i="2"/>
  <c r="C58" i="2"/>
  <c r="C34" i="2"/>
  <c r="C25" i="2"/>
  <c r="C16" i="2"/>
  <c r="AF219" i="5" l="1"/>
  <c r="AF223" i="5"/>
  <c r="AF227" i="5"/>
  <c r="AF231" i="5"/>
  <c r="AF239" i="5"/>
  <c r="AF243" i="5"/>
  <c r="AF247" i="5"/>
  <c r="AF221" i="5"/>
  <c r="AF229" i="5"/>
  <c r="AF241" i="5"/>
  <c r="AF218" i="5"/>
  <c r="AF226" i="5"/>
  <c r="AF238" i="5"/>
  <c r="AF246" i="5"/>
  <c r="AF220" i="5"/>
  <c r="AF224" i="5"/>
  <c r="AF228" i="5"/>
  <c r="AF233" i="5"/>
  <c r="AF240" i="5"/>
  <c r="AF244" i="5"/>
  <c r="AF248" i="5"/>
  <c r="AF225" i="5"/>
  <c r="AF236" i="5"/>
  <c r="AF245" i="5"/>
  <c r="AF222" i="5"/>
  <c r="AF230" i="5"/>
  <c r="AF242" i="5"/>
  <c r="AK220" i="5"/>
  <c r="AK224" i="5"/>
  <c r="AK228" i="5"/>
  <c r="AK219" i="5"/>
  <c r="AK221" i="5"/>
  <c r="AK225" i="5"/>
  <c r="AK229" i="5"/>
  <c r="AK223" i="5"/>
  <c r="AK218" i="5"/>
  <c r="AK222" i="5"/>
  <c r="AK226" i="5"/>
  <c r="AK227" i="5"/>
  <c r="Q133" i="5"/>
  <c r="P153" i="5"/>
  <c r="P157" i="5"/>
  <c r="P161" i="5"/>
  <c r="P156" i="5"/>
  <c r="P154" i="5"/>
  <c r="P158" i="5"/>
  <c r="P162" i="5"/>
  <c r="P160" i="5"/>
  <c r="P151" i="5"/>
  <c r="P155" i="5"/>
  <c r="P159" i="5"/>
  <c r="P163" i="5"/>
  <c r="P152" i="5"/>
  <c r="P164" i="5"/>
  <c r="K51" i="5"/>
  <c r="K40" i="5"/>
  <c r="P108" i="5"/>
  <c r="P113" i="5"/>
  <c r="P116" i="5"/>
  <c r="P112" i="5"/>
  <c r="P114" i="5"/>
  <c r="P115" i="5"/>
  <c r="P110" i="5"/>
  <c r="P111" i="5"/>
  <c r="P117" i="5"/>
  <c r="P148" i="5"/>
  <c r="P144" i="5"/>
  <c r="P150" i="5"/>
  <c r="P145" i="5"/>
  <c r="P149" i="5"/>
  <c r="P146" i="5"/>
  <c r="P147" i="5"/>
  <c r="AK217" i="5"/>
  <c r="AF217" i="5"/>
  <c r="K101" i="5"/>
  <c r="K105" i="5"/>
  <c r="K98" i="5"/>
  <c r="K102" i="5"/>
  <c r="K106" i="5"/>
  <c r="K99" i="5"/>
  <c r="K103" i="5"/>
  <c r="K97" i="5"/>
  <c r="K100" i="5"/>
  <c r="K104" i="5"/>
  <c r="P54" i="5"/>
  <c r="P58" i="5"/>
  <c r="P61" i="5"/>
  <c r="P55" i="5"/>
  <c r="P59" i="5"/>
  <c r="P52" i="5"/>
  <c r="P56" i="5"/>
  <c r="P60" i="5"/>
  <c r="P53" i="5"/>
  <c r="P57" i="5"/>
  <c r="P51" i="5"/>
  <c r="P98" i="5"/>
  <c r="P102" i="5"/>
  <c r="P106" i="5"/>
  <c r="P101" i="5"/>
  <c r="P99" i="5"/>
  <c r="P103" i="5"/>
  <c r="P107" i="5"/>
  <c r="P100" i="5"/>
  <c r="P104" i="5"/>
  <c r="P109" i="5"/>
  <c r="P105" i="5"/>
  <c r="P97" i="5"/>
  <c r="F329" i="3"/>
  <c r="E336" i="3" s="1"/>
  <c r="B14" i="3"/>
  <c r="A55" i="3" s="1"/>
  <c r="B329" i="3"/>
  <c r="E335" i="3" s="1"/>
  <c r="E275" i="3"/>
  <c r="F274" i="3"/>
  <c r="E281" i="3" s="1"/>
  <c r="B65" i="3"/>
  <c r="B68" i="5"/>
  <c r="AF204" i="5" s="1"/>
  <c r="B69" i="5"/>
  <c r="AF205" i="5" s="1"/>
  <c r="C121" i="3"/>
  <c r="B129" i="3" s="1"/>
  <c r="B130" i="3" s="1"/>
  <c r="B166" i="3" s="1"/>
  <c r="C53" i="5"/>
  <c r="L131" i="5" s="1"/>
  <c r="F65" i="3"/>
  <c r="F86" i="3" s="1"/>
  <c r="F92" i="3" s="1"/>
  <c r="F93" i="3" s="1"/>
  <c r="D109" i="3" s="1"/>
  <c r="F68" i="5"/>
  <c r="AL204" i="5" s="1"/>
  <c r="F22" i="5"/>
  <c r="Q38" i="5" s="1"/>
  <c r="F237" i="3"/>
  <c r="G37" i="5"/>
  <c r="R84" i="5" s="1"/>
  <c r="G181" i="3"/>
  <c r="F187" i="3" s="1"/>
  <c r="F188" i="3" s="1"/>
  <c r="B225" i="3" s="1"/>
  <c r="B17" i="3"/>
  <c r="B23" i="3" s="1"/>
  <c r="B24" i="3" s="1"/>
  <c r="B55" i="3" s="1"/>
  <c r="C57" i="3" s="1"/>
  <c r="B28" i="3"/>
  <c r="F37" i="5"/>
  <c r="Q84" i="5" s="1"/>
  <c r="F181" i="3"/>
  <c r="C37" i="5"/>
  <c r="L84" i="5" s="1"/>
  <c r="C181" i="3"/>
  <c r="B187" i="3" s="1"/>
  <c r="B188" i="3" s="1"/>
  <c r="B224" i="3" s="1"/>
  <c r="G65" i="3"/>
  <c r="F71" i="3" s="1"/>
  <c r="F72" i="3" s="1"/>
  <c r="B109" i="3" s="1"/>
  <c r="G68" i="5"/>
  <c r="AM204" i="5" s="1"/>
  <c r="C65" i="3"/>
  <c r="B71" i="3" s="1"/>
  <c r="B72" i="3" s="1"/>
  <c r="B108" i="3" s="1"/>
  <c r="C68" i="5"/>
  <c r="AG204" i="5" s="1"/>
  <c r="B218" i="3"/>
  <c r="E224" i="3" s="1"/>
  <c r="A219" i="3"/>
  <c r="B298" i="3"/>
  <c r="B299" i="3" s="1"/>
  <c r="B335" i="3" s="1"/>
  <c r="C22" i="5"/>
  <c r="L38" i="5" s="1"/>
  <c r="C237" i="3"/>
  <c r="B243" i="3" s="1"/>
  <c r="B244" i="3" s="1"/>
  <c r="B280" i="3" s="1"/>
  <c r="B22" i="5"/>
  <c r="K38" i="5" s="1"/>
  <c r="B237" i="3"/>
  <c r="B247" i="3" s="1"/>
  <c r="B253" i="3" s="1"/>
  <c r="B254" i="3" s="1"/>
  <c r="C280" i="3" s="1"/>
  <c r="D284" i="3" s="1"/>
  <c r="B25" i="5" s="1"/>
  <c r="B121" i="3"/>
  <c r="B53" i="5"/>
  <c r="K131" i="5" s="1"/>
  <c r="B37" i="5"/>
  <c r="K84" i="5" s="1"/>
  <c r="B181" i="3"/>
  <c r="F121" i="3"/>
  <c r="F53" i="5"/>
  <c r="Q131" i="5" s="1"/>
  <c r="B274" i="3"/>
  <c r="E280" i="3" s="1"/>
  <c r="F298" i="3"/>
  <c r="F299" i="3" s="1"/>
  <c r="B336" i="3" s="1"/>
  <c r="G22" i="5"/>
  <c r="R38" i="5" s="1"/>
  <c r="G237" i="3"/>
  <c r="F243" i="3" s="1"/>
  <c r="F244" i="3" s="1"/>
  <c r="B281" i="3" s="1"/>
  <c r="G121" i="3"/>
  <c r="F129" i="3" s="1"/>
  <c r="F130" i="3" s="1"/>
  <c r="B167" i="3" s="1"/>
  <c r="G53" i="5"/>
  <c r="R131" i="5" s="1"/>
  <c r="E219" i="3"/>
  <c r="F218" i="3"/>
  <c r="E225" i="3" s="1"/>
  <c r="K52" i="5"/>
  <c r="K56" i="5"/>
  <c r="K60" i="5"/>
  <c r="K64" i="5"/>
  <c r="K68" i="5"/>
  <c r="K72" i="5"/>
  <c r="K55" i="5"/>
  <c r="K71" i="5"/>
  <c r="K53" i="5"/>
  <c r="K57" i="5"/>
  <c r="K61" i="5"/>
  <c r="K65" i="5"/>
  <c r="K69" i="5"/>
  <c r="K73" i="5"/>
  <c r="K63" i="5"/>
  <c r="K54" i="5"/>
  <c r="K58" i="5"/>
  <c r="K62" i="5"/>
  <c r="K66" i="5"/>
  <c r="K70" i="5"/>
  <c r="K74" i="5"/>
  <c r="K59" i="5"/>
  <c r="K67" i="5"/>
  <c r="A25" i="3"/>
  <c r="F102" i="3"/>
  <c r="E109" i="3" s="1"/>
  <c r="B144" i="3"/>
  <c r="B150" i="3" s="1"/>
  <c r="B151" i="3" s="1"/>
  <c r="D166" i="3" s="1"/>
  <c r="B133" i="3"/>
  <c r="B139" i="3" s="1"/>
  <c r="B140" i="3" s="1"/>
  <c r="C166" i="3" s="1"/>
  <c r="D172" i="3" s="1"/>
  <c r="B56" i="5" s="1"/>
  <c r="B75" i="3"/>
  <c r="B81" i="3" s="1"/>
  <c r="B82" i="3" s="1"/>
  <c r="C108" i="3" s="1"/>
  <c r="D112" i="3" s="1"/>
  <c r="B71" i="5" s="1"/>
  <c r="AF207" i="5" s="1"/>
  <c r="AF211" i="5" s="1"/>
  <c r="AF212" i="5" s="1"/>
  <c r="B86" i="3"/>
  <c r="B92" i="3" s="1"/>
  <c r="B93" i="3" s="1"/>
  <c r="D108" i="3" s="1"/>
  <c r="F144" i="3"/>
  <c r="F150" i="3" s="1"/>
  <c r="F151" i="3" s="1"/>
  <c r="D167" i="3" s="1"/>
  <c r="F133" i="3"/>
  <c r="F139" i="3" s="1"/>
  <c r="F140" i="3" s="1"/>
  <c r="C167" i="3" s="1"/>
  <c r="D173" i="3" s="1"/>
  <c r="F56" i="5" s="1"/>
  <c r="B157" i="3"/>
  <c r="B159" i="3" s="1"/>
  <c r="A161" i="3" s="1"/>
  <c r="B313" i="3"/>
  <c r="B319" i="3" s="1"/>
  <c r="B320" i="3" s="1"/>
  <c r="D335" i="3" s="1"/>
  <c r="B302" i="3"/>
  <c r="B308" i="3" s="1"/>
  <c r="B309" i="3" s="1"/>
  <c r="C335" i="3" s="1"/>
  <c r="D341" i="3" s="1"/>
  <c r="B10" i="5" s="1"/>
  <c r="K10" i="5" s="1"/>
  <c r="F258" i="3"/>
  <c r="F264" i="3" s="1"/>
  <c r="F265" i="3" s="1"/>
  <c r="D281" i="3" s="1"/>
  <c r="F247" i="3"/>
  <c r="F253" i="3" s="1"/>
  <c r="F254" i="3" s="1"/>
  <c r="C281" i="3" s="1"/>
  <c r="D285" i="3" s="1"/>
  <c r="F25" i="5" s="1"/>
  <c r="Q41" i="5" s="1"/>
  <c r="F75" i="3"/>
  <c r="F81" i="3" s="1"/>
  <c r="F82" i="3" s="1"/>
  <c r="C109" i="3" s="1"/>
  <c r="B33" i="3"/>
  <c r="B34" i="3" s="1"/>
  <c r="B35" i="3" s="1"/>
  <c r="C55" i="3" s="1"/>
  <c r="AH221" i="5" l="1"/>
  <c r="AI221" i="5" s="1"/>
  <c r="AH225" i="5"/>
  <c r="AI225" i="5" s="1"/>
  <c r="AH229" i="5"/>
  <c r="AI229" i="5" s="1"/>
  <c r="AH219" i="5"/>
  <c r="AI219" i="5" s="1"/>
  <c r="AH227" i="5"/>
  <c r="AI227" i="5" s="1"/>
  <c r="AH224" i="5"/>
  <c r="AI224" i="5" s="1"/>
  <c r="AH233" i="5"/>
  <c r="AI233" i="5" s="1"/>
  <c r="AH218" i="5"/>
  <c r="AI218" i="5" s="1"/>
  <c r="AH222" i="5"/>
  <c r="AI222" i="5" s="1"/>
  <c r="AH226" i="5"/>
  <c r="AI226" i="5" s="1"/>
  <c r="AH230" i="5"/>
  <c r="AI230" i="5" s="1"/>
  <c r="AH223" i="5"/>
  <c r="AI223" i="5" s="1"/>
  <c r="AH231" i="5"/>
  <c r="AI231" i="5" s="1"/>
  <c r="AH220" i="5"/>
  <c r="AI220" i="5" s="1"/>
  <c r="AH228" i="5"/>
  <c r="AI228" i="5" s="1"/>
  <c r="Q134" i="5"/>
  <c r="Q138" i="5" s="1"/>
  <c r="Q139" i="5" s="1"/>
  <c r="R152" i="5"/>
  <c r="S152" i="5" s="1"/>
  <c r="K134" i="5"/>
  <c r="K138" i="5" s="1"/>
  <c r="K139" i="5" s="1"/>
  <c r="M155" i="5"/>
  <c r="N155" i="5" s="1"/>
  <c r="M152" i="5"/>
  <c r="N152" i="5" s="1"/>
  <c r="K49" i="5"/>
  <c r="M73" i="5" s="1"/>
  <c r="N73" i="5" s="1"/>
  <c r="K41" i="5"/>
  <c r="B75" i="5"/>
  <c r="B76" i="5" s="1"/>
  <c r="AH217" i="5"/>
  <c r="AI217" i="5" s="1"/>
  <c r="AF215" i="5"/>
  <c r="AH241" i="5" s="1"/>
  <c r="AI241" i="5" s="1"/>
  <c r="B60" i="5"/>
  <c r="B61" i="5" s="1"/>
  <c r="M146" i="5"/>
  <c r="N146" i="5" s="1"/>
  <c r="M150" i="5"/>
  <c r="N150" i="5" s="1"/>
  <c r="M144" i="5"/>
  <c r="N144" i="5" s="1"/>
  <c r="M147" i="5"/>
  <c r="N147" i="5" s="1"/>
  <c r="M148" i="5"/>
  <c r="N148" i="5" s="1"/>
  <c r="K142" i="5"/>
  <c r="M158" i="5" s="1"/>
  <c r="N158" i="5" s="1"/>
  <c r="M145" i="5"/>
  <c r="N145" i="5" s="1"/>
  <c r="M149" i="5"/>
  <c r="N149" i="5" s="1"/>
  <c r="R54" i="5"/>
  <c r="S54" i="5" s="1"/>
  <c r="R56" i="5"/>
  <c r="S56" i="5" s="1"/>
  <c r="R52" i="5"/>
  <c r="S52" i="5" s="1"/>
  <c r="R57" i="5"/>
  <c r="S57" i="5" s="1"/>
  <c r="R53" i="5"/>
  <c r="S53" i="5" s="1"/>
  <c r="R51" i="5"/>
  <c r="S51" i="5" s="1"/>
  <c r="R55" i="5"/>
  <c r="S55" i="5" s="1"/>
  <c r="F60" i="5"/>
  <c r="F61" i="5" s="1"/>
  <c r="R148" i="5"/>
  <c r="S148" i="5" s="1"/>
  <c r="R144" i="5"/>
  <c r="S144" i="5" s="1"/>
  <c r="R150" i="5"/>
  <c r="S150" i="5" s="1"/>
  <c r="R145" i="5"/>
  <c r="S145" i="5" s="1"/>
  <c r="R149" i="5"/>
  <c r="S149" i="5" s="1"/>
  <c r="P142" i="5"/>
  <c r="R158" i="5" s="1"/>
  <c r="S158" i="5" s="1"/>
  <c r="R146" i="5"/>
  <c r="S146" i="5" s="1"/>
  <c r="R147" i="5"/>
  <c r="S147" i="5" s="1"/>
  <c r="P49" i="5"/>
  <c r="R61" i="5" s="1"/>
  <c r="S61" i="5" s="1"/>
  <c r="M52" i="5"/>
  <c r="N52" i="5" s="1"/>
  <c r="M56" i="5"/>
  <c r="N56" i="5" s="1"/>
  <c r="M60" i="5"/>
  <c r="N60" i="5" s="1"/>
  <c r="M64" i="5"/>
  <c r="N64" i="5" s="1"/>
  <c r="M72" i="5"/>
  <c r="N72" i="5" s="1"/>
  <c r="M53" i="5"/>
  <c r="N53" i="5" s="1"/>
  <c r="M57" i="5"/>
  <c r="N57" i="5" s="1"/>
  <c r="M61" i="5"/>
  <c r="N61" i="5" s="1"/>
  <c r="M65" i="5"/>
  <c r="N65" i="5" s="1"/>
  <c r="M51" i="5"/>
  <c r="N51" i="5" s="1"/>
  <c r="M54" i="5"/>
  <c r="N54" i="5" s="1"/>
  <c r="M58" i="5"/>
  <c r="N58" i="5" s="1"/>
  <c r="M62" i="5"/>
  <c r="N62" i="5" s="1"/>
  <c r="M55" i="5"/>
  <c r="N55" i="5" s="1"/>
  <c r="M59" i="5"/>
  <c r="N59" i="5" s="1"/>
  <c r="M63" i="5"/>
  <c r="N63" i="5" s="1"/>
  <c r="M71" i="5"/>
  <c r="N71" i="5" s="1"/>
  <c r="B258" i="3"/>
  <c r="B264" i="3" s="1"/>
  <c r="B265" i="3" s="1"/>
  <c r="D280" i="3" s="1"/>
  <c r="F202" i="3"/>
  <c r="F208" i="3" s="1"/>
  <c r="F209" i="3" s="1"/>
  <c r="D225" i="3" s="1"/>
  <c r="F191" i="3"/>
  <c r="F197" i="3" s="1"/>
  <c r="F198" i="3" s="1"/>
  <c r="C225" i="3" s="1"/>
  <c r="D229" i="3" s="1"/>
  <c r="F40" i="5" s="1"/>
  <c r="Q87" i="5" s="1"/>
  <c r="B202" i="3"/>
  <c r="B208" i="3" s="1"/>
  <c r="B209" i="3" s="1"/>
  <c r="D224" i="3" s="1"/>
  <c r="B191" i="3"/>
  <c r="B197" i="3" s="1"/>
  <c r="B198" i="3" s="1"/>
  <c r="C224" i="3" s="1"/>
  <c r="D228" i="3" s="1"/>
  <c r="B40" i="5" s="1"/>
  <c r="K87" i="5" s="1"/>
  <c r="M23" i="5"/>
  <c r="N23" i="5" s="1"/>
  <c r="M22" i="5"/>
  <c r="N22" i="5" s="1"/>
  <c r="M25" i="5"/>
  <c r="N25" i="5" s="1"/>
  <c r="K18" i="5"/>
  <c r="M27" i="5" s="1"/>
  <c r="N27" i="5" s="1"/>
  <c r="M24" i="5"/>
  <c r="N24" i="5" s="1"/>
  <c r="M21" i="5"/>
  <c r="N21" i="5" s="1"/>
  <c r="M20" i="5"/>
  <c r="N20" i="5" s="1"/>
  <c r="B14" i="5"/>
  <c r="B29" i="5"/>
  <c r="F29" i="5"/>
  <c r="D113" i="3"/>
  <c r="F71" i="5" s="1"/>
  <c r="AL207" i="5" s="1"/>
  <c r="AL211" i="5" s="1"/>
  <c r="AL212" i="5" s="1"/>
  <c r="B160" i="3"/>
  <c r="E166" i="3" s="1"/>
  <c r="F313" i="3"/>
  <c r="F319" i="3" s="1"/>
  <c r="F320" i="3" s="1"/>
  <c r="D336" i="3" s="1"/>
  <c r="F302" i="3"/>
  <c r="F308" i="3" s="1"/>
  <c r="F309" i="3" s="1"/>
  <c r="C336" i="3" s="1"/>
  <c r="D342" i="3" s="1"/>
  <c r="F10" i="5" s="1"/>
  <c r="Q10" i="5" s="1"/>
  <c r="M67" i="5" l="1"/>
  <c r="N67" i="5" s="1"/>
  <c r="M68" i="5"/>
  <c r="N68" i="5" s="1"/>
  <c r="M70" i="5"/>
  <c r="N70" i="5" s="1"/>
  <c r="M74" i="5"/>
  <c r="N74" i="5" s="1"/>
  <c r="AH236" i="5"/>
  <c r="AI236" i="5" s="1"/>
  <c r="AH248" i="5"/>
  <c r="AI248" i="5" s="1"/>
  <c r="AH246" i="5"/>
  <c r="AI246" i="5" s="1"/>
  <c r="AH243" i="5"/>
  <c r="AI243" i="5" s="1"/>
  <c r="AH242" i="5"/>
  <c r="AI242" i="5" s="1"/>
  <c r="AG218" i="5"/>
  <c r="AG222" i="5"/>
  <c r="AJ222" i="5" s="1"/>
  <c r="AG226" i="5"/>
  <c r="AJ226" i="5" s="1"/>
  <c r="AG230" i="5"/>
  <c r="AJ230" i="5" s="1"/>
  <c r="AP230" i="5" s="1"/>
  <c r="AG238" i="5"/>
  <c r="AG242" i="5"/>
  <c r="AG246" i="5"/>
  <c r="AG224" i="5"/>
  <c r="AJ224" i="5" s="1"/>
  <c r="AG233" i="5"/>
  <c r="AG244" i="5"/>
  <c r="AG221" i="5"/>
  <c r="AJ221" i="5" s="1"/>
  <c r="AG229" i="5"/>
  <c r="AJ229" i="5" s="1"/>
  <c r="AG241" i="5"/>
  <c r="AJ241" i="5" s="1"/>
  <c r="AP241" i="5" s="1"/>
  <c r="AG219" i="5"/>
  <c r="AJ219" i="5" s="1"/>
  <c r="AG223" i="5"/>
  <c r="AJ223" i="5" s="1"/>
  <c r="AG227" i="5"/>
  <c r="AJ227" i="5" s="1"/>
  <c r="AG231" i="5"/>
  <c r="AG239" i="5"/>
  <c r="AG243" i="5"/>
  <c r="AG247" i="5"/>
  <c r="AG220" i="5"/>
  <c r="AJ220" i="5" s="1"/>
  <c r="AG228" i="5"/>
  <c r="AJ228" i="5" s="1"/>
  <c r="AG240" i="5"/>
  <c r="AG248" i="5"/>
  <c r="AG225" i="5"/>
  <c r="AJ225" i="5" s="1"/>
  <c r="AG236" i="5"/>
  <c r="AG245" i="5"/>
  <c r="AH240" i="5"/>
  <c r="AI240" i="5" s="1"/>
  <c r="AJ231" i="5"/>
  <c r="AP231" i="5" s="1"/>
  <c r="AH238" i="5"/>
  <c r="AI238" i="5" s="1"/>
  <c r="AJ238" i="5" s="1"/>
  <c r="AP238" i="5" s="1"/>
  <c r="AJ218" i="5"/>
  <c r="AH247" i="5"/>
  <c r="AI247" i="5" s="1"/>
  <c r="AH245" i="5"/>
  <c r="AI245" i="5" s="1"/>
  <c r="AJ233" i="5"/>
  <c r="AP233" i="5" s="1"/>
  <c r="AH244" i="5"/>
  <c r="AI244" i="5" s="1"/>
  <c r="AH239" i="5"/>
  <c r="AI239" i="5" s="1"/>
  <c r="AM219" i="5"/>
  <c r="AN219" i="5" s="1"/>
  <c r="AM221" i="5"/>
  <c r="AN221" i="5" s="1"/>
  <c r="AM223" i="5"/>
  <c r="AN223" i="5" s="1"/>
  <c r="AM225" i="5"/>
  <c r="AN225" i="5" s="1"/>
  <c r="M167" i="5"/>
  <c r="N167" i="5" s="1"/>
  <c r="R161" i="5"/>
  <c r="S161" i="5" s="1"/>
  <c r="R164" i="5"/>
  <c r="S164" i="5" s="1"/>
  <c r="M161" i="5"/>
  <c r="N161" i="5" s="1"/>
  <c r="M170" i="5"/>
  <c r="N170" i="5" s="1"/>
  <c r="M164" i="5"/>
  <c r="N164" i="5" s="1"/>
  <c r="R155" i="5"/>
  <c r="S155" i="5" s="1"/>
  <c r="Q151" i="5"/>
  <c r="Q155" i="5"/>
  <c r="Q159" i="5"/>
  <c r="Q163" i="5"/>
  <c r="Q158" i="5"/>
  <c r="T158" i="5" s="1"/>
  <c r="Q152" i="5"/>
  <c r="T152" i="5" s="1"/>
  <c r="Q156" i="5"/>
  <c r="Q160" i="5"/>
  <c r="Q164" i="5"/>
  <c r="Q154" i="5"/>
  <c r="Q162" i="5"/>
  <c r="Q153" i="5"/>
  <c r="Q157" i="5"/>
  <c r="Q161" i="5"/>
  <c r="L151" i="5"/>
  <c r="L155" i="5"/>
  <c r="O155" i="5" s="1"/>
  <c r="L159" i="5"/>
  <c r="L163" i="5"/>
  <c r="L167" i="5"/>
  <c r="L158" i="5"/>
  <c r="O158" i="5" s="1"/>
  <c r="L170" i="5"/>
  <c r="L152" i="5"/>
  <c r="O152" i="5" s="1"/>
  <c r="U152" i="5" s="1"/>
  <c r="L156" i="5"/>
  <c r="L160" i="5"/>
  <c r="L164" i="5"/>
  <c r="L168" i="5"/>
  <c r="L162" i="5"/>
  <c r="L153" i="5"/>
  <c r="L157" i="5"/>
  <c r="L161" i="5"/>
  <c r="L165" i="5"/>
  <c r="L169" i="5"/>
  <c r="L154" i="5"/>
  <c r="L166" i="5"/>
  <c r="B15" i="5"/>
  <c r="L28" i="5" s="1"/>
  <c r="K14" i="5"/>
  <c r="K15" i="5" s="1"/>
  <c r="F30" i="5"/>
  <c r="Q51" i="5" s="1"/>
  <c r="T51" i="5" s="1"/>
  <c r="Q45" i="5"/>
  <c r="Q46" i="5" s="1"/>
  <c r="B30" i="5"/>
  <c r="L51" i="5" s="1"/>
  <c r="O51" i="5" s="1"/>
  <c r="K45" i="5"/>
  <c r="K46" i="5" s="1"/>
  <c r="M26" i="5"/>
  <c r="N26" i="5" s="1"/>
  <c r="R58" i="5"/>
  <c r="S58" i="5" s="1"/>
  <c r="R60" i="5"/>
  <c r="S60" i="5" s="1"/>
  <c r="R59" i="5"/>
  <c r="S59" i="5" s="1"/>
  <c r="Q148" i="5"/>
  <c r="T148" i="5" s="1"/>
  <c r="Q144" i="5"/>
  <c r="T144" i="5" s="1"/>
  <c r="Q146" i="5"/>
  <c r="T146" i="5" s="1"/>
  <c r="Q145" i="5"/>
  <c r="T145" i="5" s="1"/>
  <c r="Q149" i="5"/>
  <c r="T149" i="5" s="1"/>
  <c r="Q150" i="5"/>
  <c r="T150" i="5" s="1"/>
  <c r="Q147" i="5"/>
  <c r="T147" i="5" s="1"/>
  <c r="F75" i="5"/>
  <c r="F76" i="5" s="1"/>
  <c r="AK215" i="5"/>
  <c r="AM227" i="5" s="1"/>
  <c r="AN227" i="5" s="1"/>
  <c r="AM217" i="5"/>
  <c r="AN217" i="5" s="1"/>
  <c r="L148" i="5"/>
  <c r="O148" i="5" s="1"/>
  <c r="L145" i="5"/>
  <c r="O145" i="5" s="1"/>
  <c r="L149" i="5"/>
  <c r="O149" i="5" s="1"/>
  <c r="L146" i="5"/>
  <c r="O146" i="5" s="1"/>
  <c r="L150" i="5"/>
  <c r="O150" i="5" s="1"/>
  <c r="L147" i="5"/>
  <c r="O147" i="5" s="1"/>
  <c r="L144" i="5"/>
  <c r="O144" i="5" s="1"/>
  <c r="AG217" i="5"/>
  <c r="AJ217" i="5" s="1"/>
  <c r="R99" i="5"/>
  <c r="S99" i="5" s="1"/>
  <c r="R103" i="5"/>
  <c r="S103" i="5" s="1"/>
  <c r="R106" i="5"/>
  <c r="S106" i="5" s="1"/>
  <c r="R100" i="5"/>
  <c r="S100" i="5" s="1"/>
  <c r="R104" i="5"/>
  <c r="S104" i="5" s="1"/>
  <c r="R101" i="5"/>
  <c r="S101" i="5" s="1"/>
  <c r="R105" i="5"/>
  <c r="S105" i="5" s="1"/>
  <c r="R97" i="5"/>
  <c r="S97" i="5" s="1"/>
  <c r="R98" i="5"/>
  <c r="S98" i="5" s="1"/>
  <c r="R102" i="5"/>
  <c r="S102" i="5" s="1"/>
  <c r="K95" i="5"/>
  <c r="M106" i="5" s="1"/>
  <c r="N106" i="5" s="1"/>
  <c r="M100" i="5"/>
  <c r="N100" i="5" s="1"/>
  <c r="M99" i="5"/>
  <c r="N99" i="5" s="1"/>
  <c r="M97" i="5"/>
  <c r="N97" i="5" s="1"/>
  <c r="M101" i="5"/>
  <c r="N101" i="5" s="1"/>
  <c r="M98" i="5"/>
  <c r="N98" i="5" s="1"/>
  <c r="M102" i="5"/>
  <c r="N102" i="5" s="1"/>
  <c r="M103" i="5"/>
  <c r="N103" i="5" s="1"/>
  <c r="M29" i="5"/>
  <c r="N29" i="5" s="1"/>
  <c r="M28" i="5"/>
  <c r="N28" i="5" s="1"/>
  <c r="M69" i="5"/>
  <c r="N69" i="5" s="1"/>
  <c r="M66" i="5"/>
  <c r="N66" i="5" s="1"/>
  <c r="R21" i="5"/>
  <c r="S21" i="5" s="1"/>
  <c r="R25" i="5"/>
  <c r="S25" i="5" s="1"/>
  <c r="R22" i="5"/>
  <c r="S22" i="5" s="1"/>
  <c r="R24" i="5"/>
  <c r="S24" i="5" s="1"/>
  <c r="R20" i="5"/>
  <c r="S20" i="5" s="1"/>
  <c r="R23" i="5"/>
  <c r="S23" i="5" s="1"/>
  <c r="B44" i="5"/>
  <c r="P95" i="5"/>
  <c r="R111" i="5" s="1"/>
  <c r="S111" i="5" s="1"/>
  <c r="F44" i="5"/>
  <c r="P18" i="5"/>
  <c r="F14" i="5"/>
  <c r="AJ236" i="5" l="1"/>
  <c r="AP236" i="5" s="1"/>
  <c r="AJ242" i="5"/>
  <c r="AP242" i="5" s="1"/>
  <c r="AJ244" i="5"/>
  <c r="AP244" i="5" s="1"/>
  <c r="AJ245" i="5"/>
  <c r="AP245" i="5" s="1"/>
  <c r="AJ246" i="5"/>
  <c r="AP246" i="5" s="1"/>
  <c r="AJ243" i="5"/>
  <c r="AP243" i="5" s="1"/>
  <c r="AJ248" i="5"/>
  <c r="AP248" i="5" s="1"/>
  <c r="T164" i="5"/>
  <c r="AJ239" i="5"/>
  <c r="AP239" i="5" s="1"/>
  <c r="O170" i="5"/>
  <c r="U170" i="5" s="1"/>
  <c r="AJ240" i="5"/>
  <c r="AP240" i="5" s="1"/>
  <c r="O167" i="5"/>
  <c r="U167" i="5" s="1"/>
  <c r="AJ247" i="5"/>
  <c r="AP247" i="5" s="1"/>
  <c r="Q54" i="5"/>
  <c r="T54" i="5" s="1"/>
  <c r="AM229" i="5"/>
  <c r="AN229" i="5" s="1"/>
  <c r="O164" i="5"/>
  <c r="U164" i="5" s="1"/>
  <c r="AL220" i="5"/>
  <c r="AL224" i="5"/>
  <c r="AL228" i="5"/>
  <c r="AL219" i="5"/>
  <c r="AO219" i="5" s="1"/>
  <c r="AP219" i="5" s="1"/>
  <c r="AL221" i="5"/>
  <c r="AO221" i="5" s="1"/>
  <c r="AP221" i="5" s="1"/>
  <c r="AL225" i="5"/>
  <c r="AO225" i="5" s="1"/>
  <c r="AP225" i="5" s="1"/>
  <c r="AL229" i="5"/>
  <c r="AL223" i="5"/>
  <c r="AO223" i="5" s="1"/>
  <c r="AP223" i="5" s="1"/>
  <c r="AL218" i="5"/>
  <c r="AL222" i="5"/>
  <c r="AL226" i="5"/>
  <c r="AL227" i="5"/>
  <c r="AO227" i="5" s="1"/>
  <c r="AP227" i="5" s="1"/>
  <c r="U148" i="5"/>
  <c r="X148" i="5" s="1"/>
  <c r="AQ226" i="5" s="1"/>
  <c r="T161" i="5"/>
  <c r="U146" i="5"/>
  <c r="X146" i="5" s="1"/>
  <c r="AQ222" i="5" s="1"/>
  <c r="O161" i="5"/>
  <c r="L74" i="5"/>
  <c r="O74" i="5" s="1"/>
  <c r="L58" i="5"/>
  <c r="O58" i="5" s="1"/>
  <c r="Q58" i="5"/>
  <c r="T58" i="5" s="1"/>
  <c r="U158" i="5"/>
  <c r="L56" i="5"/>
  <c r="O56" i="5" s="1"/>
  <c r="L73" i="5"/>
  <c r="O73" i="5" s="1"/>
  <c r="L59" i="5"/>
  <c r="O59" i="5" s="1"/>
  <c r="L57" i="5"/>
  <c r="O57" i="5" s="1"/>
  <c r="T155" i="5"/>
  <c r="U155" i="5" s="1"/>
  <c r="L25" i="5"/>
  <c r="O25" i="5" s="1"/>
  <c r="L71" i="5"/>
  <c r="O71" i="5" s="1"/>
  <c r="L54" i="5"/>
  <c r="O54" i="5" s="1"/>
  <c r="L53" i="5"/>
  <c r="O53" i="5" s="1"/>
  <c r="L67" i="5"/>
  <c r="O67" i="5" s="1"/>
  <c r="L64" i="5"/>
  <c r="O64" i="5" s="1"/>
  <c r="U64" i="5" s="1"/>
  <c r="V185" i="5" s="1"/>
  <c r="L66" i="5"/>
  <c r="O66" i="5" s="1"/>
  <c r="U66" i="5" s="1"/>
  <c r="V189" i="5" s="1"/>
  <c r="L72" i="5"/>
  <c r="O72" i="5" s="1"/>
  <c r="L65" i="5"/>
  <c r="O65" i="5" s="1"/>
  <c r="U65" i="5" s="1"/>
  <c r="V187" i="5" s="1"/>
  <c r="L21" i="5"/>
  <c r="O21" i="5" s="1"/>
  <c r="L20" i="5"/>
  <c r="O20" i="5" s="1"/>
  <c r="L26" i="5"/>
  <c r="O26" i="5" s="1"/>
  <c r="L29" i="5"/>
  <c r="O29" i="5" s="1"/>
  <c r="L55" i="5"/>
  <c r="O55" i="5" s="1"/>
  <c r="L70" i="5"/>
  <c r="O70" i="5" s="1"/>
  <c r="L69" i="5"/>
  <c r="O69" i="5" s="1"/>
  <c r="L27" i="5"/>
  <c r="O27" i="5" s="1"/>
  <c r="L24" i="5"/>
  <c r="O24" i="5" s="1"/>
  <c r="L68" i="5"/>
  <c r="O68" i="5" s="1"/>
  <c r="L63" i="5"/>
  <c r="O63" i="5" s="1"/>
  <c r="U63" i="5" s="1"/>
  <c r="V183" i="5" s="1"/>
  <c r="L52" i="5"/>
  <c r="O52" i="5" s="1"/>
  <c r="L62" i="5"/>
  <c r="O62" i="5" s="1"/>
  <c r="U62" i="5" s="1"/>
  <c r="V181" i="5" s="1"/>
  <c r="L60" i="5"/>
  <c r="O60" i="5" s="1"/>
  <c r="L61" i="5"/>
  <c r="O61" i="5" s="1"/>
  <c r="L22" i="5"/>
  <c r="O22" i="5" s="1"/>
  <c r="L23" i="5"/>
  <c r="O23" i="5" s="1"/>
  <c r="U150" i="5"/>
  <c r="Q53" i="5"/>
  <c r="T53" i="5" s="1"/>
  <c r="Q56" i="5"/>
  <c r="T56" i="5" s="1"/>
  <c r="Q61" i="5"/>
  <c r="T61" i="5" s="1"/>
  <c r="Q60" i="5"/>
  <c r="T60" i="5" s="1"/>
  <c r="F45" i="5"/>
  <c r="Q116" i="5" s="1"/>
  <c r="Q91" i="5"/>
  <c r="Q92" i="5" s="1"/>
  <c r="F15" i="5"/>
  <c r="Q21" i="5" s="1"/>
  <c r="T21" i="5" s="1"/>
  <c r="Q14" i="5"/>
  <c r="Q15" i="5" s="1"/>
  <c r="B45" i="5"/>
  <c r="L97" i="5" s="1"/>
  <c r="O97" i="5" s="1"/>
  <c r="K91" i="5"/>
  <c r="K92" i="5" s="1"/>
  <c r="Q59" i="5"/>
  <c r="T59" i="5" s="1"/>
  <c r="Q52" i="5"/>
  <c r="T52" i="5" s="1"/>
  <c r="Q57" i="5"/>
  <c r="T57" i="5" s="1"/>
  <c r="Q55" i="5"/>
  <c r="T55" i="5" s="1"/>
  <c r="R113" i="5"/>
  <c r="S113" i="5" s="1"/>
  <c r="R117" i="5"/>
  <c r="S117" i="5" s="1"/>
  <c r="R115" i="5"/>
  <c r="S115" i="5" s="1"/>
  <c r="U147" i="5"/>
  <c r="X147" i="5" s="1"/>
  <c r="AQ224" i="5" s="1"/>
  <c r="U145" i="5"/>
  <c r="X145" i="5" s="1"/>
  <c r="AQ220" i="5" s="1"/>
  <c r="U144" i="5"/>
  <c r="X144" i="5" s="1"/>
  <c r="AQ218" i="5" s="1"/>
  <c r="U149" i="5"/>
  <c r="X149" i="5" s="1"/>
  <c r="AQ228" i="5" s="1"/>
  <c r="AQ227" i="5" s="1"/>
  <c r="O28" i="5"/>
  <c r="AL217" i="5"/>
  <c r="AO217" i="5" s="1"/>
  <c r="AP217" i="5" s="1"/>
  <c r="AR217" i="5" s="1"/>
  <c r="P232" i="5" s="1"/>
  <c r="M105" i="5"/>
  <c r="N105" i="5" s="1"/>
  <c r="M104" i="5"/>
  <c r="N104" i="5" s="1"/>
  <c r="R109" i="5"/>
  <c r="S109" i="5" s="1"/>
  <c r="R107" i="5"/>
  <c r="S107" i="5" s="1"/>
  <c r="R26" i="5"/>
  <c r="S26" i="5" s="1"/>
  <c r="R27" i="5"/>
  <c r="S27" i="5" s="1"/>
  <c r="R28" i="5"/>
  <c r="S28" i="5" s="1"/>
  <c r="R29" i="5"/>
  <c r="S29" i="5" s="1"/>
  <c r="U51" i="5"/>
  <c r="V153" i="5" s="1"/>
  <c r="U54" i="5" l="1"/>
  <c r="V162" i="5" s="1"/>
  <c r="AR227" i="5"/>
  <c r="P244" i="5" s="1"/>
  <c r="AQ219" i="5"/>
  <c r="AR219" i="5" s="1"/>
  <c r="P235" i="5" s="1"/>
  <c r="AQ221" i="5"/>
  <c r="AR221" i="5" s="1"/>
  <c r="P238" i="5" s="1"/>
  <c r="AO229" i="5"/>
  <c r="AP229" i="5" s="1"/>
  <c r="AQ223" i="5"/>
  <c r="AR223" i="5" s="1"/>
  <c r="P240" i="5" s="1"/>
  <c r="AQ225" i="5"/>
  <c r="AR225" i="5" s="1"/>
  <c r="P242" i="5" s="1"/>
  <c r="U55" i="5"/>
  <c r="V165" i="5" s="1"/>
  <c r="U161" i="5"/>
  <c r="U57" i="5"/>
  <c r="V171" i="5" s="1"/>
  <c r="U58" i="5"/>
  <c r="V173" i="5" s="1"/>
  <c r="U59" i="5"/>
  <c r="V175" i="5" s="1"/>
  <c r="X150" i="5"/>
  <c r="AQ230" i="5" s="1"/>
  <c r="U52" i="5"/>
  <c r="V156" i="5" s="1"/>
  <c r="U56" i="5"/>
  <c r="V168" i="5" s="1"/>
  <c r="U61" i="5"/>
  <c r="V179" i="5" s="1"/>
  <c r="U60" i="5"/>
  <c r="V177" i="5" s="1"/>
  <c r="U53" i="5"/>
  <c r="V159" i="5" s="1"/>
  <c r="Q25" i="5"/>
  <c r="T25" i="5" s="1"/>
  <c r="U25" i="5" s="1"/>
  <c r="V118" i="5" s="1"/>
  <c r="W118" i="5" s="1"/>
  <c r="Q22" i="5"/>
  <c r="T22" i="5" s="1"/>
  <c r="U22" i="5" s="1"/>
  <c r="Q103" i="5"/>
  <c r="T103" i="5" s="1"/>
  <c r="L105" i="5"/>
  <c r="O105" i="5" s="1"/>
  <c r="Q102" i="5"/>
  <c r="T102" i="5" s="1"/>
  <c r="L99" i="5"/>
  <c r="O99" i="5" s="1"/>
  <c r="Q99" i="5"/>
  <c r="T99" i="5" s="1"/>
  <c r="Q109" i="5"/>
  <c r="T109" i="5" s="1"/>
  <c r="U109" i="5" s="1"/>
  <c r="L98" i="5"/>
  <c r="O98" i="5" s="1"/>
  <c r="Q106" i="5"/>
  <c r="T106" i="5" s="1"/>
  <c r="L106" i="5"/>
  <c r="O106" i="5" s="1"/>
  <c r="L100" i="5"/>
  <c r="O100" i="5" s="1"/>
  <c r="Q114" i="5"/>
  <c r="Q113" i="5"/>
  <c r="T113" i="5" s="1"/>
  <c r="U113" i="5" s="1"/>
  <c r="Q29" i="5"/>
  <c r="T29" i="5" s="1"/>
  <c r="U29" i="5" s="1"/>
  <c r="Q23" i="5"/>
  <c r="T23" i="5" s="1"/>
  <c r="U23" i="5" s="1"/>
  <c r="V114" i="5" s="1"/>
  <c r="V115" i="5" s="1"/>
  <c r="Q28" i="5"/>
  <c r="T28" i="5" s="1"/>
  <c r="U28" i="5" s="1"/>
  <c r="V121" i="5" s="1"/>
  <c r="Q20" i="5"/>
  <c r="T20" i="5" s="1"/>
  <c r="U20" i="5" s="1"/>
  <c r="V108" i="5" s="1"/>
  <c r="Q27" i="5"/>
  <c r="T27" i="5" s="1"/>
  <c r="U27" i="5" s="1"/>
  <c r="V120" i="5" s="1"/>
  <c r="Q26" i="5"/>
  <c r="T26" i="5" s="1"/>
  <c r="U26" i="5" s="1"/>
  <c r="V119" i="5" s="1"/>
  <c r="Q24" i="5"/>
  <c r="T24" i="5" s="1"/>
  <c r="U24" i="5" s="1"/>
  <c r="V116" i="5" s="1"/>
  <c r="V117" i="5" s="1"/>
  <c r="Q100" i="5"/>
  <c r="T100" i="5" s="1"/>
  <c r="Q105" i="5"/>
  <c r="T105" i="5" s="1"/>
  <c r="Q98" i="5"/>
  <c r="T98" i="5" s="1"/>
  <c r="L104" i="5"/>
  <c r="O104" i="5" s="1"/>
  <c r="L102" i="5"/>
  <c r="O102" i="5" s="1"/>
  <c r="Q108" i="5"/>
  <c r="Q111" i="5"/>
  <c r="T111" i="5" s="1"/>
  <c r="U111" i="5" s="1"/>
  <c r="Q107" i="5"/>
  <c r="T107" i="5" s="1"/>
  <c r="U107" i="5" s="1"/>
  <c r="W107" i="5" s="1"/>
  <c r="W178" i="5" s="1"/>
  <c r="Q104" i="5"/>
  <c r="T104" i="5" s="1"/>
  <c r="Q101" i="5"/>
  <c r="T101" i="5" s="1"/>
  <c r="L103" i="5"/>
  <c r="O103" i="5" s="1"/>
  <c r="L101" i="5"/>
  <c r="O101" i="5" s="1"/>
  <c r="Q115" i="5"/>
  <c r="T115" i="5" s="1"/>
  <c r="U115" i="5" s="1"/>
  <c r="Q97" i="5"/>
  <c r="T97" i="5" s="1"/>
  <c r="U97" i="5" s="1"/>
  <c r="W97" i="5" s="1"/>
  <c r="W151" i="5" s="1"/>
  <c r="Q112" i="5"/>
  <c r="Q117" i="5"/>
  <c r="T117" i="5" s="1"/>
  <c r="U117" i="5" s="1"/>
  <c r="Q110" i="5"/>
  <c r="U21" i="5"/>
  <c r="V110" i="5" s="1"/>
  <c r="U74" i="5"/>
  <c r="U70" i="5"/>
  <c r="V193" i="5" s="1"/>
  <c r="X193" i="5" s="1"/>
  <c r="AQ282" i="5" s="1"/>
  <c r="AR282" i="5" s="1"/>
  <c r="U67" i="5"/>
  <c r="V190" i="5" s="1"/>
  <c r="U73" i="5"/>
  <c r="V196" i="5" s="1"/>
  <c r="X196" i="5" s="1"/>
  <c r="AQ285" i="5" s="1"/>
  <c r="AR285" i="5" s="1"/>
  <c r="U71" i="5"/>
  <c r="V194" i="5" s="1"/>
  <c r="X194" i="5" s="1"/>
  <c r="AQ283" i="5" s="1"/>
  <c r="AR283" i="5" s="1"/>
  <c r="U69" i="5"/>
  <c r="V192" i="5" s="1"/>
  <c r="X192" i="5" s="1"/>
  <c r="AQ281" i="5" s="1"/>
  <c r="AR281" i="5" s="1"/>
  <c r="U68" i="5"/>
  <c r="V191" i="5" s="1"/>
  <c r="U72" i="5"/>
  <c r="V195" i="5" s="1"/>
  <c r="X195" i="5" s="1"/>
  <c r="AQ284" i="5" s="1"/>
  <c r="AR284" i="5" s="1"/>
  <c r="AQ229" i="5" l="1"/>
  <c r="AR229" i="5" s="1"/>
  <c r="P246" i="5" s="1"/>
  <c r="AR230" i="5"/>
  <c r="P247" i="5" s="1"/>
  <c r="B13" i="4"/>
  <c r="B17" i="4" s="1"/>
  <c r="C19" i="4" s="1"/>
  <c r="C20" i="4" s="1"/>
  <c r="J151" i="5" s="1"/>
  <c r="R151" i="5" s="1"/>
  <c r="S151" i="5" s="1"/>
  <c r="T151" i="5" s="1"/>
  <c r="W121" i="5"/>
  <c r="W119" i="5"/>
  <c r="W120" i="5"/>
  <c r="U103" i="5"/>
  <c r="W103" i="5" s="1"/>
  <c r="W169" i="5" s="1"/>
  <c r="U101" i="5"/>
  <c r="W101" i="5" s="1"/>
  <c r="W163" i="5" s="1"/>
  <c r="U106" i="5"/>
  <c r="W106" i="5" s="1"/>
  <c r="W176" i="5" s="1"/>
  <c r="U102" i="5"/>
  <c r="W102" i="5" s="1"/>
  <c r="W166" i="5" s="1"/>
  <c r="U99" i="5"/>
  <c r="W99" i="5" s="1"/>
  <c r="W157" i="5" s="1"/>
  <c r="U98" i="5"/>
  <c r="W98" i="5" s="1"/>
  <c r="W154" i="5" s="1"/>
  <c r="U100" i="5"/>
  <c r="W100" i="5" s="1"/>
  <c r="W160" i="5" s="1"/>
  <c r="U105" i="5"/>
  <c r="W105" i="5" s="1"/>
  <c r="W174" i="5" s="1"/>
  <c r="U104" i="5"/>
  <c r="W104" i="5" s="1"/>
  <c r="W172" i="5" s="1"/>
  <c r="W117" i="5"/>
  <c r="W188" i="5" s="1"/>
  <c r="B3" i="4"/>
  <c r="V112" i="5"/>
  <c r="B23" i="4"/>
  <c r="B27" i="4" s="1"/>
  <c r="C29" i="4" s="1"/>
  <c r="C30" i="4" s="1"/>
  <c r="W115" i="5"/>
  <c r="W186" i="5" s="1"/>
  <c r="M151" i="5" l="1"/>
  <c r="N151" i="5" s="1"/>
  <c r="O151" i="5" s="1"/>
  <c r="U151" i="5" s="1"/>
  <c r="X151" i="5" s="1"/>
  <c r="AQ233" i="5" s="1"/>
  <c r="J154" i="5"/>
  <c r="W152" i="5" s="1"/>
  <c r="X152" i="5" s="1"/>
  <c r="AQ236" i="5" s="1"/>
  <c r="AR236" i="5" s="1"/>
  <c r="J153" i="5"/>
  <c r="B7" i="4"/>
  <c r="C9" i="4" s="1"/>
  <c r="C10" i="4" s="1"/>
  <c r="J108" i="5" s="1"/>
  <c r="V113" i="5"/>
  <c r="W113" i="5" s="1"/>
  <c r="W184" i="5" s="1"/>
  <c r="AR233" i="5" l="1"/>
  <c r="AQ231" i="5"/>
  <c r="AR231" i="5" s="1"/>
  <c r="P248" i="5" s="1"/>
  <c r="R154" i="5"/>
  <c r="S154" i="5" s="1"/>
  <c r="T154" i="5" s="1"/>
  <c r="M154" i="5"/>
  <c r="N154" i="5" s="1"/>
  <c r="O154" i="5" s="1"/>
  <c r="J157" i="5"/>
  <c r="J160" i="5" s="1"/>
  <c r="J156" i="5"/>
  <c r="V154" i="5" s="1"/>
  <c r="V155" i="5" s="1"/>
  <c r="R153" i="5"/>
  <c r="S153" i="5" s="1"/>
  <c r="T153" i="5" s="1"/>
  <c r="M153" i="5"/>
  <c r="N153" i="5" s="1"/>
  <c r="O153" i="5" s="1"/>
  <c r="W153" i="5"/>
  <c r="J110" i="5"/>
  <c r="J112" i="5" s="1"/>
  <c r="R108" i="5"/>
  <c r="S108" i="5" s="1"/>
  <c r="T108" i="5" s="1"/>
  <c r="U108" i="5" s="1"/>
  <c r="W108" i="5" s="1"/>
  <c r="R157" i="5" l="1"/>
  <c r="S157" i="5" s="1"/>
  <c r="T157" i="5" s="1"/>
  <c r="W155" i="5"/>
  <c r="X155" i="5" s="1"/>
  <c r="AQ241" i="5" s="1"/>
  <c r="AR241" i="5" s="1"/>
  <c r="M157" i="5"/>
  <c r="N157" i="5" s="1"/>
  <c r="O157" i="5" s="1"/>
  <c r="U154" i="5"/>
  <c r="X154" i="5" s="1"/>
  <c r="AQ240" i="5" s="1"/>
  <c r="AR240" i="5" s="1"/>
  <c r="W158" i="5"/>
  <c r="U153" i="5"/>
  <c r="X153" i="5" s="1"/>
  <c r="AQ239" i="5" s="1"/>
  <c r="J163" i="5"/>
  <c r="W161" i="5" s="1"/>
  <c r="R160" i="5"/>
  <c r="S160" i="5" s="1"/>
  <c r="T160" i="5" s="1"/>
  <c r="M160" i="5"/>
  <c r="N160" i="5" s="1"/>
  <c r="O160" i="5" s="1"/>
  <c r="J159" i="5"/>
  <c r="M156" i="5"/>
  <c r="N156" i="5" s="1"/>
  <c r="O156" i="5" s="1"/>
  <c r="R156" i="5"/>
  <c r="S156" i="5" s="1"/>
  <c r="T156" i="5" s="1"/>
  <c r="W156" i="5"/>
  <c r="V111" i="5"/>
  <c r="W111" i="5" s="1"/>
  <c r="W182" i="5" s="1"/>
  <c r="R110" i="5"/>
  <c r="S110" i="5" s="1"/>
  <c r="T110" i="5" s="1"/>
  <c r="U110" i="5" s="1"/>
  <c r="W110" i="5" s="1"/>
  <c r="V109" i="5"/>
  <c r="W109" i="5" s="1"/>
  <c r="W180" i="5" s="1"/>
  <c r="J114" i="5"/>
  <c r="R112" i="5"/>
  <c r="S112" i="5" s="1"/>
  <c r="T112" i="5" s="1"/>
  <c r="U112" i="5" s="1"/>
  <c r="W112" i="5" s="1"/>
  <c r="U157" i="5" l="1"/>
  <c r="AR239" i="5"/>
  <c r="AQ238" i="5"/>
  <c r="AR238" i="5" s="1"/>
  <c r="U160" i="5"/>
  <c r="J166" i="5"/>
  <c r="W164" i="5" s="1"/>
  <c r="M163" i="5"/>
  <c r="N163" i="5" s="1"/>
  <c r="O163" i="5" s="1"/>
  <c r="R163" i="5"/>
  <c r="S163" i="5" s="1"/>
  <c r="T163" i="5" s="1"/>
  <c r="U156" i="5"/>
  <c r="X156" i="5" s="1"/>
  <c r="AQ243" i="5" s="1"/>
  <c r="J162" i="5"/>
  <c r="M159" i="5"/>
  <c r="N159" i="5" s="1"/>
  <c r="O159" i="5" s="1"/>
  <c r="R159" i="5"/>
  <c r="S159" i="5" s="1"/>
  <c r="T159" i="5" s="1"/>
  <c r="W159" i="5"/>
  <c r="V157" i="5"/>
  <c r="J116" i="5"/>
  <c r="R114" i="5"/>
  <c r="S114" i="5" s="1"/>
  <c r="T114" i="5" s="1"/>
  <c r="U114" i="5" s="1"/>
  <c r="W114" i="5" s="1"/>
  <c r="AR243" i="5" l="1"/>
  <c r="AQ242" i="5"/>
  <c r="AR242" i="5" s="1"/>
  <c r="U159" i="5"/>
  <c r="X159" i="5" s="1"/>
  <c r="AQ247" i="5" s="1"/>
  <c r="V158" i="5"/>
  <c r="X158" i="5" s="1"/>
  <c r="AQ245" i="5" s="1"/>
  <c r="AR245" i="5" s="1"/>
  <c r="X157" i="5"/>
  <c r="AQ244" i="5" s="1"/>
  <c r="AR244" i="5" s="1"/>
  <c r="U163" i="5"/>
  <c r="J169" i="5"/>
  <c r="W167" i="5" s="1"/>
  <c r="M166" i="5"/>
  <c r="N166" i="5" s="1"/>
  <c r="O166" i="5" s="1"/>
  <c r="U166" i="5" s="1"/>
  <c r="J165" i="5"/>
  <c r="R162" i="5"/>
  <c r="S162" i="5" s="1"/>
  <c r="T162" i="5" s="1"/>
  <c r="M162" i="5"/>
  <c r="N162" i="5" s="1"/>
  <c r="O162" i="5" s="1"/>
  <c r="W162" i="5"/>
  <c r="V163" i="5"/>
  <c r="V164" i="5" s="1"/>
  <c r="X164" i="5" s="1"/>
  <c r="AQ253" i="5" s="1"/>
  <c r="AR253" i="5" s="1"/>
  <c r="V160" i="5"/>
  <c r="J118" i="5"/>
  <c r="R116" i="5"/>
  <c r="S116" i="5" s="1"/>
  <c r="T116" i="5" s="1"/>
  <c r="U116" i="5" s="1"/>
  <c r="W116" i="5" s="1"/>
  <c r="AR247" i="5" l="1"/>
  <c r="AQ246" i="5"/>
  <c r="AR246" i="5" s="1"/>
  <c r="X163" i="5"/>
  <c r="AQ252" i="5" s="1"/>
  <c r="AR252" i="5" s="1"/>
  <c r="J168" i="5"/>
  <c r="V166" i="5" s="1"/>
  <c r="V167" i="5" s="1"/>
  <c r="X167" i="5" s="1"/>
  <c r="AQ256" i="5" s="1"/>
  <c r="AR256" i="5" s="1"/>
  <c r="M165" i="5"/>
  <c r="N165" i="5" s="1"/>
  <c r="O165" i="5" s="1"/>
  <c r="U165" i="5" s="1"/>
  <c r="W165" i="5"/>
  <c r="J172" i="5"/>
  <c r="W170" i="5" s="1"/>
  <c r="M169" i="5"/>
  <c r="N169" i="5" s="1"/>
  <c r="O169" i="5" s="1"/>
  <c r="U169" i="5" s="1"/>
  <c r="J119" i="5"/>
  <c r="V122" i="5" s="1"/>
  <c r="U162" i="5"/>
  <c r="X162" i="5" s="1"/>
  <c r="AQ251" i="5" s="1"/>
  <c r="V161" i="5"/>
  <c r="X161" i="5" s="1"/>
  <c r="AQ249" i="5" s="1"/>
  <c r="AR249" i="5" s="1"/>
  <c r="X160" i="5"/>
  <c r="AQ248" i="5" s="1"/>
  <c r="AR248" i="5" s="1"/>
  <c r="AR251" i="5" l="1"/>
  <c r="AQ250" i="5"/>
  <c r="AR250" i="5" s="1"/>
  <c r="X166" i="5"/>
  <c r="AQ255" i="5" s="1"/>
  <c r="AR255" i="5" s="1"/>
  <c r="X165" i="5"/>
  <c r="AQ254" i="5" s="1"/>
  <c r="AR254" i="5" s="1"/>
  <c r="J171" i="5"/>
  <c r="M168" i="5"/>
  <c r="N168" i="5" s="1"/>
  <c r="O168" i="5" s="1"/>
  <c r="U168" i="5" s="1"/>
  <c r="W168" i="5"/>
  <c r="W122" i="5"/>
  <c r="W189" i="5"/>
  <c r="X189" i="5" s="1"/>
  <c r="AQ278" i="5" s="1"/>
  <c r="AR278" i="5" s="1"/>
  <c r="J120" i="5"/>
  <c r="V123" i="5" s="1"/>
  <c r="J174" i="5"/>
  <c r="X168" i="5" l="1"/>
  <c r="AQ257" i="5" s="1"/>
  <c r="AR257" i="5" s="1"/>
  <c r="W123" i="5"/>
  <c r="W190" i="5"/>
  <c r="X190" i="5" s="1"/>
  <c r="AQ279" i="5" s="1"/>
  <c r="AR279" i="5" s="1"/>
  <c r="J173" i="5"/>
  <c r="W171" i="5"/>
  <c r="X171" i="5" s="1"/>
  <c r="AQ260" i="5" s="1"/>
  <c r="AR260" i="5" s="1"/>
  <c r="V169" i="5"/>
  <c r="J176" i="5"/>
  <c r="J121" i="5"/>
  <c r="V124" i="5" s="1"/>
  <c r="W191" i="5" s="1"/>
  <c r="X191" i="5" s="1"/>
  <c r="AQ280" i="5" s="1"/>
  <c r="AR280" i="5" s="1"/>
  <c r="J175" i="5" l="1"/>
  <c r="W173" i="5"/>
  <c r="X173" i="5" s="1"/>
  <c r="AQ262" i="5" s="1"/>
  <c r="AR262" i="5" s="1"/>
  <c r="V172" i="5"/>
  <c r="X172" i="5" s="1"/>
  <c r="AQ261" i="5" s="1"/>
  <c r="AR261" i="5" s="1"/>
  <c r="J178" i="5"/>
  <c r="V170" i="5"/>
  <c r="X170" i="5" s="1"/>
  <c r="AQ259" i="5" s="1"/>
  <c r="AR259" i="5" s="1"/>
  <c r="X169" i="5"/>
  <c r="AQ258" i="5" s="1"/>
  <c r="AR258" i="5" s="1"/>
  <c r="B45" i="4" l="1"/>
  <c r="B49" i="4" s="1"/>
  <c r="C51" i="4" s="1"/>
  <c r="C52" i="4" s="1"/>
  <c r="J232" i="5" s="1"/>
  <c r="M232" i="5" s="1"/>
  <c r="N232" i="5" s="1"/>
  <c r="O232" i="5" s="1"/>
  <c r="J254" i="5"/>
  <c r="J248" i="5"/>
  <c r="J256" i="5"/>
  <c r="J241" i="5"/>
  <c r="J253" i="5"/>
  <c r="J258" i="5"/>
  <c r="B33" i="4"/>
  <c r="B37" i="4" s="1"/>
  <c r="C39" i="4" s="1"/>
  <c r="C40" i="4" s="1"/>
  <c r="AA171" i="5"/>
  <c r="J180" i="5"/>
  <c r="J177" i="5"/>
  <c r="W175" i="5"/>
  <c r="X175" i="5" s="1"/>
  <c r="AQ264" i="5" s="1"/>
  <c r="AR264" i="5" s="1"/>
  <c r="V174" i="5"/>
  <c r="X174" i="5" s="1"/>
  <c r="AQ263" i="5" s="1"/>
  <c r="AR263" i="5" s="1"/>
  <c r="J264" i="5" l="1"/>
  <c r="J235" i="5"/>
  <c r="M235" i="5" s="1"/>
  <c r="N235" i="5" s="1"/>
  <c r="O235" i="5" s="1"/>
  <c r="J263" i="5"/>
  <c r="J247" i="5"/>
  <c r="J233" i="5"/>
  <c r="M233" i="5" s="1"/>
  <c r="N233" i="5" s="1"/>
  <c r="O233" i="5" s="1"/>
  <c r="J249" i="5"/>
  <c r="J260" i="5"/>
  <c r="J244" i="5"/>
  <c r="J250" i="5"/>
  <c r="J261" i="5"/>
  <c r="J259" i="5"/>
  <c r="J243" i="5"/>
  <c r="J240" i="5"/>
  <c r="J246" i="5"/>
  <c r="J245" i="5"/>
  <c r="J255" i="5"/>
  <c r="J239" i="5"/>
  <c r="M239" i="5" s="1"/>
  <c r="N239" i="5" s="1"/>
  <c r="O239" i="5" s="1"/>
  <c r="J257" i="5"/>
  <c r="J236" i="5"/>
  <c r="M236" i="5" s="1"/>
  <c r="N236" i="5" s="1"/>
  <c r="O236" i="5" s="1"/>
  <c r="J252" i="5"/>
  <c r="J262" i="5"/>
  <c r="J242" i="5"/>
  <c r="J238" i="5"/>
  <c r="M238" i="5" s="1"/>
  <c r="N238" i="5" s="1"/>
  <c r="O238" i="5" s="1"/>
  <c r="J251" i="5"/>
  <c r="AU219" i="5"/>
  <c r="AU223" i="5"/>
  <c r="AU227" i="5"/>
  <c r="AU231" i="5"/>
  <c r="AU242" i="5"/>
  <c r="AU246" i="5"/>
  <c r="AE254" i="5" s="1"/>
  <c r="I267" i="5" s="1"/>
  <c r="J267" i="5" s="1"/>
  <c r="AU250" i="5"/>
  <c r="AE258" i="5" s="1"/>
  <c r="I271" i="5" s="1"/>
  <c r="J271" i="5" s="1"/>
  <c r="AU254" i="5"/>
  <c r="AE262" i="5" s="1"/>
  <c r="I275" i="5" s="1"/>
  <c r="J275" i="5" s="1"/>
  <c r="AU258" i="5"/>
  <c r="AE266" i="5" s="1"/>
  <c r="I279" i="5" s="1"/>
  <c r="J279" i="5" s="1"/>
  <c r="AU262" i="5"/>
  <c r="AE270" i="5" s="1"/>
  <c r="I283" i="5" s="1"/>
  <c r="J283" i="5" s="1"/>
  <c r="AU266" i="5"/>
  <c r="AE274" i="5" s="1"/>
  <c r="I287" i="5" s="1"/>
  <c r="J287" i="5" s="1"/>
  <c r="AU270" i="5"/>
  <c r="AE278" i="5" s="1"/>
  <c r="I291" i="5" s="1"/>
  <c r="J291" i="5" s="1"/>
  <c r="AU274" i="5"/>
  <c r="AE282" i="5" s="1"/>
  <c r="I295" i="5" s="1"/>
  <c r="J295" i="5" s="1"/>
  <c r="AU218" i="5"/>
  <c r="AU230" i="5"/>
  <c r="AU257" i="5"/>
  <c r="AE265" i="5" s="1"/>
  <c r="I278" i="5" s="1"/>
  <c r="J278" i="5" s="1"/>
  <c r="AU269" i="5"/>
  <c r="AE277" i="5" s="1"/>
  <c r="I290" i="5" s="1"/>
  <c r="J290" i="5" s="1"/>
  <c r="AU220" i="5"/>
  <c r="AU224" i="5"/>
  <c r="AU228" i="5"/>
  <c r="AU236" i="5"/>
  <c r="AU243" i="5"/>
  <c r="AU247" i="5"/>
  <c r="AE255" i="5" s="1"/>
  <c r="I268" i="5" s="1"/>
  <c r="J268" i="5" s="1"/>
  <c r="AU251" i="5"/>
  <c r="AE259" i="5" s="1"/>
  <c r="I272" i="5" s="1"/>
  <c r="J272" i="5" s="1"/>
  <c r="AU255" i="5"/>
  <c r="AE263" i="5" s="1"/>
  <c r="I276" i="5" s="1"/>
  <c r="J276" i="5" s="1"/>
  <c r="AU259" i="5"/>
  <c r="AE267" i="5" s="1"/>
  <c r="I280" i="5" s="1"/>
  <c r="J280" i="5" s="1"/>
  <c r="AU263" i="5"/>
  <c r="AE271" i="5" s="1"/>
  <c r="I284" i="5" s="1"/>
  <c r="J284" i="5" s="1"/>
  <c r="AU267" i="5"/>
  <c r="AE275" i="5" s="1"/>
  <c r="I288" i="5" s="1"/>
  <c r="J288" i="5" s="1"/>
  <c r="AU271" i="5"/>
  <c r="AE279" i="5" s="1"/>
  <c r="I292" i="5" s="1"/>
  <c r="J292" i="5" s="1"/>
  <c r="AU275" i="5"/>
  <c r="AE283" i="5" s="1"/>
  <c r="I296" i="5" s="1"/>
  <c r="J296" i="5" s="1"/>
  <c r="AU226" i="5"/>
  <c r="AU241" i="5"/>
  <c r="AU253" i="5"/>
  <c r="AE261" i="5" s="1"/>
  <c r="I274" i="5" s="1"/>
  <c r="J274" i="5" s="1"/>
  <c r="AU265" i="5"/>
  <c r="AE273" i="5" s="1"/>
  <c r="I286" i="5" s="1"/>
  <c r="J286" i="5" s="1"/>
  <c r="AU273" i="5"/>
  <c r="AE281" i="5" s="1"/>
  <c r="I294" i="5" s="1"/>
  <c r="J294" i="5" s="1"/>
  <c r="AU221" i="5"/>
  <c r="AU225" i="5"/>
  <c r="AU229" i="5"/>
  <c r="AU239" i="5"/>
  <c r="AU244" i="5"/>
  <c r="AE252" i="5" s="1"/>
  <c r="I265" i="5" s="1"/>
  <c r="J265" i="5" s="1"/>
  <c r="AU248" i="5"/>
  <c r="AE256" i="5" s="1"/>
  <c r="I269" i="5" s="1"/>
  <c r="J269" i="5" s="1"/>
  <c r="AU252" i="5"/>
  <c r="AE260" i="5" s="1"/>
  <c r="I273" i="5" s="1"/>
  <c r="J273" i="5" s="1"/>
  <c r="AU256" i="5"/>
  <c r="AE264" i="5" s="1"/>
  <c r="I277" i="5" s="1"/>
  <c r="J277" i="5" s="1"/>
  <c r="AU260" i="5"/>
  <c r="AE268" i="5" s="1"/>
  <c r="I281" i="5" s="1"/>
  <c r="J281" i="5" s="1"/>
  <c r="AU264" i="5"/>
  <c r="AE272" i="5" s="1"/>
  <c r="I285" i="5" s="1"/>
  <c r="J285" i="5" s="1"/>
  <c r="AU268" i="5"/>
  <c r="AE276" i="5" s="1"/>
  <c r="I289" i="5" s="1"/>
  <c r="J289" i="5" s="1"/>
  <c r="AU272" i="5"/>
  <c r="AE280" i="5" s="1"/>
  <c r="I293" i="5" s="1"/>
  <c r="J293" i="5" s="1"/>
  <c r="AU276" i="5"/>
  <c r="AE284" i="5" s="1"/>
  <c r="I297" i="5" s="1"/>
  <c r="J297" i="5" s="1"/>
  <c r="AU222" i="5"/>
  <c r="AU245" i="5"/>
  <c r="AE253" i="5" s="1"/>
  <c r="I266" i="5" s="1"/>
  <c r="J266" i="5" s="1"/>
  <c r="AU249" i="5"/>
  <c r="AE257" i="5" s="1"/>
  <c r="I270" i="5" s="1"/>
  <c r="J270" i="5" s="1"/>
  <c r="AU261" i="5"/>
  <c r="AE269" i="5" s="1"/>
  <c r="I282" i="5" s="1"/>
  <c r="J282" i="5" s="1"/>
  <c r="AU277" i="5"/>
  <c r="AE285" i="5" s="1"/>
  <c r="I298" i="5" s="1"/>
  <c r="J298" i="5" s="1"/>
  <c r="AA172" i="5"/>
  <c r="AM218" i="5"/>
  <c r="AN218" i="5" s="1"/>
  <c r="AO218" i="5" s="1"/>
  <c r="AP218" i="5" s="1"/>
  <c r="AR218" i="5" s="1"/>
  <c r="P233" i="5" s="1"/>
  <c r="J179" i="5"/>
  <c r="V178" i="5" s="1"/>
  <c r="X178" i="5" s="1"/>
  <c r="AQ267" i="5" s="1"/>
  <c r="AR267" i="5" s="1"/>
  <c r="W177" i="5"/>
  <c r="X177" i="5" s="1"/>
  <c r="AQ266" i="5" s="1"/>
  <c r="AR266" i="5" s="1"/>
  <c r="V176" i="5"/>
  <c r="X176" i="5" s="1"/>
  <c r="AQ265" i="5" s="1"/>
  <c r="AR265" i="5" s="1"/>
  <c r="J182" i="5"/>
  <c r="AM220" i="5" l="1"/>
  <c r="AN220" i="5" s="1"/>
  <c r="AO220" i="5" s="1"/>
  <c r="AP220" i="5" s="1"/>
  <c r="AR220" i="5" s="1"/>
  <c r="P236" i="5" s="1"/>
  <c r="AA175" i="5"/>
  <c r="AA173" i="5"/>
  <c r="AA176" i="5"/>
  <c r="AA174" i="5"/>
  <c r="J181" i="5"/>
  <c r="W179" i="5"/>
  <c r="X179" i="5" s="1"/>
  <c r="AQ268" i="5" s="1"/>
  <c r="AR268" i="5" s="1"/>
  <c r="J184" i="5"/>
  <c r="AA177" i="5" l="1"/>
  <c r="AM222" i="5"/>
  <c r="AN222" i="5" s="1"/>
  <c r="AO222" i="5" s="1"/>
  <c r="AP222" i="5" s="1"/>
  <c r="AR222" i="5" s="1"/>
  <c r="P239" i="5" s="1"/>
  <c r="J186" i="5"/>
  <c r="J183" i="5"/>
  <c r="W181" i="5"/>
  <c r="X181" i="5" s="1"/>
  <c r="AQ270" i="5" s="1"/>
  <c r="AR270" i="5" s="1"/>
  <c r="V180" i="5"/>
  <c r="X180" i="5" s="1"/>
  <c r="AQ269" i="5" s="1"/>
  <c r="AR269" i="5" s="1"/>
  <c r="AA178" i="5" l="1"/>
  <c r="AA179" i="5"/>
  <c r="AM224" i="5"/>
  <c r="AN224" i="5" s="1"/>
  <c r="AO224" i="5" s="1"/>
  <c r="AP224" i="5" s="1"/>
  <c r="AR224" i="5" s="1"/>
  <c r="P241" i="5" s="1"/>
  <c r="J185" i="5"/>
  <c r="W183" i="5"/>
  <c r="X183" i="5" s="1"/>
  <c r="AQ272" i="5" s="1"/>
  <c r="AR272" i="5" s="1"/>
  <c r="V182" i="5"/>
  <c r="X182" i="5" s="1"/>
  <c r="AQ271" i="5" s="1"/>
  <c r="AR271" i="5" s="1"/>
  <c r="J188" i="5"/>
  <c r="AA180" i="5" l="1"/>
  <c r="AA181" i="5"/>
  <c r="AM226" i="5"/>
  <c r="AN226" i="5" s="1"/>
  <c r="AO226" i="5" s="1"/>
  <c r="AP226" i="5" s="1"/>
  <c r="AR226" i="5" s="1"/>
  <c r="P243" i="5" s="1"/>
  <c r="J187" i="5"/>
  <c r="W185" i="5"/>
  <c r="X185" i="5" s="1"/>
  <c r="AQ274" i="5" s="1"/>
  <c r="AR274" i="5" s="1"/>
  <c r="V184" i="5"/>
  <c r="X184" i="5" s="1"/>
  <c r="AQ273" i="5" s="1"/>
  <c r="AR273" i="5" s="1"/>
  <c r="AA183" i="5" l="1"/>
  <c r="AA182" i="5"/>
  <c r="AM228" i="5"/>
  <c r="AN228" i="5" s="1"/>
  <c r="AO228" i="5" s="1"/>
  <c r="AP228" i="5" s="1"/>
  <c r="AR228" i="5" s="1"/>
  <c r="P245" i="5" s="1"/>
  <c r="J189" i="5"/>
  <c r="J190" i="5" s="1"/>
  <c r="J191" i="5" s="1"/>
  <c r="J192" i="5" s="1"/>
  <c r="J193" i="5" s="1"/>
  <c r="J194" i="5" s="1"/>
  <c r="J195" i="5" s="1"/>
  <c r="J196" i="5" s="1"/>
  <c r="W187" i="5"/>
  <c r="X187" i="5" s="1"/>
  <c r="AQ276" i="5" s="1"/>
  <c r="AR276" i="5" s="1"/>
  <c r="V186" i="5"/>
  <c r="X186" i="5" s="1"/>
  <c r="AQ275" i="5" s="1"/>
  <c r="AR275" i="5" s="1"/>
  <c r="AA184" i="5" l="1"/>
  <c r="AA185" i="5"/>
  <c r="V188" i="5"/>
  <c r="X188" i="5" s="1"/>
  <c r="AQ277" i="5" s="1"/>
  <c r="AR277" i="5" s="1"/>
  <c r="AA186" i="5" l="1"/>
  <c r="AA187" i="5"/>
</calcChain>
</file>

<file path=xl/sharedStrings.xml><?xml version="1.0" encoding="utf-8"?>
<sst xmlns="http://schemas.openxmlformats.org/spreadsheetml/2006/main" count="1201" uniqueCount="187">
  <si>
    <t>Cuenca 1</t>
  </si>
  <si>
    <t xml:space="preserve">Uso de suelo </t>
  </si>
  <si>
    <t xml:space="preserve">Tipo </t>
  </si>
  <si>
    <t>Área</t>
  </si>
  <si>
    <t>C</t>
  </si>
  <si>
    <t>Concreto</t>
  </si>
  <si>
    <t>Asfalto</t>
  </si>
  <si>
    <t xml:space="preserve">Adoquin </t>
  </si>
  <si>
    <t>Cultivo</t>
  </si>
  <si>
    <t>Permeable</t>
  </si>
  <si>
    <t>Parque</t>
  </si>
  <si>
    <t>Bosque</t>
  </si>
  <si>
    <t>Área de cuenca</t>
  </si>
  <si>
    <t>Cuenca 2</t>
  </si>
  <si>
    <t>Cuenca 3</t>
  </si>
  <si>
    <t>Cuenca 4</t>
  </si>
  <si>
    <t>Cuenca 5</t>
  </si>
  <si>
    <t>Cuenca 6</t>
  </si>
  <si>
    <t>Cuenca 7</t>
  </si>
  <si>
    <t>Cuenca 8</t>
  </si>
  <si>
    <t>Cuenca 9</t>
  </si>
  <si>
    <t>Caraceristicas</t>
  </si>
  <si>
    <t>Altura inicial</t>
  </si>
  <si>
    <t>Altura final</t>
  </si>
  <si>
    <t>H=</t>
  </si>
  <si>
    <t>Longitud cause principal</t>
  </si>
  <si>
    <t xml:space="preserve">Unidades </t>
  </si>
  <si>
    <t>Pendiente</t>
  </si>
  <si>
    <t>C1</t>
  </si>
  <si>
    <t>L</t>
  </si>
  <si>
    <t>A</t>
  </si>
  <si>
    <t>Hi</t>
  </si>
  <si>
    <t>Hf</t>
  </si>
  <si>
    <t>Analisis en el punto de estudio</t>
  </si>
  <si>
    <t>Datos</t>
  </si>
  <si>
    <t xml:space="preserve">Longitud </t>
  </si>
  <si>
    <t>Area</t>
  </si>
  <si>
    <t>S</t>
  </si>
  <si>
    <t>H</t>
  </si>
  <si>
    <t>Kirpich</t>
  </si>
  <si>
    <t>TC</t>
  </si>
  <si>
    <t>Ventura-Heras</t>
  </si>
  <si>
    <t>i</t>
  </si>
  <si>
    <t>s</t>
  </si>
  <si>
    <t>l</t>
  </si>
  <si>
    <t>a</t>
  </si>
  <si>
    <t>≤a≤</t>
  </si>
  <si>
    <t>Passini</t>
  </si>
  <si>
    <t>Giandotti</t>
  </si>
  <si>
    <t>≤TC≤</t>
  </si>
  <si>
    <t xml:space="preserve">Tiempo de Concentración </t>
  </si>
  <si>
    <t xml:space="preserve">Metodos </t>
  </si>
  <si>
    <t>Metodo a usar</t>
  </si>
  <si>
    <t>Analisis en el punto A</t>
  </si>
  <si>
    <t>TC cuencas</t>
  </si>
  <si>
    <t>Cuenca</t>
  </si>
  <si>
    <t>Tiempos de concentración de cuencas</t>
  </si>
  <si>
    <t>Analisis en el punto B</t>
  </si>
  <si>
    <t>Analisis en el punto C</t>
  </si>
  <si>
    <t>Analisis en el punto D</t>
  </si>
  <si>
    <t>Cuenca 10</t>
  </si>
  <si>
    <t>Punto A</t>
  </si>
  <si>
    <t>Punto B</t>
  </si>
  <si>
    <t>Cuenca 11</t>
  </si>
  <si>
    <t>Amarillo</t>
  </si>
  <si>
    <t xml:space="preserve">Rosado </t>
  </si>
  <si>
    <t>Celeste Sur</t>
  </si>
  <si>
    <t xml:space="preserve">Verde claro </t>
  </si>
  <si>
    <t xml:space="preserve">Celeste Centro </t>
  </si>
  <si>
    <t>Celeste Norte</t>
  </si>
  <si>
    <t>Roja</t>
  </si>
  <si>
    <t>Verde oscuro</t>
  </si>
  <si>
    <t>Naranja</t>
  </si>
  <si>
    <t>Amarillo mostaza</t>
  </si>
  <si>
    <t>Morada</t>
  </si>
  <si>
    <t>Rosado</t>
  </si>
  <si>
    <t>Celeste sur</t>
  </si>
  <si>
    <t>Verde claro</t>
  </si>
  <si>
    <t>Celeste centro</t>
  </si>
  <si>
    <t>Celeste norte</t>
  </si>
  <si>
    <t>Punto C</t>
  </si>
  <si>
    <t>Punto de estudio</t>
  </si>
  <si>
    <t>Punto D</t>
  </si>
  <si>
    <t>Punto E</t>
  </si>
  <si>
    <t>C1prom=</t>
  </si>
  <si>
    <t>C2prom=</t>
  </si>
  <si>
    <t>C3prom=</t>
  </si>
  <si>
    <t>C4prom=</t>
  </si>
  <si>
    <t>C5prom=</t>
  </si>
  <si>
    <t>C6prom=</t>
  </si>
  <si>
    <t>C7prom=</t>
  </si>
  <si>
    <t>C8prom=</t>
  </si>
  <si>
    <t>C9prom=</t>
  </si>
  <si>
    <t>C10prom=</t>
  </si>
  <si>
    <t>C11prom=</t>
  </si>
  <si>
    <t>Analisis en el punto E</t>
  </si>
  <si>
    <t>Estudio de caudales en Punto E</t>
  </si>
  <si>
    <t>Longitud</t>
  </si>
  <si>
    <t xml:space="preserve">Area </t>
  </si>
  <si>
    <t>B</t>
  </si>
  <si>
    <t>n</t>
  </si>
  <si>
    <t>Estaciones posibles</t>
  </si>
  <si>
    <t>Quetzaltenango</t>
  </si>
  <si>
    <t xml:space="preserve">Punto de estudio </t>
  </si>
  <si>
    <t>Malacatan, San Marcos</t>
  </si>
  <si>
    <t>Olintepeque</t>
  </si>
  <si>
    <t>Retalhuleu</t>
  </si>
  <si>
    <t>LABOR OVALLE</t>
  </si>
  <si>
    <t>RETALHULEU</t>
  </si>
  <si>
    <t>Huehuetenango</t>
  </si>
  <si>
    <t>HUEHUETENANGO</t>
  </si>
  <si>
    <t>TR</t>
  </si>
  <si>
    <t xml:space="preserve">Datos </t>
  </si>
  <si>
    <t xml:space="preserve">Tiempo </t>
  </si>
  <si>
    <t>C11</t>
  </si>
  <si>
    <t>i11</t>
  </si>
  <si>
    <t>a%</t>
  </si>
  <si>
    <t>C10</t>
  </si>
  <si>
    <t>i10</t>
  </si>
  <si>
    <t>Estudio de caudales en Punto D</t>
  </si>
  <si>
    <t>C8</t>
  </si>
  <si>
    <t>i8</t>
  </si>
  <si>
    <t>C9</t>
  </si>
  <si>
    <t>i9</t>
  </si>
  <si>
    <t>Estudio de caudales en Punto C</t>
  </si>
  <si>
    <t>Estudio de caudales en Punto B</t>
  </si>
  <si>
    <t>Estudio de caudales en Punto A</t>
  </si>
  <si>
    <t>C6</t>
  </si>
  <si>
    <t>i6</t>
  </si>
  <si>
    <t>C7</t>
  </si>
  <si>
    <t>i7</t>
  </si>
  <si>
    <t xml:space="preserve"> </t>
  </si>
  <si>
    <t>C5</t>
  </si>
  <si>
    <t>i5</t>
  </si>
  <si>
    <t>C4</t>
  </si>
  <si>
    <t>i4</t>
  </si>
  <si>
    <t>C2</t>
  </si>
  <si>
    <t>i2</t>
  </si>
  <si>
    <t>C3</t>
  </si>
  <si>
    <t>i3</t>
  </si>
  <si>
    <t>Tiempo de Transporte en Cuenca 7 - Punto E a Punto C</t>
  </si>
  <si>
    <r>
      <t>Q</t>
    </r>
    <r>
      <rPr>
        <sz val="8"/>
        <color theme="1"/>
        <rFont val="Times New Roman"/>
        <family val="1"/>
      </rPr>
      <t>E</t>
    </r>
    <r>
      <rPr>
        <sz val="12"/>
        <color theme="1"/>
        <rFont val="Times New Roman"/>
        <family val="1"/>
      </rPr>
      <t>=</t>
    </r>
  </si>
  <si>
    <r>
      <t>A</t>
    </r>
    <r>
      <rPr>
        <sz val="8"/>
        <color theme="1"/>
        <rFont val="Times New Roman"/>
        <family val="1"/>
      </rPr>
      <t>rioE</t>
    </r>
    <r>
      <rPr>
        <sz val="12"/>
        <color theme="1"/>
        <rFont val="Times New Roman"/>
        <family val="1"/>
      </rPr>
      <t>=</t>
    </r>
  </si>
  <si>
    <t>Velocidad=</t>
  </si>
  <si>
    <t>Tiempo de Transporte=</t>
  </si>
  <si>
    <r>
      <t>Longitud</t>
    </r>
    <r>
      <rPr>
        <sz val="8"/>
        <color theme="1"/>
        <rFont val="Times New Roman"/>
        <family val="1"/>
      </rPr>
      <t>rioE</t>
    </r>
    <r>
      <rPr>
        <sz val="12"/>
        <color theme="1"/>
        <rFont val="Times New Roman"/>
        <family val="1"/>
      </rPr>
      <t>=</t>
    </r>
  </si>
  <si>
    <t>Metodo de Manning</t>
  </si>
  <si>
    <t>A=</t>
  </si>
  <si>
    <t>P=</t>
  </si>
  <si>
    <t>V=</t>
  </si>
  <si>
    <t>n=</t>
  </si>
  <si>
    <t>s=</t>
  </si>
  <si>
    <t>Qmax=</t>
  </si>
  <si>
    <t>Qmax</t>
  </si>
  <si>
    <t>&gt;</t>
  </si>
  <si>
    <r>
      <t>Q</t>
    </r>
    <r>
      <rPr>
        <sz val="8"/>
        <color theme="1"/>
        <rFont val="Times New Roman"/>
        <family val="1"/>
      </rPr>
      <t>E</t>
    </r>
  </si>
  <si>
    <t>Capacidad de Caudal en Punto de estudio</t>
  </si>
  <si>
    <t>Tiempo de Transporte en Cuenca 4 - Punto D a Punto B</t>
  </si>
  <si>
    <t>Tiempo de Transporte en Cuenca 5 - Punto C a Punto B</t>
  </si>
  <si>
    <r>
      <t>Q</t>
    </r>
    <r>
      <rPr>
        <sz val="8"/>
        <color theme="1"/>
        <rFont val="Times New Roman"/>
        <family val="1"/>
      </rPr>
      <t>B</t>
    </r>
    <r>
      <rPr>
        <sz val="12"/>
        <color theme="1"/>
        <rFont val="Times New Roman"/>
        <family val="1"/>
      </rPr>
      <t>=</t>
    </r>
  </si>
  <si>
    <r>
      <t>Q</t>
    </r>
    <r>
      <rPr>
        <sz val="8"/>
        <color theme="1"/>
        <rFont val="Times New Roman"/>
        <family val="1"/>
      </rPr>
      <t>D</t>
    </r>
    <r>
      <rPr>
        <sz val="12"/>
        <color theme="1"/>
        <rFont val="Times New Roman"/>
        <family val="1"/>
      </rPr>
      <t>=</t>
    </r>
  </si>
  <si>
    <r>
      <t>Q</t>
    </r>
    <r>
      <rPr>
        <sz val="8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>=</t>
    </r>
  </si>
  <si>
    <t>Tiempo de Transporte en Cuenca 3 - Punto B a Punto A</t>
  </si>
  <si>
    <t>Tiempo de Transporte en Cuenca 1 - Punto A a Punto de Estudio</t>
  </si>
  <si>
    <r>
      <t>Q</t>
    </r>
    <r>
      <rPr>
        <sz val="8"/>
        <color theme="1"/>
        <rFont val="Times New Roman"/>
        <family val="1"/>
      </rPr>
      <t>A</t>
    </r>
    <r>
      <rPr>
        <sz val="12"/>
        <color theme="1"/>
        <rFont val="Times New Roman"/>
        <family val="1"/>
      </rPr>
      <t>=</t>
    </r>
  </si>
  <si>
    <t>QC Total</t>
  </si>
  <si>
    <t>QC cuenca</t>
  </si>
  <si>
    <t>QE cuenca</t>
  </si>
  <si>
    <t>QDcuenca</t>
  </si>
  <si>
    <t>QBcuenca</t>
  </si>
  <si>
    <t>QBTotal</t>
  </si>
  <si>
    <t>QAcuenca</t>
  </si>
  <si>
    <t>QATotal</t>
  </si>
  <si>
    <t>Estudio de caudales en Punto de Estudio</t>
  </si>
  <si>
    <t>i1</t>
  </si>
  <si>
    <t>Q1 Cuenca</t>
  </si>
  <si>
    <t>QA</t>
  </si>
  <si>
    <t>Q Punto de Estudio</t>
  </si>
  <si>
    <r>
      <t>A</t>
    </r>
    <r>
      <rPr>
        <sz val="8"/>
        <color theme="1"/>
        <rFont val="Times New Roman"/>
        <family val="1"/>
      </rPr>
      <t>rioD</t>
    </r>
    <r>
      <rPr>
        <sz val="12"/>
        <color theme="1"/>
        <rFont val="Times New Roman"/>
        <family val="1"/>
      </rPr>
      <t>=</t>
    </r>
  </si>
  <si>
    <r>
      <t>Longitud</t>
    </r>
    <r>
      <rPr>
        <sz val="8"/>
        <color theme="1"/>
        <rFont val="Times New Roman"/>
        <family val="1"/>
      </rPr>
      <t>rioD</t>
    </r>
    <r>
      <rPr>
        <sz val="12"/>
        <color theme="1"/>
        <rFont val="Times New Roman"/>
        <family val="1"/>
      </rPr>
      <t>=</t>
    </r>
  </si>
  <si>
    <r>
      <t>A</t>
    </r>
    <r>
      <rPr>
        <sz val="8"/>
        <color theme="1"/>
        <rFont val="Times New Roman"/>
        <family val="1"/>
      </rPr>
      <t>rioC</t>
    </r>
    <r>
      <rPr>
        <sz val="12"/>
        <color theme="1"/>
        <rFont val="Times New Roman"/>
        <family val="1"/>
      </rPr>
      <t>=</t>
    </r>
  </si>
  <si>
    <r>
      <t>Longitud</t>
    </r>
    <r>
      <rPr>
        <sz val="8"/>
        <color theme="1"/>
        <rFont val="Times New Roman"/>
        <family val="1"/>
      </rPr>
      <t>rioC</t>
    </r>
    <r>
      <rPr>
        <sz val="12"/>
        <color theme="1"/>
        <rFont val="Times New Roman"/>
        <family val="1"/>
      </rPr>
      <t>=</t>
    </r>
  </si>
  <si>
    <r>
      <t>A</t>
    </r>
    <r>
      <rPr>
        <sz val="8"/>
        <color theme="1"/>
        <rFont val="Times New Roman"/>
        <family val="1"/>
      </rPr>
      <t>rioB</t>
    </r>
    <r>
      <rPr>
        <sz val="12"/>
        <color theme="1"/>
        <rFont val="Times New Roman"/>
        <family val="1"/>
      </rPr>
      <t>=</t>
    </r>
  </si>
  <si>
    <r>
      <t>Longitud</t>
    </r>
    <r>
      <rPr>
        <sz val="8"/>
        <color theme="1"/>
        <rFont val="Times New Roman"/>
        <family val="1"/>
      </rPr>
      <t>rioB</t>
    </r>
    <r>
      <rPr>
        <sz val="12"/>
        <color theme="1"/>
        <rFont val="Times New Roman"/>
        <family val="1"/>
      </rPr>
      <t>=</t>
    </r>
  </si>
  <si>
    <r>
      <t>A</t>
    </r>
    <r>
      <rPr>
        <sz val="8"/>
        <color theme="1"/>
        <rFont val="Times New Roman"/>
        <family val="1"/>
      </rPr>
      <t>rioA</t>
    </r>
    <r>
      <rPr>
        <sz val="12"/>
        <color theme="1"/>
        <rFont val="Times New Roman"/>
        <family val="1"/>
      </rPr>
      <t>=</t>
    </r>
  </si>
  <si>
    <r>
      <t>Longitud</t>
    </r>
    <r>
      <rPr>
        <sz val="8"/>
        <color theme="1"/>
        <rFont val="Times New Roman"/>
        <family val="1"/>
      </rPr>
      <t>rioA</t>
    </r>
    <r>
      <rPr>
        <sz val="12"/>
        <color theme="1"/>
        <rFont val="Times New Roman"/>
        <family val="1"/>
      </rPr>
      <t>=</t>
    </r>
  </si>
  <si>
    <t>El rio es incapaz de lidiar con el caudal de las cuencas, se inunda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</si>
</sst>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Q&quot;#,##0;[Red]\-&quot;Q&quot;#,##0"/>
    <numFmt numFmtId="164" formatCode="0.00\ &quot;km²&quot;"/>
    <numFmt numFmtId="165" formatCode="0.00\ &quot;Km&quot;"/>
    <numFmt numFmtId="166" formatCode="0.00\ &quot;m&quot;"/>
    <numFmt numFmtId="167" formatCode="0.00\ &quot;Km²&quot;"/>
    <numFmt numFmtId="168" formatCode="0.00\ &quot;m²&quot;"/>
    <numFmt numFmtId="169" formatCode="0.00\ &quot;%&quot;"/>
    <numFmt numFmtId="170" formatCode="0.00\ &quot;m/m&quot;"/>
    <numFmt numFmtId="171" formatCode="0.00\ &quot;min&quot;"/>
    <numFmt numFmtId="172" formatCode="0.00\ &quot;horas&quot;"/>
    <numFmt numFmtId="173" formatCode="0.00\ &quot;mm/hr&quot;"/>
    <numFmt numFmtId="174" formatCode="##0.00E+0\ &quot;m/s&quot;"/>
    <numFmt numFmtId="175" formatCode="0.00\ &quot;m³/s&quot;"/>
    <numFmt numFmtId="176" formatCode="0.00\ &quot;m/s&quot;"/>
    <numFmt numFmtId="177" formatCode="0.00\ &quot;s&quot;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0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1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8" xfId="0" applyNumberFormat="1" applyFont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170" fontId="1" fillId="0" borderId="3" xfId="0" applyNumberFormat="1" applyFont="1" applyBorder="1" applyAlignment="1">
      <alignment horizontal="center" vertical="center"/>
    </xf>
    <xf numFmtId="171" fontId="1" fillId="0" borderId="16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2" fontId="1" fillId="0" borderId="2" xfId="0" applyNumberFormat="1" applyFont="1" applyBorder="1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71" fontId="1" fillId="0" borderId="9" xfId="0" applyNumberFormat="1" applyFont="1" applyBorder="1" applyAlignment="1">
      <alignment horizontal="center" vertical="center"/>
    </xf>
    <xf numFmtId="171" fontId="1" fillId="0" borderId="10" xfId="0" applyNumberFormat="1" applyFont="1" applyBorder="1" applyAlignment="1">
      <alignment horizontal="center" vertical="center"/>
    </xf>
    <xf numFmtId="171" fontId="1" fillId="0" borderId="11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7" fontId="1" fillId="0" borderId="8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71" fontId="1" fillId="0" borderId="8" xfId="0" applyNumberFormat="1" applyFont="1" applyBorder="1" applyAlignment="1">
      <alignment horizontal="center" vertical="center"/>
    </xf>
    <xf numFmtId="171" fontId="1" fillId="0" borderId="0" xfId="0" applyNumberFormat="1" applyFont="1" applyBorder="1" applyAlignment="1">
      <alignment horizontal="center" vertical="center"/>
    </xf>
    <xf numFmtId="169" fontId="1" fillId="0" borderId="8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6" fontId="1" fillId="0" borderId="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4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7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174" fontId="1" fillId="0" borderId="10" xfId="0" applyNumberFormat="1" applyFont="1" applyBorder="1" applyAlignment="1">
      <alignment horizontal="center" vertical="center"/>
    </xf>
    <xf numFmtId="168" fontId="1" fillId="0" borderId="10" xfId="0" applyNumberFormat="1" applyFont="1" applyBorder="1" applyAlignment="1">
      <alignment horizontal="center" vertical="center"/>
    </xf>
    <xf numFmtId="175" fontId="1" fillId="0" borderId="1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6" fontId="1" fillId="0" borderId="31" xfId="0" applyNumberFormat="1" applyFont="1" applyBorder="1" applyAlignment="1">
      <alignment horizontal="center" vertical="center"/>
    </xf>
    <xf numFmtId="168" fontId="1" fillId="0" borderId="31" xfId="0" applyNumberFormat="1" applyFont="1" applyBorder="1" applyAlignment="1">
      <alignment horizontal="center" vertical="center"/>
    </xf>
    <xf numFmtId="170" fontId="1" fillId="0" borderId="31" xfId="0" applyNumberFormat="1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71" fontId="1" fillId="0" borderId="31" xfId="0" applyNumberFormat="1" applyFont="1" applyBorder="1" applyAlignment="1">
      <alignment horizontal="center" vertical="center"/>
    </xf>
    <xf numFmtId="173" fontId="1" fillId="0" borderId="31" xfId="0" applyNumberFormat="1" applyFont="1" applyBorder="1" applyAlignment="1">
      <alignment horizontal="center" vertical="center"/>
    </xf>
    <xf numFmtId="174" fontId="1" fillId="0" borderId="32" xfId="0" applyNumberFormat="1" applyFont="1" applyBorder="1" applyAlignment="1">
      <alignment horizontal="center" vertical="center"/>
    </xf>
    <xf numFmtId="166" fontId="1" fillId="0" borderId="32" xfId="0" applyNumberFormat="1" applyFont="1" applyBorder="1" applyAlignment="1">
      <alignment horizontal="center" vertical="center"/>
    </xf>
    <xf numFmtId="173" fontId="1" fillId="0" borderId="0" xfId="0" applyNumberFormat="1" applyFont="1" applyBorder="1" applyAlignment="1">
      <alignment horizontal="center" vertical="center"/>
    </xf>
    <xf numFmtId="174" fontId="1" fillId="0" borderId="0" xfId="0" applyNumberFormat="1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75" fontId="1" fillId="0" borderId="21" xfId="0" applyNumberFormat="1" applyFont="1" applyBorder="1" applyAlignment="1">
      <alignment horizontal="center" vertical="center"/>
    </xf>
    <xf numFmtId="175" fontId="1" fillId="0" borderId="23" xfId="0" applyNumberFormat="1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75" fontId="1" fillId="0" borderId="30" xfId="0" applyNumberFormat="1" applyFont="1" applyBorder="1" applyAlignment="1">
      <alignment horizontal="center" vertical="center"/>
    </xf>
    <xf numFmtId="175" fontId="1" fillId="0" borderId="35" xfId="0" applyNumberFormat="1" applyFont="1" applyBorder="1" applyAlignment="1">
      <alignment horizontal="center" vertical="center"/>
    </xf>
    <xf numFmtId="168" fontId="1" fillId="0" borderId="0" xfId="0" applyNumberFormat="1" applyFont="1" applyBorder="1" applyAlignment="1">
      <alignment horizontal="center" vertical="center"/>
    </xf>
    <xf numFmtId="175" fontId="1" fillId="0" borderId="0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6" fontId="1" fillId="0" borderId="37" xfId="0" applyNumberFormat="1" applyFont="1" applyBorder="1" applyAlignment="1">
      <alignment horizontal="center" vertical="center"/>
    </xf>
    <xf numFmtId="6" fontId="1" fillId="0" borderId="38" xfId="0" applyNumberFormat="1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74" fontId="1" fillId="0" borderId="5" xfId="0" applyNumberFormat="1" applyFont="1" applyBorder="1" applyAlignment="1">
      <alignment horizontal="center" vertical="center"/>
    </xf>
    <xf numFmtId="168" fontId="1" fillId="0" borderId="5" xfId="0" applyNumberFormat="1" applyFont="1" applyBorder="1" applyAlignment="1">
      <alignment horizontal="center" vertical="center"/>
    </xf>
    <xf numFmtId="175" fontId="1" fillId="0" borderId="5" xfId="0" applyNumberFormat="1" applyFont="1" applyBorder="1" applyAlignment="1">
      <alignment horizontal="center" vertical="center"/>
    </xf>
    <xf numFmtId="175" fontId="1" fillId="0" borderId="22" xfId="0" applyNumberFormat="1" applyFont="1" applyBorder="1" applyAlignment="1">
      <alignment horizontal="center" vertical="center"/>
    </xf>
    <xf numFmtId="175" fontId="1" fillId="0" borderId="34" xfId="0" applyNumberFormat="1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175" fontId="1" fillId="0" borderId="41" xfId="0" applyNumberFormat="1" applyFont="1" applyBorder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1" fontId="1" fillId="0" borderId="0" xfId="0" applyNumberFormat="1" applyFont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175" fontId="1" fillId="0" borderId="43" xfId="0" applyNumberFormat="1" applyFont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/>
    </xf>
    <xf numFmtId="171" fontId="1" fillId="0" borderId="0" xfId="0" applyNumberFormat="1" applyFont="1" applyBorder="1" applyAlignment="1">
      <alignment vertical="center"/>
    </xf>
    <xf numFmtId="173" fontId="1" fillId="0" borderId="0" xfId="0" applyNumberFormat="1" applyFont="1" applyBorder="1" applyAlignment="1">
      <alignment vertical="center"/>
    </xf>
    <xf numFmtId="174" fontId="1" fillId="0" borderId="0" xfId="0" applyNumberFormat="1" applyFont="1" applyBorder="1" applyAlignment="1">
      <alignment vertical="center"/>
    </xf>
    <xf numFmtId="2" fontId="1" fillId="0" borderId="21" xfId="0" applyNumberFormat="1" applyFont="1" applyBorder="1" applyAlignment="1">
      <alignment horizontal="center" vertical="center"/>
    </xf>
    <xf numFmtId="175" fontId="1" fillId="0" borderId="9" xfId="0" applyNumberFormat="1" applyFont="1" applyBorder="1" applyAlignment="1">
      <alignment horizontal="center" vertical="center"/>
    </xf>
    <xf numFmtId="175" fontId="1" fillId="0" borderId="1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6" fontId="1" fillId="0" borderId="8" xfId="0" applyNumberFormat="1" applyFont="1" applyBorder="1" applyAlignment="1">
      <alignment horizontal="center" vertical="center"/>
    </xf>
    <xf numFmtId="169" fontId="1" fillId="0" borderId="1" xfId="0" applyNumberFormat="1" applyFont="1" applyBorder="1" applyAlignment="1">
      <alignment horizontal="center" vertical="center"/>
    </xf>
    <xf numFmtId="170" fontId="1" fillId="0" borderId="1" xfId="0" applyNumberFormat="1" applyFont="1" applyBorder="1" applyAlignment="1">
      <alignment horizontal="center" vertical="center"/>
    </xf>
    <xf numFmtId="170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166" fontId="1" fillId="0" borderId="1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8" fontId="1" fillId="0" borderId="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2" fontId="1" fillId="0" borderId="0" xfId="0" applyNumberFormat="1" applyFont="1" applyBorder="1" applyAlignment="1">
      <alignment horizontal="center" vertical="center"/>
    </xf>
    <xf numFmtId="172" fontId="1" fillId="0" borderId="3" xfId="0" applyNumberFormat="1" applyFont="1" applyBorder="1" applyAlignment="1">
      <alignment horizontal="center" vertical="center"/>
    </xf>
    <xf numFmtId="171" fontId="1" fillId="0" borderId="0" xfId="0" applyNumberFormat="1" applyFont="1" applyBorder="1" applyAlignment="1">
      <alignment horizontal="center" vertical="center"/>
    </xf>
    <xf numFmtId="171" fontId="1" fillId="0" borderId="3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7" fontId="1" fillId="0" borderId="0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9" fontId="1" fillId="0" borderId="3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3" fontId="1" fillId="0" borderId="1" xfId="0" applyNumberFormat="1" applyFont="1" applyBorder="1" applyAlignment="1">
      <alignment horizontal="center" vertical="center"/>
    </xf>
    <xf numFmtId="173" fontId="1" fillId="0" borderId="8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1" fontId="1" fillId="0" borderId="1" xfId="0" applyNumberFormat="1" applyFont="1" applyBorder="1" applyAlignment="1">
      <alignment horizontal="center" vertical="center"/>
    </xf>
    <xf numFmtId="171" fontId="1" fillId="0" borderId="8" xfId="0" applyNumberFormat="1" applyFont="1" applyBorder="1" applyAlignment="1">
      <alignment horizontal="center" vertical="center"/>
    </xf>
    <xf numFmtId="174" fontId="1" fillId="0" borderId="10" xfId="0" applyNumberFormat="1" applyFont="1" applyBorder="1" applyAlignment="1">
      <alignment horizontal="center" vertical="center"/>
    </xf>
    <xf numFmtId="174" fontId="1" fillId="0" borderId="11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71" fontId="1" fillId="0" borderId="9" xfId="0" applyNumberFormat="1" applyFont="1" applyBorder="1" applyAlignment="1">
      <alignment horizontal="center" vertical="center"/>
    </xf>
    <xf numFmtId="171" fontId="1" fillId="0" borderId="10" xfId="0" applyNumberFormat="1" applyFont="1" applyBorder="1" applyAlignment="1">
      <alignment horizontal="center" vertical="center"/>
    </xf>
    <xf numFmtId="171" fontId="1" fillId="0" borderId="11" xfId="0" applyNumberFormat="1" applyFont="1" applyBorder="1" applyAlignment="1">
      <alignment horizontal="center" vertical="center"/>
    </xf>
    <xf numFmtId="171" fontId="1" fillId="0" borderId="24" xfId="0" applyNumberFormat="1" applyFont="1" applyBorder="1" applyAlignment="1">
      <alignment horizontal="center" vertical="center"/>
    </xf>
    <xf numFmtId="171" fontId="1" fillId="0" borderId="25" xfId="0" applyNumberFormat="1" applyFont="1" applyBorder="1" applyAlignment="1">
      <alignment horizontal="center" vertical="center"/>
    </xf>
    <xf numFmtId="171" fontId="1" fillId="0" borderId="26" xfId="0" applyNumberFormat="1" applyFont="1" applyBorder="1" applyAlignment="1">
      <alignment horizontal="center" vertical="center"/>
    </xf>
    <xf numFmtId="175" fontId="1" fillId="0" borderId="1" xfId="0" applyNumberFormat="1" applyFont="1" applyBorder="1" applyAlignment="1">
      <alignment horizontal="center" vertical="center"/>
    </xf>
    <xf numFmtId="175" fontId="1" fillId="0" borderId="1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view="pageLayout" zoomScaleNormal="100" workbookViewId="0">
      <selection activeCell="A21" sqref="A21"/>
    </sheetView>
  </sheetViews>
  <sheetFormatPr baseColWidth="10" defaultRowHeight="15.6" x14ac:dyDescent="0.3"/>
  <cols>
    <col min="1" max="16384" width="11.5546875" style="1"/>
  </cols>
  <sheetData>
    <row r="1" spans="1:7" ht="18" x14ac:dyDescent="0.3">
      <c r="A1" s="137" t="s">
        <v>0</v>
      </c>
      <c r="B1" s="138"/>
      <c r="C1" s="139"/>
      <c r="E1" s="137" t="s">
        <v>13</v>
      </c>
      <c r="F1" s="138"/>
      <c r="G1" s="139"/>
    </row>
    <row r="2" spans="1:7" x14ac:dyDescent="0.3">
      <c r="A2" s="140" t="s">
        <v>1</v>
      </c>
      <c r="B2" s="141"/>
      <c r="C2" s="142"/>
      <c r="E2" s="140" t="s">
        <v>1</v>
      </c>
      <c r="F2" s="141"/>
      <c r="G2" s="142"/>
    </row>
    <row r="3" spans="1:7" x14ac:dyDescent="0.3">
      <c r="A3" s="2" t="s">
        <v>2</v>
      </c>
      <c r="B3" s="3" t="s">
        <v>3</v>
      </c>
      <c r="C3" s="4" t="s">
        <v>4</v>
      </c>
      <c r="E3" s="2" t="s">
        <v>2</v>
      </c>
      <c r="F3" s="3" t="s">
        <v>3</v>
      </c>
      <c r="G3" s="4" t="s">
        <v>4</v>
      </c>
    </row>
    <row r="4" spans="1:7" x14ac:dyDescent="0.3">
      <c r="A4" s="2" t="s">
        <v>5</v>
      </c>
      <c r="B4" s="5">
        <v>0</v>
      </c>
      <c r="C4" s="6">
        <v>0.9</v>
      </c>
      <c r="E4" s="2" t="s">
        <v>5</v>
      </c>
      <c r="F4" s="5">
        <v>0</v>
      </c>
      <c r="G4" s="6">
        <v>0.9</v>
      </c>
    </row>
    <row r="5" spans="1:7" x14ac:dyDescent="0.3">
      <c r="A5" s="2" t="s">
        <v>6</v>
      </c>
      <c r="B5" s="5">
        <v>0.88</v>
      </c>
      <c r="C5" s="6">
        <v>0.8</v>
      </c>
      <c r="E5" s="2" t="s">
        <v>6</v>
      </c>
      <c r="F5" s="5">
        <v>0.9</v>
      </c>
      <c r="G5" s="6">
        <v>0.8</v>
      </c>
    </row>
    <row r="6" spans="1:7" x14ac:dyDescent="0.3">
      <c r="A6" s="2" t="s">
        <v>7</v>
      </c>
      <c r="B6" s="5">
        <v>0</v>
      </c>
      <c r="C6" s="6">
        <v>0.6</v>
      </c>
      <c r="E6" s="2" t="s">
        <v>7</v>
      </c>
      <c r="F6" s="5">
        <v>0</v>
      </c>
      <c r="G6" s="6">
        <v>0.6</v>
      </c>
    </row>
    <row r="7" spans="1:7" x14ac:dyDescent="0.3">
      <c r="A7" s="2" t="s">
        <v>10</v>
      </c>
      <c r="B7" s="5">
        <v>0</v>
      </c>
      <c r="C7" s="6">
        <v>0.4</v>
      </c>
      <c r="E7" s="2" t="s">
        <v>10</v>
      </c>
      <c r="F7" s="5">
        <v>0</v>
      </c>
      <c r="G7" s="6">
        <v>0.4</v>
      </c>
    </row>
    <row r="8" spans="1:7" x14ac:dyDescent="0.3">
      <c r="A8" s="2" t="s">
        <v>11</v>
      </c>
      <c r="B8" s="5">
        <v>1.55</v>
      </c>
      <c r="C8" s="6">
        <v>0.1</v>
      </c>
      <c r="E8" s="2" t="s">
        <v>11</v>
      </c>
      <c r="F8" s="5">
        <v>7.97</v>
      </c>
      <c r="G8" s="6">
        <v>0.1</v>
      </c>
    </row>
    <row r="9" spans="1:7" x14ac:dyDescent="0.3">
      <c r="A9" s="2" t="s">
        <v>8</v>
      </c>
      <c r="B9" s="5">
        <v>0</v>
      </c>
      <c r="C9" s="6">
        <v>0.05</v>
      </c>
      <c r="E9" s="2" t="s">
        <v>8</v>
      </c>
      <c r="F9" s="5">
        <v>0</v>
      </c>
      <c r="G9" s="6">
        <v>0.05</v>
      </c>
    </row>
    <row r="10" spans="1:7" x14ac:dyDescent="0.3">
      <c r="A10" s="2" t="s">
        <v>9</v>
      </c>
      <c r="B10" s="5">
        <v>0</v>
      </c>
      <c r="C10" s="6">
        <v>0.01</v>
      </c>
      <c r="E10" s="2" t="s">
        <v>9</v>
      </c>
      <c r="F10" s="5">
        <v>0</v>
      </c>
      <c r="G10" s="6">
        <v>0.01</v>
      </c>
    </row>
    <row r="11" spans="1:7" x14ac:dyDescent="0.3">
      <c r="A11" s="7"/>
      <c r="B11" s="8"/>
      <c r="C11" s="9"/>
      <c r="E11" s="7"/>
      <c r="F11" s="8"/>
      <c r="G11" s="9"/>
    </row>
    <row r="12" spans="1:7" x14ac:dyDescent="0.3">
      <c r="A12" s="140" t="s">
        <v>12</v>
      </c>
      <c r="B12" s="141"/>
      <c r="C12" s="10">
        <f>+SUM(B4:B10)</f>
        <v>2.4300000000000002</v>
      </c>
      <c r="E12" s="140" t="s">
        <v>12</v>
      </c>
      <c r="F12" s="141"/>
      <c r="G12" s="10">
        <f>+SUM(F4:F10)</f>
        <v>8.8699999999999992</v>
      </c>
    </row>
    <row r="13" spans="1:7" ht="16.2" thickBot="1" x14ac:dyDescent="0.35">
      <c r="A13" s="11" t="s">
        <v>84</v>
      </c>
      <c r="B13" s="143">
        <f>+(B4*C4+B5*C5+B6*C6+B7*C7+B8*C8+B9*C9+B10*C10)/C12</f>
        <v>0.3534979423868313</v>
      </c>
      <c r="C13" s="144"/>
      <c r="E13" s="11" t="s">
        <v>85</v>
      </c>
      <c r="F13" s="143">
        <f>+(F4*G4+F5*G5+F6*G6+F7*G7+F8*G8+F9*G9+F10*G10)/G12</f>
        <v>0.17102593010146563</v>
      </c>
      <c r="G13" s="144"/>
    </row>
    <row r="14" spans="1:7" ht="16.2" thickBot="1" x14ac:dyDescent="0.35"/>
    <row r="15" spans="1:7" ht="18" x14ac:dyDescent="0.3">
      <c r="A15" s="137" t="s">
        <v>14</v>
      </c>
      <c r="B15" s="138"/>
      <c r="C15" s="139"/>
      <c r="E15" s="137" t="s">
        <v>15</v>
      </c>
      <c r="F15" s="138"/>
      <c r="G15" s="139"/>
    </row>
    <row r="16" spans="1:7" x14ac:dyDescent="0.3">
      <c r="A16" s="140" t="s">
        <v>1</v>
      </c>
      <c r="B16" s="141"/>
      <c r="C16" s="142"/>
      <c r="E16" s="140" t="s">
        <v>1</v>
      </c>
      <c r="F16" s="141"/>
      <c r="G16" s="142"/>
    </row>
    <row r="17" spans="1:7" x14ac:dyDescent="0.3">
      <c r="A17" s="2" t="s">
        <v>2</v>
      </c>
      <c r="B17" s="3" t="s">
        <v>3</v>
      </c>
      <c r="C17" s="4" t="s">
        <v>4</v>
      </c>
      <c r="E17" s="2" t="s">
        <v>2</v>
      </c>
      <c r="F17" s="3" t="s">
        <v>3</v>
      </c>
      <c r="G17" s="4" t="s">
        <v>4</v>
      </c>
    </row>
    <row r="18" spans="1:7" x14ac:dyDescent="0.3">
      <c r="A18" s="2" t="s">
        <v>5</v>
      </c>
      <c r="B18" s="5">
        <v>0</v>
      </c>
      <c r="C18" s="6">
        <v>0.9</v>
      </c>
      <c r="E18" s="2" t="s">
        <v>5</v>
      </c>
      <c r="F18" s="5">
        <v>0</v>
      </c>
      <c r="G18" s="6">
        <v>0.9</v>
      </c>
    </row>
    <row r="19" spans="1:7" x14ac:dyDescent="0.3">
      <c r="A19" s="2" t="s">
        <v>6</v>
      </c>
      <c r="B19" s="5">
        <v>0</v>
      </c>
      <c r="C19" s="6">
        <v>0.8</v>
      </c>
      <c r="E19" s="2" t="s">
        <v>6</v>
      </c>
      <c r="F19" s="5">
        <v>0.15</v>
      </c>
      <c r="G19" s="6">
        <v>0.8</v>
      </c>
    </row>
    <row r="20" spans="1:7" x14ac:dyDescent="0.3">
      <c r="A20" s="2" t="s">
        <v>7</v>
      </c>
      <c r="B20" s="5">
        <v>0.03</v>
      </c>
      <c r="C20" s="6">
        <v>0.6</v>
      </c>
      <c r="E20" s="2" t="s">
        <v>7</v>
      </c>
      <c r="F20" s="5">
        <v>0.9</v>
      </c>
      <c r="G20" s="6">
        <v>0.6</v>
      </c>
    </row>
    <row r="21" spans="1:7" x14ac:dyDescent="0.3">
      <c r="A21" s="2" t="s">
        <v>10</v>
      </c>
      <c r="B21" s="5">
        <v>0</v>
      </c>
      <c r="C21" s="6">
        <v>0.4</v>
      </c>
      <c r="E21" s="2" t="s">
        <v>10</v>
      </c>
      <c r="F21" s="5">
        <v>0</v>
      </c>
      <c r="G21" s="6">
        <v>0.4</v>
      </c>
    </row>
    <row r="22" spans="1:7" x14ac:dyDescent="0.3">
      <c r="A22" s="2" t="s">
        <v>11</v>
      </c>
      <c r="B22" s="5">
        <v>0.47</v>
      </c>
      <c r="C22" s="6">
        <v>0.1</v>
      </c>
      <c r="E22" s="2" t="s">
        <v>11</v>
      </c>
      <c r="F22" s="5">
        <v>5.19</v>
      </c>
      <c r="G22" s="6">
        <v>0.1</v>
      </c>
    </row>
    <row r="23" spans="1:7" x14ac:dyDescent="0.3">
      <c r="A23" s="2" t="s">
        <v>8</v>
      </c>
      <c r="B23" s="5">
        <v>0</v>
      </c>
      <c r="C23" s="6">
        <v>0.05</v>
      </c>
      <c r="E23" s="2" t="s">
        <v>8</v>
      </c>
      <c r="F23" s="5">
        <v>0</v>
      </c>
      <c r="G23" s="6">
        <v>0.05</v>
      </c>
    </row>
    <row r="24" spans="1:7" x14ac:dyDescent="0.3">
      <c r="A24" s="2" t="s">
        <v>9</v>
      </c>
      <c r="B24" s="5">
        <v>0</v>
      </c>
      <c r="C24" s="6">
        <v>0.01</v>
      </c>
      <c r="E24" s="2" t="s">
        <v>9</v>
      </c>
      <c r="F24" s="5">
        <v>0</v>
      </c>
      <c r="G24" s="6">
        <v>0.01</v>
      </c>
    </row>
    <row r="25" spans="1:7" x14ac:dyDescent="0.3">
      <c r="A25" s="7"/>
      <c r="B25" s="8"/>
      <c r="C25" s="9"/>
      <c r="E25" s="7"/>
      <c r="F25" s="8"/>
      <c r="G25" s="9"/>
    </row>
    <row r="26" spans="1:7" x14ac:dyDescent="0.3">
      <c r="A26" s="140" t="s">
        <v>12</v>
      </c>
      <c r="B26" s="141"/>
      <c r="C26" s="10">
        <f>+SUM(B18:B24)</f>
        <v>0.5</v>
      </c>
      <c r="E26" s="140" t="s">
        <v>12</v>
      </c>
      <c r="F26" s="141"/>
      <c r="G26" s="10">
        <f>+SUM(F18:F24)</f>
        <v>6.24</v>
      </c>
    </row>
    <row r="27" spans="1:7" ht="16.2" thickBot="1" x14ac:dyDescent="0.35">
      <c r="A27" s="11" t="s">
        <v>86</v>
      </c>
      <c r="B27" s="143">
        <f>+(B18*C18+B19*C19+B20*C20+B21*C21+B22*C22+B23*C23+B24*C24)/C26</f>
        <v>0.13</v>
      </c>
      <c r="C27" s="144"/>
      <c r="E27" s="11" t="s">
        <v>87</v>
      </c>
      <c r="F27" s="143">
        <f>+(F18*G18+F19*G19+F20*G20+F21*G21+F22*G22+F23*G23+F24*G24)/G26</f>
        <v>0.18894230769230769</v>
      </c>
      <c r="G27" s="144"/>
    </row>
    <row r="28" spans="1:7" ht="16.2" thickBot="1" x14ac:dyDescent="0.35"/>
    <row r="29" spans="1:7" ht="18" x14ac:dyDescent="0.3">
      <c r="A29" s="137" t="s">
        <v>16</v>
      </c>
      <c r="B29" s="138"/>
      <c r="C29" s="139"/>
      <c r="E29" s="137" t="s">
        <v>17</v>
      </c>
      <c r="F29" s="138"/>
      <c r="G29" s="139"/>
    </row>
    <row r="30" spans="1:7" x14ac:dyDescent="0.3">
      <c r="A30" s="140" t="s">
        <v>1</v>
      </c>
      <c r="B30" s="141"/>
      <c r="C30" s="142"/>
      <c r="E30" s="140" t="s">
        <v>1</v>
      </c>
      <c r="F30" s="141"/>
      <c r="G30" s="142"/>
    </row>
    <row r="31" spans="1:7" x14ac:dyDescent="0.3">
      <c r="A31" s="2" t="s">
        <v>2</v>
      </c>
      <c r="B31" s="3" t="s">
        <v>3</v>
      </c>
      <c r="C31" s="4" t="s">
        <v>4</v>
      </c>
      <c r="E31" s="2" t="s">
        <v>2</v>
      </c>
      <c r="F31" s="3" t="s">
        <v>3</v>
      </c>
      <c r="G31" s="4" t="s">
        <v>4</v>
      </c>
    </row>
    <row r="32" spans="1:7" x14ac:dyDescent="0.3">
      <c r="A32" s="2" t="s">
        <v>5</v>
      </c>
      <c r="B32" s="5">
        <v>0</v>
      </c>
      <c r="C32" s="6">
        <v>0.9</v>
      </c>
      <c r="E32" s="2" t="s">
        <v>5</v>
      </c>
      <c r="F32" s="5">
        <v>0</v>
      </c>
      <c r="G32" s="6">
        <v>0.9</v>
      </c>
    </row>
    <row r="33" spans="1:7" x14ac:dyDescent="0.3">
      <c r="A33" s="2" t="s">
        <v>6</v>
      </c>
      <c r="B33" s="5">
        <v>0</v>
      </c>
      <c r="C33" s="6">
        <v>0.8</v>
      </c>
      <c r="E33" s="2" t="s">
        <v>6</v>
      </c>
      <c r="F33" s="5">
        <v>0</v>
      </c>
      <c r="G33" s="6">
        <v>0.8</v>
      </c>
    </row>
    <row r="34" spans="1:7" x14ac:dyDescent="0.3">
      <c r="A34" s="2" t="s">
        <v>7</v>
      </c>
      <c r="B34" s="5">
        <v>0.25</v>
      </c>
      <c r="C34" s="6">
        <v>0.6</v>
      </c>
      <c r="E34" s="2" t="s">
        <v>7</v>
      </c>
      <c r="F34" s="5">
        <v>0.64</v>
      </c>
      <c r="G34" s="6">
        <v>0.6</v>
      </c>
    </row>
    <row r="35" spans="1:7" x14ac:dyDescent="0.3">
      <c r="A35" s="2" t="s">
        <v>10</v>
      </c>
      <c r="B35" s="5">
        <v>0</v>
      </c>
      <c r="C35" s="6">
        <v>0.4</v>
      </c>
      <c r="E35" s="2" t="s">
        <v>10</v>
      </c>
      <c r="F35" s="5">
        <v>0</v>
      </c>
      <c r="G35" s="6">
        <v>0.4</v>
      </c>
    </row>
    <row r="36" spans="1:7" x14ac:dyDescent="0.3">
      <c r="A36" s="2" t="s">
        <v>11</v>
      </c>
      <c r="B36" s="5">
        <v>1.88</v>
      </c>
      <c r="C36" s="6">
        <v>0.1</v>
      </c>
      <c r="E36" s="2" t="s">
        <v>11</v>
      </c>
      <c r="F36" s="5">
        <v>12.96</v>
      </c>
      <c r="G36" s="6">
        <v>0.1</v>
      </c>
    </row>
    <row r="37" spans="1:7" x14ac:dyDescent="0.3">
      <c r="A37" s="2" t="s">
        <v>8</v>
      </c>
      <c r="B37" s="5">
        <v>0</v>
      </c>
      <c r="C37" s="6">
        <v>0.05</v>
      </c>
      <c r="E37" s="2" t="s">
        <v>8</v>
      </c>
      <c r="F37" s="5">
        <v>0</v>
      </c>
      <c r="G37" s="6">
        <v>0.05</v>
      </c>
    </row>
    <row r="38" spans="1:7" x14ac:dyDescent="0.3">
      <c r="A38" s="2" t="s">
        <v>9</v>
      </c>
      <c r="B38" s="5">
        <v>0</v>
      </c>
      <c r="C38" s="6">
        <v>0.01</v>
      </c>
      <c r="E38" s="2" t="s">
        <v>9</v>
      </c>
      <c r="F38" s="5">
        <v>0</v>
      </c>
      <c r="G38" s="6">
        <v>0.01</v>
      </c>
    </row>
    <row r="39" spans="1:7" x14ac:dyDescent="0.3">
      <c r="A39" s="7"/>
      <c r="B39" s="8"/>
      <c r="C39" s="9"/>
      <c r="E39" s="7"/>
      <c r="F39" s="8"/>
      <c r="G39" s="9"/>
    </row>
    <row r="40" spans="1:7" x14ac:dyDescent="0.3">
      <c r="A40" s="140" t="s">
        <v>12</v>
      </c>
      <c r="B40" s="141"/>
      <c r="C40" s="10">
        <f>+SUM(B32:B38)</f>
        <v>2.13</v>
      </c>
      <c r="E40" s="140" t="s">
        <v>12</v>
      </c>
      <c r="F40" s="141"/>
      <c r="G40" s="10">
        <f>+SUM(F32:F38)</f>
        <v>13.600000000000001</v>
      </c>
    </row>
    <row r="41" spans="1:7" ht="16.2" thickBot="1" x14ac:dyDescent="0.35">
      <c r="A41" s="11" t="s">
        <v>88</v>
      </c>
      <c r="B41" s="143">
        <f>+(B32*C32+B33*C33+B34*C34+B35*C35+B36*C36+B37*C37+B38*C38)/C40</f>
        <v>0.15868544600938966</v>
      </c>
      <c r="C41" s="144"/>
      <c r="E41" s="11" t="s">
        <v>89</v>
      </c>
      <c r="F41" s="143">
        <f>+(F32*G32+F33*G33+F34*G34+F35*G35+F36*G36+F37*G37+F38*G38)/G40</f>
        <v>0.12352941176470589</v>
      </c>
      <c r="G41" s="144"/>
    </row>
    <row r="42" spans="1:7" ht="16.2" thickBot="1" x14ac:dyDescent="0.35">
      <c r="A42" s="8"/>
      <c r="B42" s="13"/>
      <c r="C42" s="13"/>
      <c r="D42" s="8"/>
      <c r="E42" s="8"/>
      <c r="F42" s="13"/>
      <c r="G42" s="13"/>
    </row>
    <row r="43" spans="1:7" ht="18" x14ac:dyDescent="0.3">
      <c r="A43" s="137" t="s">
        <v>18</v>
      </c>
      <c r="B43" s="138"/>
      <c r="C43" s="139"/>
      <c r="E43" s="137" t="s">
        <v>19</v>
      </c>
      <c r="F43" s="138"/>
      <c r="G43" s="139"/>
    </row>
    <row r="44" spans="1:7" x14ac:dyDescent="0.3">
      <c r="A44" s="140" t="s">
        <v>1</v>
      </c>
      <c r="B44" s="141"/>
      <c r="C44" s="142"/>
      <c r="E44" s="140" t="s">
        <v>1</v>
      </c>
      <c r="F44" s="141"/>
      <c r="G44" s="142"/>
    </row>
    <row r="45" spans="1:7" x14ac:dyDescent="0.3">
      <c r="A45" s="2" t="s">
        <v>2</v>
      </c>
      <c r="B45" s="3" t="s">
        <v>3</v>
      </c>
      <c r="C45" s="4" t="s">
        <v>4</v>
      </c>
      <c r="E45" s="2" t="s">
        <v>2</v>
      </c>
      <c r="F45" s="3" t="s">
        <v>3</v>
      </c>
      <c r="G45" s="4" t="s">
        <v>4</v>
      </c>
    </row>
    <row r="46" spans="1:7" x14ac:dyDescent="0.3">
      <c r="A46" s="2" t="s">
        <v>5</v>
      </c>
      <c r="B46" s="5">
        <v>0</v>
      </c>
      <c r="C46" s="6">
        <v>0.9</v>
      </c>
      <c r="E46" s="2" t="s">
        <v>5</v>
      </c>
      <c r="F46" s="5">
        <v>0</v>
      </c>
      <c r="G46" s="6">
        <v>0.9</v>
      </c>
    </row>
    <row r="47" spans="1:7" x14ac:dyDescent="0.3">
      <c r="A47" s="2" t="s">
        <v>6</v>
      </c>
      <c r="B47" s="5">
        <v>0</v>
      </c>
      <c r="C47" s="6">
        <v>0.8</v>
      </c>
      <c r="E47" s="2" t="s">
        <v>6</v>
      </c>
      <c r="F47" s="5">
        <v>0</v>
      </c>
      <c r="G47" s="6">
        <v>0.8</v>
      </c>
    </row>
    <row r="48" spans="1:7" x14ac:dyDescent="0.3">
      <c r="A48" s="2" t="s">
        <v>7</v>
      </c>
      <c r="B48" s="5">
        <v>1</v>
      </c>
      <c r="C48" s="6">
        <v>0.6</v>
      </c>
      <c r="E48" s="2" t="s">
        <v>7</v>
      </c>
      <c r="F48" s="5">
        <v>1</v>
      </c>
      <c r="G48" s="6">
        <v>0.6</v>
      </c>
    </row>
    <row r="49" spans="1:7" x14ac:dyDescent="0.3">
      <c r="A49" s="2" t="s">
        <v>10</v>
      </c>
      <c r="B49" s="5">
        <v>0</v>
      </c>
      <c r="C49" s="6">
        <v>0.4</v>
      </c>
      <c r="E49" s="2" t="s">
        <v>10</v>
      </c>
      <c r="F49" s="5">
        <v>0</v>
      </c>
      <c r="G49" s="6">
        <v>0.4</v>
      </c>
    </row>
    <row r="50" spans="1:7" x14ac:dyDescent="0.3">
      <c r="A50" s="2" t="s">
        <v>11</v>
      </c>
      <c r="B50" s="5">
        <v>29.6</v>
      </c>
      <c r="C50" s="6">
        <v>0.1</v>
      </c>
      <c r="E50" s="2" t="s">
        <v>11</v>
      </c>
      <c r="F50" s="5">
        <v>106.5</v>
      </c>
      <c r="G50" s="6">
        <v>0.1</v>
      </c>
    </row>
    <row r="51" spans="1:7" x14ac:dyDescent="0.3">
      <c r="A51" s="2" t="s">
        <v>8</v>
      </c>
      <c r="B51" s="5">
        <v>0</v>
      </c>
      <c r="C51" s="6">
        <v>0.05</v>
      </c>
      <c r="E51" s="2" t="s">
        <v>8</v>
      </c>
      <c r="F51" s="5">
        <v>1.5</v>
      </c>
      <c r="G51" s="6">
        <v>0.05</v>
      </c>
    </row>
    <row r="52" spans="1:7" x14ac:dyDescent="0.3">
      <c r="A52" s="2" t="s">
        <v>9</v>
      </c>
      <c r="B52" s="5">
        <v>0</v>
      </c>
      <c r="C52" s="6">
        <v>0.01</v>
      </c>
      <c r="E52" s="2" t="s">
        <v>9</v>
      </c>
      <c r="F52" s="5">
        <v>0</v>
      </c>
      <c r="G52" s="6">
        <v>0.01</v>
      </c>
    </row>
    <row r="53" spans="1:7" x14ac:dyDescent="0.3">
      <c r="A53" s="7"/>
      <c r="B53" s="30"/>
      <c r="C53" s="31"/>
      <c r="E53" s="7"/>
      <c r="F53" s="30"/>
      <c r="G53" s="31"/>
    </row>
    <row r="54" spans="1:7" x14ac:dyDescent="0.3">
      <c r="A54" s="140" t="s">
        <v>12</v>
      </c>
      <c r="B54" s="141"/>
      <c r="C54" s="10">
        <f>+SUM(B46:B52)</f>
        <v>30.6</v>
      </c>
      <c r="E54" s="140" t="s">
        <v>12</v>
      </c>
      <c r="F54" s="141"/>
      <c r="G54" s="10">
        <f>+SUM(F46:F52)</f>
        <v>109</v>
      </c>
    </row>
    <row r="55" spans="1:7" ht="16.2" thickBot="1" x14ac:dyDescent="0.35">
      <c r="A55" s="16" t="s">
        <v>90</v>
      </c>
      <c r="B55" s="143">
        <f>+(B46*C46+B47*C47+B48*C48+B49*C49+B50*C50+B51*C51+B52*C52)/C54</f>
        <v>0.11633986928104577</v>
      </c>
      <c r="C55" s="144"/>
      <c r="E55" s="16" t="s">
        <v>91</v>
      </c>
      <c r="F55" s="143">
        <f>+(F46*G46+F47*G47+F48*G48+F49*G49+F50*G50+F51*G51+F52*G52)/G54</f>
        <v>0.10389908256880734</v>
      </c>
      <c r="G55" s="144"/>
    </row>
    <row r="56" spans="1:7" ht="16.2" thickBot="1" x14ac:dyDescent="0.35"/>
    <row r="57" spans="1:7" ht="18" x14ac:dyDescent="0.3">
      <c r="A57" s="137" t="s">
        <v>20</v>
      </c>
      <c r="B57" s="138"/>
      <c r="C57" s="139"/>
      <c r="E57" s="137" t="s">
        <v>60</v>
      </c>
      <c r="F57" s="138"/>
      <c r="G57" s="139"/>
    </row>
    <row r="58" spans="1:7" x14ac:dyDescent="0.3">
      <c r="A58" s="140" t="s">
        <v>1</v>
      </c>
      <c r="B58" s="141"/>
      <c r="C58" s="142"/>
      <c r="E58" s="140" t="s">
        <v>1</v>
      </c>
      <c r="F58" s="141"/>
      <c r="G58" s="142"/>
    </row>
    <row r="59" spans="1:7" x14ac:dyDescent="0.3">
      <c r="A59" s="2" t="s">
        <v>2</v>
      </c>
      <c r="B59" s="3" t="s">
        <v>3</v>
      </c>
      <c r="C59" s="4" t="s">
        <v>4</v>
      </c>
      <c r="E59" s="2" t="s">
        <v>2</v>
      </c>
      <c r="F59" s="3" t="s">
        <v>3</v>
      </c>
      <c r="G59" s="4" t="s">
        <v>4</v>
      </c>
    </row>
    <row r="60" spans="1:7" x14ac:dyDescent="0.3">
      <c r="A60" s="2" t="s">
        <v>5</v>
      </c>
      <c r="B60" s="5">
        <v>0</v>
      </c>
      <c r="C60" s="6">
        <v>0.9</v>
      </c>
      <c r="E60" s="2" t="s">
        <v>5</v>
      </c>
      <c r="F60" s="5">
        <v>0</v>
      </c>
      <c r="G60" s="6">
        <v>0.9</v>
      </c>
    </row>
    <row r="61" spans="1:7" x14ac:dyDescent="0.3">
      <c r="A61" s="2" t="s">
        <v>6</v>
      </c>
      <c r="B61" s="5">
        <v>0.8</v>
      </c>
      <c r="C61" s="6">
        <v>0.8</v>
      </c>
      <c r="E61" s="2" t="s">
        <v>6</v>
      </c>
      <c r="F61" s="5">
        <v>0</v>
      </c>
      <c r="G61" s="6">
        <v>0.8</v>
      </c>
    </row>
    <row r="62" spans="1:7" x14ac:dyDescent="0.3">
      <c r="A62" s="2" t="s">
        <v>7</v>
      </c>
      <c r="B62" s="5">
        <v>0</v>
      </c>
      <c r="C62" s="6">
        <v>0.6</v>
      </c>
      <c r="E62" s="2" t="s">
        <v>7</v>
      </c>
      <c r="F62" s="5">
        <v>0.1</v>
      </c>
      <c r="G62" s="6">
        <v>0.6</v>
      </c>
    </row>
    <row r="63" spans="1:7" x14ac:dyDescent="0.3">
      <c r="A63" s="2" t="s">
        <v>10</v>
      </c>
      <c r="B63" s="5">
        <v>0</v>
      </c>
      <c r="C63" s="6">
        <v>0.4</v>
      </c>
      <c r="E63" s="2" t="s">
        <v>10</v>
      </c>
      <c r="F63" s="5">
        <v>0</v>
      </c>
      <c r="G63" s="6">
        <v>0.4</v>
      </c>
    </row>
    <row r="64" spans="1:7" x14ac:dyDescent="0.3">
      <c r="A64" s="2" t="s">
        <v>11</v>
      </c>
      <c r="B64" s="5">
        <v>22.4</v>
      </c>
      <c r="C64" s="6">
        <v>0.1</v>
      </c>
      <c r="E64" s="2" t="s">
        <v>11</v>
      </c>
      <c r="F64" s="5">
        <v>8.35</v>
      </c>
      <c r="G64" s="6">
        <v>0.1</v>
      </c>
    </row>
    <row r="65" spans="1:7" x14ac:dyDescent="0.3">
      <c r="A65" s="2" t="s">
        <v>8</v>
      </c>
      <c r="B65" s="5">
        <v>0</v>
      </c>
      <c r="C65" s="6">
        <v>0.05</v>
      </c>
      <c r="E65" s="2" t="s">
        <v>8</v>
      </c>
      <c r="F65" s="5">
        <v>0</v>
      </c>
      <c r="G65" s="6">
        <v>0.05</v>
      </c>
    </row>
    <row r="66" spans="1:7" x14ac:dyDescent="0.3">
      <c r="A66" s="2" t="s">
        <v>9</v>
      </c>
      <c r="B66" s="5">
        <v>0</v>
      </c>
      <c r="C66" s="6">
        <v>0.01</v>
      </c>
      <c r="E66" s="2" t="s">
        <v>9</v>
      </c>
      <c r="F66" s="5">
        <v>0</v>
      </c>
      <c r="G66" s="6">
        <v>0.01</v>
      </c>
    </row>
    <row r="67" spans="1:7" x14ac:dyDescent="0.3">
      <c r="A67" s="7"/>
      <c r="B67" s="8"/>
      <c r="C67" s="9"/>
      <c r="E67" s="7"/>
      <c r="F67" s="8"/>
      <c r="G67" s="9"/>
    </row>
    <row r="68" spans="1:7" x14ac:dyDescent="0.3">
      <c r="A68" s="140" t="s">
        <v>12</v>
      </c>
      <c r="B68" s="141"/>
      <c r="C68" s="10">
        <f>+SUM(B60:B66)</f>
        <v>23.2</v>
      </c>
      <c r="E68" s="140" t="s">
        <v>12</v>
      </c>
      <c r="F68" s="141"/>
      <c r="G68" s="10">
        <f>+SUM(F60:F66)</f>
        <v>8.4499999999999993</v>
      </c>
    </row>
    <row r="69" spans="1:7" ht="16.2" thickBot="1" x14ac:dyDescent="0.35">
      <c r="A69" s="11" t="s">
        <v>92</v>
      </c>
      <c r="B69" s="143">
        <f>+(B60*C60+B61*C61+B62*C62+B63*C63+B64*C64+B65*C65+B66*C66)/C68</f>
        <v>0.12413793103448276</v>
      </c>
      <c r="C69" s="144"/>
      <c r="E69" s="11" t="s">
        <v>93</v>
      </c>
      <c r="F69" s="143">
        <f>+(F60*G60+F61*G61+F62*G62+F63*G63+F64*G64+F65*G65+F66*G66)/G68</f>
        <v>0.10591715976331362</v>
      </c>
      <c r="G69" s="144"/>
    </row>
    <row r="70" spans="1:7" ht="16.2" thickBot="1" x14ac:dyDescent="0.35">
      <c r="A70" s="8"/>
      <c r="B70" s="12"/>
    </row>
    <row r="71" spans="1:7" ht="18" x14ac:dyDescent="0.3">
      <c r="C71" s="137" t="s">
        <v>63</v>
      </c>
      <c r="D71" s="138"/>
      <c r="E71" s="139"/>
    </row>
    <row r="72" spans="1:7" x14ac:dyDescent="0.3">
      <c r="C72" s="140" t="s">
        <v>1</v>
      </c>
      <c r="D72" s="141"/>
      <c r="E72" s="142"/>
    </row>
    <row r="73" spans="1:7" x14ac:dyDescent="0.3">
      <c r="C73" s="2" t="s">
        <v>2</v>
      </c>
      <c r="D73" s="3" t="s">
        <v>3</v>
      </c>
      <c r="E73" s="4" t="s">
        <v>4</v>
      </c>
    </row>
    <row r="74" spans="1:7" x14ac:dyDescent="0.3">
      <c r="C74" s="2" t="s">
        <v>5</v>
      </c>
      <c r="D74" s="5">
        <v>0</v>
      </c>
      <c r="E74" s="6">
        <v>0.9</v>
      </c>
    </row>
    <row r="75" spans="1:7" x14ac:dyDescent="0.3">
      <c r="C75" s="2" t="s">
        <v>6</v>
      </c>
      <c r="D75" s="5">
        <v>0</v>
      </c>
      <c r="E75" s="6">
        <v>0.8</v>
      </c>
    </row>
    <row r="76" spans="1:7" x14ac:dyDescent="0.3">
      <c r="C76" s="2" t="s">
        <v>7</v>
      </c>
      <c r="D76" s="5">
        <v>0.2</v>
      </c>
      <c r="E76" s="6">
        <v>0.6</v>
      </c>
    </row>
    <row r="77" spans="1:7" x14ac:dyDescent="0.3">
      <c r="C77" s="2" t="s">
        <v>10</v>
      </c>
      <c r="D77" s="5">
        <v>0</v>
      </c>
      <c r="E77" s="6">
        <v>0.4</v>
      </c>
    </row>
    <row r="78" spans="1:7" x14ac:dyDescent="0.3">
      <c r="C78" s="2" t="s">
        <v>11</v>
      </c>
      <c r="D78" s="5">
        <v>11.8</v>
      </c>
      <c r="E78" s="6">
        <v>0.1</v>
      </c>
    </row>
    <row r="79" spans="1:7" x14ac:dyDescent="0.3">
      <c r="C79" s="2" t="s">
        <v>8</v>
      </c>
      <c r="D79" s="5">
        <v>0</v>
      </c>
      <c r="E79" s="6">
        <v>0.05</v>
      </c>
    </row>
    <row r="80" spans="1:7" x14ac:dyDescent="0.3">
      <c r="C80" s="2" t="s">
        <v>9</v>
      </c>
      <c r="D80" s="5">
        <v>0</v>
      </c>
      <c r="E80" s="6">
        <v>0.01</v>
      </c>
    </row>
    <row r="81" spans="3:5" x14ac:dyDescent="0.3">
      <c r="C81" s="7"/>
      <c r="D81" s="8"/>
      <c r="E81" s="9"/>
    </row>
    <row r="82" spans="3:5" x14ac:dyDescent="0.3">
      <c r="C82" s="140" t="s">
        <v>12</v>
      </c>
      <c r="D82" s="141"/>
      <c r="E82" s="10">
        <f>+SUM(D74:D80)</f>
        <v>12</v>
      </c>
    </row>
    <row r="83" spans="3:5" ht="16.2" thickBot="1" x14ac:dyDescent="0.35">
      <c r="C83" s="11" t="s">
        <v>94</v>
      </c>
      <c r="D83" s="143">
        <f>+(D74*E74+D75*E75+D76*E76+D77*E77+D78*E78+D79*E79+D80*E80)/E82</f>
        <v>0.10833333333333335</v>
      </c>
      <c r="E83" s="144"/>
    </row>
    <row r="84" spans="3:5" x14ac:dyDescent="0.3">
      <c r="C84" s="8"/>
    </row>
  </sheetData>
  <mergeCells count="44">
    <mergeCell ref="C71:E71"/>
    <mergeCell ref="C72:E72"/>
    <mergeCell ref="C82:D82"/>
    <mergeCell ref="D83:E83"/>
    <mergeCell ref="A2:C2"/>
    <mergeCell ref="A15:C15"/>
    <mergeCell ref="A16:C16"/>
    <mergeCell ref="A26:B26"/>
    <mergeCell ref="B27:C27"/>
    <mergeCell ref="E15:G15"/>
    <mergeCell ref="E16:G16"/>
    <mergeCell ref="E26:F26"/>
    <mergeCell ref="F27:G27"/>
    <mergeCell ref="E58:G58"/>
    <mergeCell ref="E68:F68"/>
    <mergeCell ref="F69:G69"/>
    <mergeCell ref="A1:C1"/>
    <mergeCell ref="A12:B12"/>
    <mergeCell ref="B13:C13"/>
    <mergeCell ref="E1:G1"/>
    <mergeCell ref="E2:G2"/>
    <mergeCell ref="E12:F12"/>
    <mergeCell ref="F13:G13"/>
    <mergeCell ref="A29:C29"/>
    <mergeCell ref="A30:C30"/>
    <mergeCell ref="A40:B40"/>
    <mergeCell ref="B41:C41"/>
    <mergeCell ref="E29:G29"/>
    <mergeCell ref="E30:G30"/>
    <mergeCell ref="E40:F40"/>
    <mergeCell ref="F41:G41"/>
    <mergeCell ref="E43:G43"/>
    <mergeCell ref="E44:G44"/>
    <mergeCell ref="E54:F54"/>
    <mergeCell ref="F55:G55"/>
    <mergeCell ref="E57:G57"/>
    <mergeCell ref="A57:C57"/>
    <mergeCell ref="A58:C58"/>
    <mergeCell ref="A68:B68"/>
    <mergeCell ref="B69:C69"/>
    <mergeCell ref="A43:C43"/>
    <mergeCell ref="A44:C44"/>
    <mergeCell ref="A54:B54"/>
    <mergeCell ref="B55:C55"/>
  </mergeCells>
  <pageMargins left="0.7" right="0.7" top="0.75" bottom="0.75" header="0.3" footer="0.3"/>
  <pageSetup orientation="portrait" r:id="rId1"/>
  <headerFooter>
    <oddHeader>&amp;LCentro Universitario de Occidente&amp;CHidrología&amp;RUso de Suelo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1"/>
  <sheetViews>
    <sheetView view="pageLayout" topLeftCell="A5" zoomScaleNormal="100" workbookViewId="0">
      <selection activeCell="E30" sqref="E30:F30"/>
    </sheetView>
  </sheetViews>
  <sheetFormatPr baseColWidth="10" defaultRowHeight="15.6" x14ac:dyDescent="0.3"/>
  <cols>
    <col min="1" max="4" width="11.5546875" style="1"/>
    <col min="5" max="5" width="13.21875" style="1" bestFit="1" customWidth="1"/>
    <col min="6" max="16384" width="11.5546875" style="1"/>
  </cols>
  <sheetData>
    <row r="1" spans="1:12" ht="18" x14ac:dyDescent="0.3">
      <c r="A1" s="137" t="s">
        <v>0</v>
      </c>
      <c r="B1" s="138"/>
      <c r="C1" s="138"/>
      <c r="D1" s="138"/>
      <c r="E1" s="138"/>
      <c r="F1" s="139"/>
      <c r="H1" s="159" t="s">
        <v>64</v>
      </c>
      <c r="I1" s="160"/>
      <c r="K1" s="159" t="s">
        <v>75</v>
      </c>
      <c r="L1" s="160"/>
    </row>
    <row r="2" spans="1:12" x14ac:dyDescent="0.3">
      <c r="A2" s="140" t="s">
        <v>21</v>
      </c>
      <c r="B2" s="141"/>
      <c r="C2" s="141" t="s">
        <v>26</v>
      </c>
      <c r="D2" s="141"/>
      <c r="E2" s="141"/>
      <c r="F2" s="142"/>
      <c r="H2" s="7" t="s">
        <v>29</v>
      </c>
      <c r="I2" s="9">
        <v>2.5</v>
      </c>
      <c r="K2" s="7" t="s">
        <v>29</v>
      </c>
      <c r="L2" s="9">
        <v>6.2</v>
      </c>
    </row>
    <row r="3" spans="1:12" x14ac:dyDescent="0.3">
      <c r="A3" s="140" t="s">
        <v>25</v>
      </c>
      <c r="B3" s="141"/>
      <c r="C3" s="155">
        <v>2.5</v>
      </c>
      <c r="D3" s="155"/>
      <c r="E3" s="146">
        <f>+C3*1000</f>
        <v>2500</v>
      </c>
      <c r="F3" s="147"/>
      <c r="H3" s="7" t="s">
        <v>30</v>
      </c>
      <c r="I3" s="9">
        <v>2.4300000000000002</v>
      </c>
      <c r="K3" s="7" t="s">
        <v>30</v>
      </c>
      <c r="L3" s="9">
        <v>8.8699999999999992</v>
      </c>
    </row>
    <row r="4" spans="1:12" x14ac:dyDescent="0.3">
      <c r="A4" s="140" t="s">
        <v>3</v>
      </c>
      <c r="B4" s="141"/>
      <c r="C4" s="156">
        <v>2.4300000000000002</v>
      </c>
      <c r="D4" s="156"/>
      <c r="E4" s="157">
        <f>+C4*(1000)^2</f>
        <v>2430000</v>
      </c>
      <c r="F4" s="158"/>
      <c r="H4" s="7" t="s">
        <v>31</v>
      </c>
      <c r="I4" s="9">
        <v>509</v>
      </c>
      <c r="K4" s="7" t="s">
        <v>31</v>
      </c>
      <c r="L4" s="9">
        <v>861</v>
      </c>
    </row>
    <row r="5" spans="1:12" ht="16.2" thickBot="1" x14ac:dyDescent="0.35">
      <c r="A5" s="140" t="s">
        <v>22</v>
      </c>
      <c r="B5" s="141"/>
      <c r="C5" s="146">
        <v>509</v>
      </c>
      <c r="D5" s="146"/>
      <c r="E5" s="146"/>
      <c r="F5" s="147"/>
      <c r="H5" s="14" t="s">
        <v>32</v>
      </c>
      <c r="I5" s="15">
        <v>449</v>
      </c>
      <c r="K5" s="14" t="s">
        <v>32</v>
      </c>
      <c r="L5" s="15">
        <v>509</v>
      </c>
    </row>
    <row r="6" spans="1:12" ht="16.2" thickBot="1" x14ac:dyDescent="0.35">
      <c r="A6" s="140" t="s">
        <v>23</v>
      </c>
      <c r="B6" s="141"/>
      <c r="C6" s="146">
        <v>449</v>
      </c>
      <c r="D6" s="146"/>
      <c r="E6" s="146"/>
      <c r="F6" s="147"/>
    </row>
    <row r="7" spans="1:12" x14ac:dyDescent="0.3">
      <c r="A7" s="140" t="s">
        <v>27</v>
      </c>
      <c r="B7" s="141"/>
      <c r="C7" s="148">
        <f>+((C5-C6)/E3)*100</f>
        <v>2.4</v>
      </c>
      <c r="D7" s="148"/>
      <c r="E7" s="149">
        <f>+(C5-C6)/E3</f>
        <v>2.4E-2</v>
      </c>
      <c r="F7" s="150"/>
      <c r="H7" s="159" t="s">
        <v>76</v>
      </c>
      <c r="I7" s="160"/>
      <c r="K7" s="159" t="s">
        <v>77</v>
      </c>
      <c r="L7" s="160"/>
    </row>
    <row r="8" spans="1:12" ht="16.2" thickBot="1" x14ac:dyDescent="0.35">
      <c r="A8" s="151" t="s">
        <v>24</v>
      </c>
      <c r="B8" s="152"/>
      <c r="C8" s="153">
        <f>+C5-C6</f>
        <v>60</v>
      </c>
      <c r="D8" s="153"/>
      <c r="E8" s="153"/>
      <c r="F8" s="154"/>
      <c r="H8" s="7" t="s">
        <v>29</v>
      </c>
      <c r="I8" s="9">
        <v>0.71</v>
      </c>
      <c r="K8" s="7" t="s">
        <v>29</v>
      </c>
      <c r="L8" s="9">
        <v>5.27</v>
      </c>
    </row>
    <row r="9" spans="1:12" ht="16.2" thickBot="1" x14ac:dyDescent="0.35">
      <c r="H9" s="7" t="s">
        <v>30</v>
      </c>
      <c r="I9" s="9">
        <v>0.5</v>
      </c>
      <c r="K9" s="7" t="s">
        <v>30</v>
      </c>
      <c r="L9" s="9">
        <v>6.24</v>
      </c>
    </row>
    <row r="10" spans="1:12" ht="18" x14ac:dyDescent="0.3">
      <c r="A10" s="137" t="s">
        <v>13</v>
      </c>
      <c r="B10" s="138"/>
      <c r="C10" s="138"/>
      <c r="D10" s="138"/>
      <c r="E10" s="138"/>
      <c r="F10" s="139"/>
      <c r="H10" s="7" t="s">
        <v>31</v>
      </c>
      <c r="I10" s="9">
        <v>542</v>
      </c>
      <c r="K10" s="7" t="s">
        <v>31</v>
      </c>
      <c r="L10" s="9">
        <v>731</v>
      </c>
    </row>
    <row r="11" spans="1:12" ht="16.2" thickBot="1" x14ac:dyDescent="0.35">
      <c r="A11" s="140" t="s">
        <v>21</v>
      </c>
      <c r="B11" s="141"/>
      <c r="C11" s="141" t="s">
        <v>26</v>
      </c>
      <c r="D11" s="141"/>
      <c r="E11" s="141"/>
      <c r="F11" s="142"/>
      <c r="H11" s="14" t="s">
        <v>32</v>
      </c>
      <c r="I11" s="15">
        <v>509</v>
      </c>
      <c r="K11" s="14" t="s">
        <v>32</v>
      </c>
      <c r="L11" s="15">
        <v>542</v>
      </c>
    </row>
    <row r="12" spans="1:12" ht="16.2" thickBot="1" x14ac:dyDescent="0.35">
      <c r="A12" s="140" t="s">
        <v>25</v>
      </c>
      <c r="B12" s="141"/>
      <c r="C12" s="155">
        <v>6.27</v>
      </c>
      <c r="D12" s="155"/>
      <c r="E12" s="146">
        <f>+C12*1000</f>
        <v>6270</v>
      </c>
      <c r="F12" s="147"/>
    </row>
    <row r="13" spans="1:12" x14ac:dyDescent="0.3">
      <c r="A13" s="140" t="s">
        <v>3</v>
      </c>
      <c r="B13" s="141"/>
      <c r="C13" s="156">
        <v>8.8699999999999992</v>
      </c>
      <c r="D13" s="156"/>
      <c r="E13" s="157">
        <f>+C13*(1000)^2</f>
        <v>8870000</v>
      </c>
      <c r="F13" s="158"/>
      <c r="H13" s="159" t="s">
        <v>78</v>
      </c>
      <c r="I13" s="160"/>
      <c r="K13" s="159" t="s">
        <v>79</v>
      </c>
      <c r="L13" s="160"/>
    </row>
    <row r="14" spans="1:12" x14ac:dyDescent="0.3">
      <c r="A14" s="140" t="s">
        <v>22</v>
      </c>
      <c r="B14" s="141"/>
      <c r="C14" s="146">
        <v>861</v>
      </c>
      <c r="D14" s="146"/>
      <c r="E14" s="146"/>
      <c r="F14" s="147"/>
      <c r="H14" s="7" t="s">
        <v>29</v>
      </c>
      <c r="I14" s="9">
        <v>2</v>
      </c>
      <c r="K14" s="7" t="s">
        <v>29</v>
      </c>
      <c r="L14" s="9">
        <v>5.75</v>
      </c>
    </row>
    <row r="15" spans="1:12" x14ac:dyDescent="0.3">
      <c r="A15" s="140" t="s">
        <v>23</v>
      </c>
      <c r="B15" s="141"/>
      <c r="C15" s="146">
        <v>509</v>
      </c>
      <c r="D15" s="146"/>
      <c r="E15" s="146"/>
      <c r="F15" s="147"/>
      <c r="H15" s="7" t="s">
        <v>30</v>
      </c>
      <c r="I15" s="9">
        <v>2.13</v>
      </c>
      <c r="K15" s="7" t="s">
        <v>30</v>
      </c>
      <c r="L15" s="9">
        <v>13.6</v>
      </c>
    </row>
    <row r="16" spans="1:12" x14ac:dyDescent="0.3">
      <c r="A16" s="140" t="s">
        <v>27</v>
      </c>
      <c r="B16" s="141"/>
      <c r="C16" s="148">
        <f>+((C14-C15)/E12)*100</f>
        <v>5.6140350877192979</v>
      </c>
      <c r="D16" s="148"/>
      <c r="E16" s="149">
        <f>+(C14-C15)/E12</f>
        <v>5.6140350877192984E-2</v>
      </c>
      <c r="F16" s="150"/>
      <c r="H16" s="7" t="s">
        <v>31</v>
      </c>
      <c r="I16" s="9">
        <v>595</v>
      </c>
      <c r="K16" s="7" t="s">
        <v>31</v>
      </c>
      <c r="L16" s="9">
        <v>1155</v>
      </c>
    </row>
    <row r="17" spans="1:12" ht="16.2" thickBot="1" x14ac:dyDescent="0.35">
      <c r="A17" s="151" t="s">
        <v>24</v>
      </c>
      <c r="B17" s="152"/>
      <c r="C17" s="153">
        <f>+C14-C15</f>
        <v>352</v>
      </c>
      <c r="D17" s="153"/>
      <c r="E17" s="153"/>
      <c r="F17" s="154"/>
      <c r="H17" s="14" t="s">
        <v>32</v>
      </c>
      <c r="I17" s="15">
        <v>544</v>
      </c>
      <c r="K17" s="14" t="s">
        <v>32</v>
      </c>
      <c r="L17" s="15">
        <v>595</v>
      </c>
    </row>
    <row r="18" spans="1:12" ht="16.2" thickBot="1" x14ac:dyDescent="0.35"/>
    <row r="19" spans="1:12" ht="18" x14ac:dyDescent="0.3">
      <c r="A19" s="137" t="s">
        <v>14</v>
      </c>
      <c r="B19" s="138"/>
      <c r="C19" s="138"/>
      <c r="D19" s="138"/>
      <c r="E19" s="138"/>
      <c r="F19" s="139"/>
      <c r="H19" s="159" t="s">
        <v>70</v>
      </c>
      <c r="I19" s="160"/>
      <c r="K19" s="159" t="s">
        <v>71</v>
      </c>
      <c r="L19" s="160"/>
    </row>
    <row r="20" spans="1:12" x14ac:dyDescent="0.3">
      <c r="A20" s="140" t="s">
        <v>21</v>
      </c>
      <c r="B20" s="141"/>
      <c r="C20" s="141" t="s">
        <v>26</v>
      </c>
      <c r="D20" s="141"/>
      <c r="E20" s="141"/>
      <c r="F20" s="142"/>
      <c r="H20" s="7" t="s">
        <v>29</v>
      </c>
      <c r="I20" s="9">
        <v>13.2</v>
      </c>
      <c r="K20" s="7" t="s">
        <v>29</v>
      </c>
      <c r="L20" s="9">
        <v>23.5</v>
      </c>
    </row>
    <row r="21" spans="1:12" x14ac:dyDescent="0.3">
      <c r="A21" s="140" t="s">
        <v>25</v>
      </c>
      <c r="B21" s="141"/>
      <c r="C21" s="155">
        <v>0.71</v>
      </c>
      <c r="D21" s="155"/>
      <c r="E21" s="146">
        <f>+C21*1000</f>
        <v>710</v>
      </c>
      <c r="F21" s="147"/>
      <c r="H21" s="7" t="s">
        <v>30</v>
      </c>
      <c r="I21" s="9">
        <v>30.6</v>
      </c>
      <c r="K21" s="7" t="s">
        <v>30</v>
      </c>
      <c r="L21" s="9">
        <v>109</v>
      </c>
    </row>
    <row r="22" spans="1:12" x14ac:dyDescent="0.3">
      <c r="A22" s="140" t="s">
        <v>3</v>
      </c>
      <c r="B22" s="141"/>
      <c r="C22" s="156">
        <v>0.5</v>
      </c>
      <c r="D22" s="156"/>
      <c r="E22" s="157">
        <f>+C22*(1000)^2</f>
        <v>500000</v>
      </c>
      <c r="F22" s="158"/>
      <c r="H22" s="7" t="s">
        <v>31</v>
      </c>
      <c r="I22" s="9">
        <v>1406</v>
      </c>
      <c r="K22" s="7" t="s">
        <v>31</v>
      </c>
      <c r="L22" s="9">
        <v>2310</v>
      </c>
    </row>
    <row r="23" spans="1:12" ht="16.2" thickBot="1" x14ac:dyDescent="0.35">
      <c r="A23" s="140" t="s">
        <v>22</v>
      </c>
      <c r="B23" s="141"/>
      <c r="C23" s="146">
        <v>542</v>
      </c>
      <c r="D23" s="146"/>
      <c r="E23" s="146"/>
      <c r="F23" s="147"/>
      <c r="H23" s="14" t="s">
        <v>32</v>
      </c>
      <c r="I23" s="15">
        <v>596</v>
      </c>
      <c r="K23" s="14" t="s">
        <v>32</v>
      </c>
      <c r="L23" s="15">
        <v>733</v>
      </c>
    </row>
    <row r="24" spans="1:12" ht="16.2" thickBot="1" x14ac:dyDescent="0.35">
      <c r="A24" s="140" t="s">
        <v>23</v>
      </c>
      <c r="B24" s="141"/>
      <c r="C24" s="146">
        <v>509</v>
      </c>
      <c r="D24" s="146"/>
      <c r="E24" s="146"/>
      <c r="F24" s="147"/>
    </row>
    <row r="25" spans="1:12" x14ac:dyDescent="0.3">
      <c r="A25" s="140" t="s">
        <v>27</v>
      </c>
      <c r="B25" s="141"/>
      <c r="C25" s="148">
        <f>+((C23-C24)/E21)*100</f>
        <v>4.647887323943662</v>
      </c>
      <c r="D25" s="148"/>
      <c r="E25" s="149">
        <f>+(C23-C24)/E21</f>
        <v>4.647887323943662E-2</v>
      </c>
      <c r="F25" s="150"/>
      <c r="H25" s="159" t="s">
        <v>72</v>
      </c>
      <c r="I25" s="160"/>
      <c r="K25" s="159" t="s">
        <v>73</v>
      </c>
      <c r="L25" s="160"/>
    </row>
    <row r="26" spans="1:12" ht="16.2" thickBot="1" x14ac:dyDescent="0.35">
      <c r="A26" s="151" t="s">
        <v>24</v>
      </c>
      <c r="B26" s="152"/>
      <c r="C26" s="153">
        <f>+C23-C24</f>
        <v>33</v>
      </c>
      <c r="D26" s="153"/>
      <c r="E26" s="153"/>
      <c r="F26" s="154"/>
      <c r="H26" s="7" t="s">
        <v>29</v>
      </c>
      <c r="I26" s="9">
        <v>8.34</v>
      </c>
      <c r="K26" s="7" t="s">
        <v>29</v>
      </c>
      <c r="L26" s="9">
        <v>3.76</v>
      </c>
    </row>
    <row r="27" spans="1:12" ht="16.2" thickBot="1" x14ac:dyDescent="0.35">
      <c r="H27" s="7" t="s">
        <v>30</v>
      </c>
      <c r="I27" s="9">
        <v>23.2</v>
      </c>
      <c r="K27" s="7" t="s">
        <v>30</v>
      </c>
      <c r="L27" s="9">
        <v>12.4</v>
      </c>
    </row>
    <row r="28" spans="1:12" ht="18" x14ac:dyDescent="0.3">
      <c r="A28" s="137" t="s">
        <v>15</v>
      </c>
      <c r="B28" s="138"/>
      <c r="C28" s="138"/>
      <c r="D28" s="138"/>
      <c r="E28" s="138"/>
      <c r="F28" s="139"/>
      <c r="H28" s="7" t="s">
        <v>31</v>
      </c>
      <c r="I28" s="9">
        <v>1569</v>
      </c>
      <c r="K28" s="7" t="s">
        <v>31</v>
      </c>
      <c r="L28" s="9">
        <v>1885</v>
      </c>
    </row>
    <row r="29" spans="1:12" ht="16.2" thickBot="1" x14ac:dyDescent="0.35">
      <c r="A29" s="140" t="s">
        <v>21</v>
      </c>
      <c r="B29" s="141"/>
      <c r="C29" s="141" t="s">
        <v>26</v>
      </c>
      <c r="D29" s="141"/>
      <c r="E29" s="141"/>
      <c r="F29" s="142"/>
      <c r="H29" s="14" t="s">
        <v>32</v>
      </c>
      <c r="I29" s="15">
        <v>733</v>
      </c>
      <c r="K29" s="14" t="s">
        <v>32</v>
      </c>
      <c r="L29" s="15">
        <v>1408</v>
      </c>
    </row>
    <row r="30" spans="1:12" ht="16.2" thickBot="1" x14ac:dyDescent="0.35">
      <c r="A30" s="140" t="s">
        <v>25</v>
      </c>
      <c r="B30" s="141"/>
      <c r="C30" s="155">
        <v>5.27</v>
      </c>
      <c r="D30" s="155"/>
      <c r="E30" s="146">
        <f>+C30*1000</f>
        <v>5270</v>
      </c>
      <c r="F30" s="147"/>
    </row>
    <row r="31" spans="1:12" x14ac:dyDescent="0.3">
      <c r="A31" s="140" t="s">
        <v>3</v>
      </c>
      <c r="B31" s="141"/>
      <c r="C31" s="156">
        <v>6.24</v>
      </c>
      <c r="D31" s="156"/>
      <c r="E31" s="157">
        <f>+C31*(1000)^2</f>
        <v>6240000</v>
      </c>
      <c r="F31" s="158"/>
      <c r="H31" s="159" t="s">
        <v>74</v>
      </c>
      <c r="I31" s="160"/>
    </row>
    <row r="32" spans="1:12" x14ac:dyDescent="0.3">
      <c r="A32" s="140" t="s">
        <v>22</v>
      </c>
      <c r="B32" s="141"/>
      <c r="C32" s="146">
        <v>732</v>
      </c>
      <c r="D32" s="146"/>
      <c r="E32" s="146"/>
      <c r="F32" s="147"/>
      <c r="H32" s="7" t="s">
        <v>29</v>
      </c>
      <c r="I32" s="9">
        <v>3.56</v>
      </c>
    </row>
    <row r="33" spans="1:9" x14ac:dyDescent="0.3">
      <c r="A33" s="140" t="s">
        <v>23</v>
      </c>
      <c r="B33" s="141"/>
      <c r="C33" s="146">
        <v>542</v>
      </c>
      <c r="D33" s="146"/>
      <c r="E33" s="146"/>
      <c r="F33" s="147"/>
      <c r="H33" s="7" t="s">
        <v>30</v>
      </c>
      <c r="I33" s="9">
        <v>8.4499999999999993</v>
      </c>
    </row>
    <row r="34" spans="1:9" x14ac:dyDescent="0.3">
      <c r="A34" s="140" t="s">
        <v>27</v>
      </c>
      <c r="B34" s="141"/>
      <c r="C34" s="148">
        <f>+((C32-C33)/E30)*100</f>
        <v>3.6053130929791273</v>
      </c>
      <c r="D34" s="148"/>
      <c r="E34" s="149">
        <f>+(C32-C33)/E30</f>
        <v>3.6053130929791274E-2</v>
      </c>
      <c r="F34" s="150"/>
      <c r="H34" s="7" t="s">
        <v>31</v>
      </c>
      <c r="I34" s="9">
        <v>2014</v>
      </c>
    </row>
    <row r="35" spans="1:9" ht="16.2" thickBot="1" x14ac:dyDescent="0.35">
      <c r="A35" s="151" t="s">
        <v>24</v>
      </c>
      <c r="B35" s="152"/>
      <c r="C35" s="153">
        <f>+C32-C33</f>
        <v>190</v>
      </c>
      <c r="D35" s="153"/>
      <c r="E35" s="153"/>
      <c r="F35" s="154"/>
      <c r="H35" s="14" t="s">
        <v>32</v>
      </c>
      <c r="I35" s="15">
        <v>1408</v>
      </c>
    </row>
    <row r="36" spans="1:9" x14ac:dyDescent="0.3">
      <c r="A36" s="8"/>
      <c r="B36" s="8"/>
      <c r="C36" s="19"/>
      <c r="D36" s="19"/>
      <c r="E36" s="19"/>
      <c r="F36" s="19"/>
      <c r="H36" s="8"/>
      <c r="I36" s="8"/>
    </row>
    <row r="37" spans="1:9" x14ac:dyDescent="0.3">
      <c r="A37" s="8"/>
      <c r="B37" s="8"/>
      <c r="C37" s="19"/>
      <c r="D37" s="19"/>
      <c r="E37" s="19"/>
      <c r="F37" s="19"/>
      <c r="H37" s="8"/>
      <c r="I37" s="8"/>
    </row>
    <row r="38" spans="1:9" x14ac:dyDescent="0.3">
      <c r="A38" s="8"/>
      <c r="B38" s="8"/>
      <c r="C38" s="19"/>
      <c r="D38" s="19"/>
      <c r="E38" s="19"/>
      <c r="F38" s="19"/>
      <c r="H38" s="8"/>
      <c r="I38" s="8"/>
    </row>
    <row r="39" spans="1:9" x14ac:dyDescent="0.3">
      <c r="A39" s="8"/>
      <c r="B39" s="8"/>
      <c r="C39" s="19"/>
      <c r="D39" s="19"/>
      <c r="E39" s="19"/>
      <c r="F39" s="19"/>
      <c r="H39" s="8"/>
      <c r="I39" s="8"/>
    </row>
    <row r="40" spans="1:9" x14ac:dyDescent="0.3">
      <c r="A40" s="8"/>
      <c r="B40" s="8"/>
      <c r="C40" s="19"/>
      <c r="D40" s="19"/>
      <c r="E40" s="19"/>
      <c r="F40" s="19"/>
      <c r="H40" s="8"/>
      <c r="I40" s="8"/>
    </row>
    <row r="41" spans="1:9" x14ac:dyDescent="0.3">
      <c r="A41" s="8"/>
      <c r="B41" s="8"/>
      <c r="C41" s="19"/>
      <c r="D41" s="19"/>
      <c r="E41" s="19"/>
      <c r="F41" s="19"/>
      <c r="H41" s="8"/>
      <c r="I41" s="8"/>
    </row>
    <row r="42" spans="1:9" ht="16.2" thickBot="1" x14ac:dyDescent="0.35"/>
    <row r="43" spans="1:9" ht="18" x14ac:dyDescent="0.3">
      <c r="A43" s="137" t="s">
        <v>16</v>
      </c>
      <c r="B43" s="138"/>
      <c r="C43" s="138"/>
      <c r="D43" s="138"/>
      <c r="E43" s="138"/>
      <c r="F43" s="139"/>
    </row>
    <row r="44" spans="1:9" x14ac:dyDescent="0.3">
      <c r="A44" s="140" t="s">
        <v>21</v>
      </c>
      <c r="B44" s="141"/>
      <c r="C44" s="141" t="s">
        <v>26</v>
      </c>
      <c r="D44" s="141"/>
      <c r="E44" s="141"/>
      <c r="F44" s="142"/>
    </row>
    <row r="45" spans="1:9" x14ac:dyDescent="0.3">
      <c r="A45" s="140" t="s">
        <v>25</v>
      </c>
      <c r="B45" s="141"/>
      <c r="C45" s="155">
        <v>2</v>
      </c>
      <c r="D45" s="155"/>
      <c r="E45" s="146">
        <f>+C45*1000</f>
        <v>2000</v>
      </c>
      <c r="F45" s="147"/>
    </row>
    <row r="46" spans="1:9" x14ac:dyDescent="0.3">
      <c r="A46" s="140" t="s">
        <v>3</v>
      </c>
      <c r="B46" s="141"/>
      <c r="C46" s="156">
        <v>2.13</v>
      </c>
      <c r="D46" s="156"/>
      <c r="E46" s="157">
        <f>+C46*(1000)^2</f>
        <v>2130000</v>
      </c>
      <c r="F46" s="158"/>
    </row>
    <row r="47" spans="1:9" x14ac:dyDescent="0.3">
      <c r="A47" s="140" t="s">
        <v>22</v>
      </c>
      <c r="B47" s="141"/>
      <c r="C47" s="146">
        <v>595</v>
      </c>
      <c r="D47" s="146"/>
      <c r="E47" s="146"/>
      <c r="F47" s="147"/>
    </row>
    <row r="48" spans="1:9" x14ac:dyDescent="0.3">
      <c r="A48" s="140" t="s">
        <v>23</v>
      </c>
      <c r="B48" s="141"/>
      <c r="C48" s="146">
        <v>542</v>
      </c>
      <c r="D48" s="146"/>
      <c r="E48" s="146"/>
      <c r="F48" s="147"/>
    </row>
    <row r="49" spans="1:6" x14ac:dyDescent="0.3">
      <c r="A49" s="140" t="s">
        <v>27</v>
      </c>
      <c r="B49" s="141"/>
      <c r="C49" s="148">
        <f>+((C47-C48)/E45)*100</f>
        <v>2.65</v>
      </c>
      <c r="D49" s="148"/>
      <c r="E49" s="149">
        <f>+(C47-C48)/E45</f>
        <v>2.6499999999999999E-2</v>
      </c>
      <c r="F49" s="150"/>
    </row>
    <row r="50" spans="1:6" ht="16.2" thickBot="1" x14ac:dyDescent="0.35">
      <c r="A50" s="151" t="s">
        <v>24</v>
      </c>
      <c r="B50" s="152"/>
      <c r="C50" s="153">
        <f>+C47-C48</f>
        <v>53</v>
      </c>
      <c r="D50" s="153"/>
      <c r="E50" s="153"/>
      <c r="F50" s="154"/>
    </row>
    <row r="51" spans="1:6" ht="16.2" thickBot="1" x14ac:dyDescent="0.35"/>
    <row r="52" spans="1:6" ht="18" x14ac:dyDescent="0.3">
      <c r="A52" s="137" t="s">
        <v>17</v>
      </c>
      <c r="B52" s="138"/>
      <c r="C52" s="138"/>
      <c r="D52" s="138"/>
      <c r="E52" s="138"/>
      <c r="F52" s="139"/>
    </row>
    <row r="53" spans="1:6" x14ac:dyDescent="0.3">
      <c r="A53" s="140" t="s">
        <v>21</v>
      </c>
      <c r="B53" s="141"/>
      <c r="C53" s="141" t="s">
        <v>26</v>
      </c>
      <c r="D53" s="141"/>
      <c r="E53" s="141"/>
      <c r="F53" s="142"/>
    </row>
    <row r="54" spans="1:6" x14ac:dyDescent="0.3">
      <c r="A54" s="140" t="s">
        <v>25</v>
      </c>
      <c r="B54" s="141"/>
      <c r="C54" s="155">
        <v>5.75</v>
      </c>
      <c r="D54" s="155"/>
      <c r="E54" s="146">
        <f>+C54*1000</f>
        <v>5750</v>
      </c>
      <c r="F54" s="147"/>
    </row>
    <row r="55" spans="1:6" x14ac:dyDescent="0.3">
      <c r="A55" s="140" t="s">
        <v>3</v>
      </c>
      <c r="B55" s="141"/>
      <c r="C55" s="156">
        <v>13.6</v>
      </c>
      <c r="D55" s="156"/>
      <c r="E55" s="157">
        <f>+C55*(1000)^2</f>
        <v>13600000</v>
      </c>
      <c r="F55" s="158"/>
    </row>
    <row r="56" spans="1:6" x14ac:dyDescent="0.3">
      <c r="A56" s="140" t="s">
        <v>22</v>
      </c>
      <c r="B56" s="141"/>
      <c r="C56" s="146">
        <v>1155</v>
      </c>
      <c r="D56" s="146"/>
      <c r="E56" s="146"/>
      <c r="F56" s="147"/>
    </row>
    <row r="57" spans="1:6" x14ac:dyDescent="0.3">
      <c r="A57" s="140" t="s">
        <v>23</v>
      </c>
      <c r="B57" s="141"/>
      <c r="C57" s="146">
        <v>595</v>
      </c>
      <c r="D57" s="146"/>
      <c r="E57" s="146"/>
      <c r="F57" s="147"/>
    </row>
    <row r="58" spans="1:6" x14ac:dyDescent="0.3">
      <c r="A58" s="140" t="s">
        <v>27</v>
      </c>
      <c r="B58" s="141"/>
      <c r="C58" s="148">
        <f>+((C56-C57)/E54)*100</f>
        <v>9.7391304347826093</v>
      </c>
      <c r="D58" s="148"/>
      <c r="E58" s="149">
        <f>+(C56-C57)/E54</f>
        <v>9.7391304347826085E-2</v>
      </c>
      <c r="F58" s="150"/>
    </row>
    <row r="59" spans="1:6" ht="16.2" thickBot="1" x14ac:dyDescent="0.35">
      <c r="A59" s="151" t="s">
        <v>24</v>
      </c>
      <c r="B59" s="152"/>
      <c r="C59" s="153">
        <f>+C56-C57</f>
        <v>560</v>
      </c>
      <c r="D59" s="153"/>
      <c r="E59" s="153"/>
      <c r="F59" s="154"/>
    </row>
    <row r="60" spans="1:6" ht="16.2" thickBot="1" x14ac:dyDescent="0.35"/>
    <row r="61" spans="1:6" ht="18" x14ac:dyDescent="0.3">
      <c r="A61" s="137" t="s">
        <v>18</v>
      </c>
      <c r="B61" s="138"/>
      <c r="C61" s="138"/>
      <c r="D61" s="138"/>
      <c r="E61" s="138"/>
      <c r="F61" s="139"/>
    </row>
    <row r="62" spans="1:6" x14ac:dyDescent="0.3">
      <c r="A62" s="140" t="s">
        <v>21</v>
      </c>
      <c r="B62" s="141"/>
      <c r="C62" s="141" t="s">
        <v>26</v>
      </c>
      <c r="D62" s="141"/>
      <c r="E62" s="141"/>
      <c r="F62" s="142"/>
    </row>
    <row r="63" spans="1:6" x14ac:dyDescent="0.3">
      <c r="A63" s="140" t="s">
        <v>25</v>
      </c>
      <c r="B63" s="141"/>
      <c r="C63" s="155">
        <v>13.2</v>
      </c>
      <c r="D63" s="155"/>
      <c r="E63" s="146">
        <f>+C63*1000</f>
        <v>13200</v>
      </c>
      <c r="F63" s="147"/>
    </row>
    <row r="64" spans="1:6" x14ac:dyDescent="0.3">
      <c r="A64" s="140" t="s">
        <v>3</v>
      </c>
      <c r="B64" s="141"/>
      <c r="C64" s="156">
        <v>30.6</v>
      </c>
      <c r="D64" s="156"/>
      <c r="E64" s="157">
        <f>+C64*(1000)^2</f>
        <v>30600000</v>
      </c>
      <c r="F64" s="158"/>
    </row>
    <row r="65" spans="1:6" x14ac:dyDescent="0.3">
      <c r="A65" s="140" t="s">
        <v>22</v>
      </c>
      <c r="B65" s="141"/>
      <c r="C65" s="146">
        <v>1406</v>
      </c>
      <c r="D65" s="146"/>
      <c r="E65" s="146"/>
      <c r="F65" s="147"/>
    </row>
    <row r="66" spans="1:6" x14ac:dyDescent="0.3">
      <c r="A66" s="140" t="s">
        <v>23</v>
      </c>
      <c r="B66" s="141"/>
      <c r="C66" s="146">
        <v>595</v>
      </c>
      <c r="D66" s="146"/>
      <c r="E66" s="146"/>
      <c r="F66" s="147"/>
    </row>
    <row r="67" spans="1:6" x14ac:dyDescent="0.3">
      <c r="A67" s="140" t="s">
        <v>27</v>
      </c>
      <c r="B67" s="141"/>
      <c r="C67" s="148">
        <f>+((C65-C66)/E63)*100</f>
        <v>6.1439393939393936</v>
      </c>
      <c r="D67" s="148"/>
      <c r="E67" s="149">
        <f>+(C65-C66)/E63</f>
        <v>6.143939393939394E-2</v>
      </c>
      <c r="F67" s="150"/>
    </row>
    <row r="68" spans="1:6" ht="16.2" thickBot="1" x14ac:dyDescent="0.35">
      <c r="A68" s="151" t="s">
        <v>24</v>
      </c>
      <c r="B68" s="152"/>
      <c r="C68" s="153">
        <f>+C65-C66</f>
        <v>811</v>
      </c>
      <c r="D68" s="153"/>
      <c r="E68" s="153"/>
      <c r="F68" s="154"/>
    </row>
    <row r="69" spans="1:6" ht="16.2" thickBot="1" x14ac:dyDescent="0.35"/>
    <row r="70" spans="1:6" ht="18" x14ac:dyDescent="0.3">
      <c r="A70" s="137" t="s">
        <v>19</v>
      </c>
      <c r="B70" s="138"/>
      <c r="C70" s="138"/>
      <c r="D70" s="138"/>
      <c r="E70" s="138"/>
      <c r="F70" s="139"/>
    </row>
    <row r="71" spans="1:6" x14ac:dyDescent="0.3">
      <c r="A71" s="140" t="s">
        <v>21</v>
      </c>
      <c r="B71" s="141"/>
      <c r="C71" s="141" t="s">
        <v>26</v>
      </c>
      <c r="D71" s="141"/>
      <c r="E71" s="141"/>
      <c r="F71" s="142"/>
    </row>
    <row r="72" spans="1:6" x14ac:dyDescent="0.3">
      <c r="A72" s="140" t="s">
        <v>25</v>
      </c>
      <c r="B72" s="141"/>
      <c r="C72" s="155">
        <v>23.5</v>
      </c>
      <c r="D72" s="155"/>
      <c r="E72" s="146">
        <f>+C72*1000</f>
        <v>23500</v>
      </c>
      <c r="F72" s="147"/>
    </row>
    <row r="73" spans="1:6" x14ac:dyDescent="0.3">
      <c r="A73" s="140" t="s">
        <v>3</v>
      </c>
      <c r="B73" s="141"/>
      <c r="C73" s="156">
        <v>109</v>
      </c>
      <c r="D73" s="156"/>
      <c r="E73" s="157">
        <f>+C73*(1000)^2</f>
        <v>109000000</v>
      </c>
      <c r="F73" s="158"/>
    </row>
    <row r="74" spans="1:6" x14ac:dyDescent="0.3">
      <c r="A74" s="140" t="s">
        <v>22</v>
      </c>
      <c r="B74" s="141"/>
      <c r="C74" s="146">
        <v>2310</v>
      </c>
      <c r="D74" s="146"/>
      <c r="E74" s="146"/>
      <c r="F74" s="147"/>
    </row>
    <row r="75" spans="1:6" x14ac:dyDescent="0.3">
      <c r="A75" s="140" t="s">
        <v>23</v>
      </c>
      <c r="B75" s="141"/>
      <c r="C75" s="146">
        <v>732</v>
      </c>
      <c r="D75" s="146"/>
      <c r="E75" s="146"/>
      <c r="F75" s="147"/>
    </row>
    <row r="76" spans="1:6" x14ac:dyDescent="0.3">
      <c r="A76" s="140" t="s">
        <v>27</v>
      </c>
      <c r="B76" s="141"/>
      <c r="C76" s="148">
        <f>+((C74-C75)/E72)*100</f>
        <v>6.7148936170212767</v>
      </c>
      <c r="D76" s="148"/>
      <c r="E76" s="149">
        <f>+(C74-C75)/E72</f>
        <v>6.7148936170212767E-2</v>
      </c>
      <c r="F76" s="150"/>
    </row>
    <row r="77" spans="1:6" ht="16.2" thickBot="1" x14ac:dyDescent="0.35">
      <c r="A77" s="151" t="s">
        <v>24</v>
      </c>
      <c r="B77" s="152"/>
      <c r="C77" s="153">
        <f>+C74-C75</f>
        <v>1578</v>
      </c>
      <c r="D77" s="153"/>
      <c r="E77" s="153"/>
      <c r="F77" s="154"/>
    </row>
    <row r="78" spans="1:6" x14ac:dyDescent="0.3">
      <c r="A78" s="8"/>
      <c r="B78" s="8"/>
      <c r="C78" s="19"/>
      <c r="D78" s="19"/>
      <c r="E78" s="19"/>
      <c r="F78" s="19"/>
    </row>
    <row r="79" spans="1:6" x14ac:dyDescent="0.3">
      <c r="A79" s="8"/>
      <c r="B79" s="8"/>
      <c r="C79" s="19"/>
      <c r="D79" s="19"/>
      <c r="E79" s="19"/>
      <c r="F79" s="19"/>
    </row>
    <row r="80" spans="1:6" x14ac:dyDescent="0.3">
      <c r="A80" s="8"/>
      <c r="B80" s="8"/>
      <c r="C80" s="19"/>
      <c r="D80" s="19"/>
      <c r="E80" s="19"/>
      <c r="F80" s="19"/>
    </row>
    <row r="81" spans="1:6" x14ac:dyDescent="0.3">
      <c r="A81" s="8"/>
      <c r="B81" s="8"/>
      <c r="C81" s="19"/>
      <c r="D81" s="19"/>
      <c r="E81" s="19"/>
      <c r="F81" s="19"/>
    </row>
    <row r="82" spans="1:6" x14ac:dyDescent="0.3">
      <c r="A82" s="8"/>
      <c r="B82" s="8"/>
      <c r="C82" s="19"/>
      <c r="D82" s="19"/>
      <c r="E82" s="19"/>
      <c r="F82" s="19"/>
    </row>
    <row r="83" spans="1:6" x14ac:dyDescent="0.3">
      <c r="A83" s="8"/>
      <c r="B83" s="8"/>
      <c r="C83" s="19"/>
      <c r="D83" s="19"/>
      <c r="E83" s="19"/>
      <c r="F83" s="19"/>
    </row>
    <row r="84" spans="1:6" ht="16.2" thickBot="1" x14ac:dyDescent="0.35"/>
    <row r="85" spans="1:6" ht="18" x14ac:dyDescent="0.3">
      <c r="A85" s="137" t="s">
        <v>20</v>
      </c>
      <c r="B85" s="138"/>
      <c r="C85" s="138"/>
      <c r="D85" s="138"/>
      <c r="E85" s="138"/>
      <c r="F85" s="139"/>
    </row>
    <row r="86" spans="1:6" x14ac:dyDescent="0.3">
      <c r="A86" s="140" t="s">
        <v>21</v>
      </c>
      <c r="B86" s="141"/>
      <c r="C86" s="141" t="s">
        <v>26</v>
      </c>
      <c r="D86" s="141"/>
      <c r="E86" s="141"/>
      <c r="F86" s="142"/>
    </row>
    <row r="87" spans="1:6" x14ac:dyDescent="0.3">
      <c r="A87" s="140" t="s">
        <v>25</v>
      </c>
      <c r="B87" s="141"/>
      <c r="C87" s="155">
        <v>8.34</v>
      </c>
      <c r="D87" s="155"/>
      <c r="E87" s="146">
        <f>+C87*1000</f>
        <v>8340</v>
      </c>
      <c r="F87" s="147"/>
    </row>
    <row r="88" spans="1:6" x14ac:dyDescent="0.3">
      <c r="A88" s="140" t="s">
        <v>3</v>
      </c>
      <c r="B88" s="141"/>
      <c r="C88" s="156">
        <v>23.2</v>
      </c>
      <c r="D88" s="156"/>
      <c r="E88" s="157">
        <f>+C88*(1000)^2</f>
        <v>23200000</v>
      </c>
      <c r="F88" s="158"/>
    </row>
    <row r="89" spans="1:6" x14ac:dyDescent="0.3">
      <c r="A89" s="140" t="s">
        <v>22</v>
      </c>
      <c r="B89" s="141"/>
      <c r="C89" s="146">
        <v>1569</v>
      </c>
      <c r="D89" s="146"/>
      <c r="E89" s="146"/>
      <c r="F89" s="147"/>
    </row>
    <row r="90" spans="1:6" x14ac:dyDescent="0.3">
      <c r="A90" s="140" t="s">
        <v>23</v>
      </c>
      <c r="B90" s="141"/>
      <c r="C90" s="146">
        <v>732</v>
      </c>
      <c r="D90" s="146"/>
      <c r="E90" s="146"/>
      <c r="F90" s="147"/>
    </row>
    <row r="91" spans="1:6" x14ac:dyDescent="0.3">
      <c r="A91" s="140" t="s">
        <v>27</v>
      </c>
      <c r="B91" s="141"/>
      <c r="C91" s="148">
        <f>+((C89-C90)/E87)*100</f>
        <v>10.035971223021582</v>
      </c>
      <c r="D91" s="148"/>
      <c r="E91" s="149">
        <f>+(C89-C90)/E87</f>
        <v>0.10035971223021582</v>
      </c>
      <c r="F91" s="150"/>
    </row>
    <row r="92" spans="1:6" ht="16.2" thickBot="1" x14ac:dyDescent="0.35">
      <c r="A92" s="151" t="s">
        <v>24</v>
      </c>
      <c r="B92" s="152"/>
      <c r="C92" s="153">
        <f>+C89-C90</f>
        <v>837</v>
      </c>
      <c r="D92" s="153"/>
      <c r="E92" s="153"/>
      <c r="F92" s="154"/>
    </row>
    <row r="93" spans="1:6" ht="16.2" thickBot="1" x14ac:dyDescent="0.35"/>
    <row r="94" spans="1:6" ht="18" x14ac:dyDescent="0.3">
      <c r="A94" s="137" t="s">
        <v>60</v>
      </c>
      <c r="B94" s="138"/>
      <c r="C94" s="138"/>
      <c r="D94" s="138"/>
      <c r="E94" s="138"/>
      <c r="F94" s="139"/>
    </row>
    <row r="95" spans="1:6" x14ac:dyDescent="0.3">
      <c r="A95" s="140" t="s">
        <v>21</v>
      </c>
      <c r="B95" s="141"/>
      <c r="C95" s="141" t="s">
        <v>26</v>
      </c>
      <c r="D95" s="141"/>
      <c r="E95" s="141"/>
      <c r="F95" s="142"/>
    </row>
    <row r="96" spans="1:6" x14ac:dyDescent="0.3">
      <c r="A96" s="140" t="s">
        <v>25</v>
      </c>
      <c r="B96" s="141"/>
      <c r="C96" s="155">
        <v>3.56</v>
      </c>
      <c r="D96" s="155"/>
      <c r="E96" s="146">
        <f>+C96*1000</f>
        <v>3560</v>
      </c>
      <c r="F96" s="147"/>
    </row>
    <row r="97" spans="1:7" x14ac:dyDescent="0.3">
      <c r="A97" s="140" t="s">
        <v>3</v>
      </c>
      <c r="B97" s="141"/>
      <c r="C97" s="156">
        <v>8.4499999999999993</v>
      </c>
      <c r="D97" s="156"/>
      <c r="E97" s="157">
        <f>+C97*(1000)^2</f>
        <v>8450000</v>
      </c>
      <c r="F97" s="158"/>
    </row>
    <row r="98" spans="1:7" x14ac:dyDescent="0.3">
      <c r="A98" s="140" t="s">
        <v>22</v>
      </c>
      <c r="B98" s="141"/>
      <c r="C98" s="146">
        <v>2014</v>
      </c>
      <c r="D98" s="146"/>
      <c r="E98" s="146"/>
      <c r="F98" s="147"/>
    </row>
    <row r="99" spans="1:7" x14ac:dyDescent="0.3">
      <c r="A99" s="140" t="s">
        <v>23</v>
      </c>
      <c r="B99" s="141"/>
      <c r="C99" s="146">
        <v>1408</v>
      </c>
      <c r="D99" s="146"/>
      <c r="E99" s="146"/>
      <c r="F99" s="147"/>
    </row>
    <row r="100" spans="1:7" x14ac:dyDescent="0.3">
      <c r="A100" s="140" t="s">
        <v>27</v>
      </c>
      <c r="B100" s="141"/>
      <c r="C100" s="148">
        <f>+((C98-C99)/E96)*100</f>
        <v>17.022471910112362</v>
      </c>
      <c r="D100" s="148"/>
      <c r="E100" s="149">
        <f>+(C98-C99)/E96</f>
        <v>0.17022471910112361</v>
      </c>
      <c r="F100" s="150"/>
    </row>
    <row r="101" spans="1:7" ht="16.2" thickBot="1" x14ac:dyDescent="0.35">
      <c r="A101" s="151" t="s">
        <v>24</v>
      </c>
      <c r="B101" s="152"/>
      <c r="C101" s="153">
        <f>+C98-C99</f>
        <v>606</v>
      </c>
      <c r="D101" s="153"/>
      <c r="E101" s="153"/>
      <c r="F101" s="154"/>
    </row>
    <row r="102" spans="1:7" ht="16.2" thickBot="1" x14ac:dyDescent="0.35"/>
    <row r="103" spans="1:7" ht="18" x14ac:dyDescent="0.3">
      <c r="A103" s="137" t="s">
        <v>63</v>
      </c>
      <c r="B103" s="138"/>
      <c r="C103" s="138"/>
      <c r="D103" s="138"/>
      <c r="E103" s="138"/>
      <c r="F103" s="139"/>
    </row>
    <row r="104" spans="1:7" x14ac:dyDescent="0.3">
      <c r="A104" s="140" t="s">
        <v>21</v>
      </c>
      <c r="B104" s="141"/>
      <c r="C104" s="141" t="s">
        <v>26</v>
      </c>
      <c r="D104" s="141"/>
      <c r="E104" s="141"/>
      <c r="F104" s="142"/>
    </row>
    <row r="105" spans="1:7" x14ac:dyDescent="0.3">
      <c r="A105" s="140" t="s">
        <v>25</v>
      </c>
      <c r="B105" s="141"/>
      <c r="C105" s="155">
        <v>3.76</v>
      </c>
      <c r="D105" s="155"/>
      <c r="E105" s="146">
        <f>+C105*1000</f>
        <v>3760</v>
      </c>
      <c r="F105" s="147"/>
    </row>
    <row r="106" spans="1:7" x14ac:dyDescent="0.3">
      <c r="A106" s="140" t="s">
        <v>3</v>
      </c>
      <c r="B106" s="141"/>
      <c r="C106" s="156">
        <v>12.4</v>
      </c>
      <c r="D106" s="156"/>
      <c r="E106" s="157">
        <f>+C106*(1000)^2</f>
        <v>12400000</v>
      </c>
      <c r="F106" s="158"/>
    </row>
    <row r="107" spans="1:7" x14ac:dyDescent="0.3">
      <c r="A107" s="140" t="s">
        <v>22</v>
      </c>
      <c r="B107" s="141"/>
      <c r="C107" s="146">
        <v>1885</v>
      </c>
      <c r="D107" s="146"/>
      <c r="E107" s="146"/>
      <c r="F107" s="147"/>
    </row>
    <row r="108" spans="1:7" x14ac:dyDescent="0.3">
      <c r="A108" s="140" t="s">
        <v>23</v>
      </c>
      <c r="B108" s="141"/>
      <c r="C108" s="146">
        <v>1408</v>
      </c>
      <c r="D108" s="146"/>
      <c r="E108" s="146"/>
      <c r="F108" s="147"/>
    </row>
    <row r="109" spans="1:7" x14ac:dyDescent="0.3">
      <c r="A109" s="140" t="s">
        <v>27</v>
      </c>
      <c r="B109" s="141"/>
      <c r="C109" s="148">
        <f>+((C107-C108)/E105)*100</f>
        <v>12.686170212765957</v>
      </c>
      <c r="D109" s="148"/>
      <c r="E109" s="149">
        <f>+(C107-C108)/E105</f>
        <v>0.12686170212765957</v>
      </c>
      <c r="F109" s="150"/>
    </row>
    <row r="110" spans="1:7" ht="16.2" thickBot="1" x14ac:dyDescent="0.35">
      <c r="A110" s="151" t="s">
        <v>24</v>
      </c>
      <c r="B110" s="152"/>
      <c r="C110" s="153">
        <f>+C107-C108</f>
        <v>477</v>
      </c>
      <c r="D110" s="153"/>
      <c r="E110" s="153"/>
      <c r="F110" s="154"/>
    </row>
    <row r="111" spans="1:7" x14ac:dyDescent="0.3">
      <c r="A111" s="18"/>
      <c r="B111" s="18"/>
      <c r="C111" s="18"/>
      <c r="D111" s="18"/>
      <c r="E111" s="145"/>
      <c r="F111" s="145"/>
      <c r="G111" s="145"/>
    </row>
    <row r="112" spans="1:7" x14ac:dyDescent="0.3">
      <c r="A112" s="18"/>
      <c r="B112" s="18"/>
      <c r="C112" s="18"/>
      <c r="D112" s="18"/>
      <c r="E112" s="145"/>
      <c r="F112" s="145"/>
      <c r="G112" s="145"/>
    </row>
    <row r="113" spans="1:7" x14ac:dyDescent="0.3">
      <c r="A113" s="18"/>
      <c r="B113" s="18"/>
      <c r="C113" s="18"/>
      <c r="D113" s="18"/>
      <c r="E113" s="145"/>
      <c r="F113" s="145"/>
      <c r="G113" s="145"/>
    </row>
    <row r="114" spans="1:7" x14ac:dyDescent="0.3">
      <c r="A114" s="18"/>
      <c r="B114" s="18"/>
      <c r="C114" s="18"/>
      <c r="D114" s="18"/>
      <c r="E114" s="18"/>
      <c r="F114" s="18"/>
      <c r="G114" s="18"/>
    </row>
    <row r="115" spans="1:7" x14ac:dyDescent="0.3">
      <c r="A115" s="18" t="s">
        <v>0</v>
      </c>
      <c r="B115" s="18" t="s">
        <v>64</v>
      </c>
      <c r="C115" s="18"/>
      <c r="D115" s="18"/>
      <c r="E115" s="18" t="s">
        <v>81</v>
      </c>
      <c r="F115" s="18" t="s">
        <v>0</v>
      </c>
      <c r="G115" s="18"/>
    </row>
    <row r="116" spans="1:7" x14ac:dyDescent="0.3">
      <c r="A116" s="18" t="s">
        <v>13</v>
      </c>
      <c r="B116" s="18" t="s">
        <v>65</v>
      </c>
      <c r="C116" s="18"/>
      <c r="D116" s="18"/>
      <c r="E116" s="18" t="s">
        <v>61</v>
      </c>
      <c r="F116" s="18" t="s">
        <v>13</v>
      </c>
      <c r="G116" s="18" t="s">
        <v>14</v>
      </c>
    </row>
    <row r="117" spans="1:7" x14ac:dyDescent="0.3">
      <c r="A117" s="18" t="s">
        <v>14</v>
      </c>
      <c r="B117" s="18" t="s">
        <v>66</v>
      </c>
      <c r="C117" s="18"/>
      <c r="D117" s="18"/>
      <c r="E117" s="18" t="s">
        <v>62</v>
      </c>
      <c r="F117" s="18" t="s">
        <v>15</v>
      </c>
      <c r="G117" s="18" t="s">
        <v>16</v>
      </c>
    </row>
    <row r="118" spans="1:7" x14ac:dyDescent="0.3">
      <c r="A118" s="18" t="s">
        <v>15</v>
      </c>
      <c r="B118" s="18" t="s">
        <v>67</v>
      </c>
      <c r="C118" s="18"/>
      <c r="D118" s="18"/>
      <c r="E118" s="18" t="s">
        <v>80</v>
      </c>
      <c r="F118" s="18" t="s">
        <v>17</v>
      </c>
      <c r="G118" s="18" t="s">
        <v>18</v>
      </c>
    </row>
    <row r="119" spans="1:7" x14ac:dyDescent="0.3">
      <c r="A119" s="18" t="s">
        <v>16</v>
      </c>
      <c r="B119" s="18" t="s">
        <v>68</v>
      </c>
      <c r="C119" s="18"/>
      <c r="D119" s="18"/>
      <c r="E119" s="18" t="s">
        <v>82</v>
      </c>
      <c r="F119" s="18" t="s">
        <v>19</v>
      </c>
      <c r="G119" s="18" t="s">
        <v>20</v>
      </c>
    </row>
    <row r="120" spans="1:7" x14ac:dyDescent="0.3">
      <c r="A120" s="18" t="s">
        <v>17</v>
      </c>
      <c r="B120" s="18" t="s">
        <v>69</v>
      </c>
      <c r="C120" s="18"/>
      <c r="D120" s="18"/>
      <c r="E120" s="18" t="s">
        <v>83</v>
      </c>
      <c r="F120" s="18" t="s">
        <v>60</v>
      </c>
      <c r="G120" s="18" t="s">
        <v>63</v>
      </c>
    </row>
    <row r="121" spans="1:7" x14ac:dyDescent="0.3">
      <c r="A121" s="18" t="s">
        <v>18</v>
      </c>
      <c r="B121" s="18" t="s">
        <v>70</v>
      </c>
      <c r="C121" s="18"/>
      <c r="D121" s="18"/>
      <c r="E121" s="18"/>
      <c r="F121" s="18"/>
      <c r="G121" s="18"/>
    </row>
    <row r="122" spans="1:7" x14ac:dyDescent="0.3">
      <c r="A122" s="18" t="s">
        <v>19</v>
      </c>
      <c r="B122" s="18" t="s">
        <v>71</v>
      </c>
      <c r="C122" s="18"/>
      <c r="D122" s="18"/>
      <c r="E122" s="18"/>
      <c r="F122" s="18"/>
      <c r="G122" s="18"/>
    </row>
    <row r="123" spans="1:7" x14ac:dyDescent="0.3">
      <c r="A123" s="18" t="s">
        <v>20</v>
      </c>
      <c r="B123" s="18" t="s">
        <v>72</v>
      </c>
      <c r="C123" s="18"/>
      <c r="D123" s="18"/>
      <c r="E123" s="18"/>
      <c r="F123" s="18"/>
      <c r="G123" s="18"/>
    </row>
    <row r="124" spans="1:7" x14ac:dyDescent="0.3">
      <c r="A124" s="18" t="s">
        <v>60</v>
      </c>
      <c r="B124" s="145" t="s">
        <v>73</v>
      </c>
      <c r="C124" s="145"/>
      <c r="D124" s="18"/>
      <c r="E124" s="18"/>
      <c r="F124" s="18"/>
      <c r="G124" s="18"/>
    </row>
    <row r="125" spans="1:7" x14ac:dyDescent="0.3">
      <c r="A125" s="18" t="s">
        <v>63</v>
      </c>
      <c r="B125" s="18" t="s">
        <v>74</v>
      </c>
      <c r="C125" s="18"/>
      <c r="D125" s="18"/>
      <c r="E125" s="18"/>
      <c r="F125" s="18"/>
      <c r="G125" s="18"/>
    </row>
    <row r="126" spans="1:7" x14ac:dyDescent="0.3">
      <c r="A126" s="18"/>
      <c r="B126" s="18"/>
      <c r="C126" s="18"/>
      <c r="D126" s="18"/>
      <c r="E126" s="18"/>
      <c r="F126" s="18"/>
      <c r="G126" s="18"/>
    </row>
    <row r="127" spans="1:7" x14ac:dyDescent="0.3">
      <c r="A127" s="18"/>
      <c r="B127" s="18"/>
      <c r="C127" s="18"/>
      <c r="D127" s="18"/>
      <c r="E127" s="18"/>
      <c r="F127" s="18"/>
      <c r="G127" s="18"/>
    </row>
    <row r="128" spans="1:7" x14ac:dyDescent="0.3">
      <c r="A128" s="18"/>
      <c r="B128" s="18"/>
      <c r="C128" s="18"/>
      <c r="D128" s="18"/>
      <c r="E128" s="18"/>
      <c r="F128" s="18"/>
      <c r="G128" s="18"/>
    </row>
    <row r="129" spans="1:7" x14ac:dyDescent="0.3">
      <c r="A129" s="18"/>
      <c r="B129" s="18"/>
      <c r="C129" s="18"/>
      <c r="D129" s="18"/>
      <c r="E129" s="18"/>
      <c r="F129" s="18"/>
      <c r="G129" s="18"/>
    </row>
    <row r="130" spans="1:7" x14ac:dyDescent="0.3">
      <c r="A130" s="18"/>
      <c r="B130" s="18"/>
      <c r="C130" s="18"/>
      <c r="D130" s="18"/>
      <c r="E130" s="18"/>
      <c r="F130" s="18"/>
      <c r="G130" s="18"/>
    </row>
    <row r="131" spans="1:7" x14ac:dyDescent="0.3">
      <c r="A131" s="18"/>
      <c r="B131" s="18"/>
      <c r="C131" s="18"/>
      <c r="D131" s="18"/>
      <c r="E131" s="18"/>
      <c r="F131" s="18"/>
      <c r="G131" s="18"/>
    </row>
    <row r="132" spans="1:7" x14ac:dyDescent="0.3">
      <c r="A132" s="18"/>
      <c r="B132" s="18"/>
      <c r="C132" s="18"/>
      <c r="D132" s="18"/>
      <c r="E132" s="18"/>
      <c r="F132" s="18"/>
      <c r="G132" s="18"/>
    </row>
    <row r="133" spans="1:7" x14ac:dyDescent="0.3">
      <c r="A133" s="18"/>
      <c r="B133" s="18"/>
      <c r="C133" s="18"/>
      <c r="D133" s="18"/>
      <c r="E133" s="18"/>
      <c r="F133" s="18"/>
      <c r="G133" s="18"/>
    </row>
    <row r="134" spans="1:7" x14ac:dyDescent="0.3">
      <c r="A134" s="18"/>
      <c r="B134" s="18"/>
      <c r="C134" s="18"/>
      <c r="D134" s="18"/>
      <c r="E134" s="18"/>
      <c r="F134" s="18"/>
      <c r="G134" s="18"/>
    </row>
    <row r="135" spans="1:7" x14ac:dyDescent="0.3">
      <c r="A135" s="18"/>
      <c r="B135" s="18"/>
      <c r="C135" s="18"/>
      <c r="D135" s="18"/>
      <c r="E135" s="18"/>
      <c r="F135" s="18"/>
      <c r="G135" s="18"/>
    </row>
    <row r="136" spans="1:7" x14ac:dyDescent="0.3">
      <c r="A136" s="18"/>
      <c r="B136" s="18"/>
      <c r="C136" s="18"/>
      <c r="D136" s="18"/>
      <c r="E136" s="18"/>
      <c r="F136" s="18"/>
      <c r="G136" s="18"/>
    </row>
    <row r="137" spans="1:7" x14ac:dyDescent="0.3">
      <c r="A137" s="18"/>
      <c r="B137" s="18"/>
      <c r="C137" s="18"/>
      <c r="D137" s="18"/>
      <c r="E137" s="18"/>
      <c r="F137" s="18"/>
      <c r="G137" s="18"/>
    </row>
    <row r="138" spans="1:7" x14ac:dyDescent="0.3">
      <c r="A138" s="18"/>
      <c r="B138" s="18"/>
      <c r="C138" s="18"/>
      <c r="D138" s="18"/>
      <c r="E138" s="18"/>
      <c r="F138" s="18"/>
      <c r="G138" s="18"/>
    </row>
    <row r="139" spans="1:7" x14ac:dyDescent="0.3">
      <c r="A139" s="18"/>
      <c r="B139" s="18"/>
      <c r="C139" s="18"/>
      <c r="D139" s="18"/>
      <c r="E139" s="18"/>
      <c r="F139" s="18"/>
      <c r="G139" s="18"/>
    </row>
    <row r="140" spans="1:7" x14ac:dyDescent="0.3">
      <c r="A140" s="18"/>
      <c r="B140" s="18"/>
      <c r="C140" s="18"/>
      <c r="D140" s="18"/>
      <c r="E140" s="18"/>
      <c r="F140" s="18"/>
      <c r="G140" s="18"/>
    </row>
    <row r="141" spans="1:7" x14ac:dyDescent="0.3">
      <c r="A141" s="18"/>
      <c r="B141" s="18"/>
      <c r="C141" s="18"/>
      <c r="D141" s="18"/>
      <c r="E141" s="18"/>
      <c r="F141" s="18"/>
      <c r="G141" s="18"/>
    </row>
  </sheetData>
  <mergeCells count="213">
    <mergeCell ref="A109:B109"/>
    <mergeCell ref="C109:D109"/>
    <mergeCell ref="E109:F109"/>
    <mergeCell ref="A110:B110"/>
    <mergeCell ref="C110:F110"/>
    <mergeCell ref="B124:C124"/>
    <mergeCell ref="H31:I31"/>
    <mergeCell ref="A13:B13"/>
    <mergeCell ref="C13:D13"/>
    <mergeCell ref="E13:F13"/>
    <mergeCell ref="A14:B14"/>
    <mergeCell ref="C14:F14"/>
    <mergeCell ref="A15:B15"/>
    <mergeCell ref="C15:F15"/>
    <mergeCell ref="A26:B26"/>
    <mergeCell ref="C26:F26"/>
    <mergeCell ref="A28:F28"/>
    <mergeCell ref="A29:B29"/>
    <mergeCell ref="C29:F29"/>
    <mergeCell ref="A30:B30"/>
    <mergeCell ref="C30:D30"/>
    <mergeCell ref="E30:F30"/>
    <mergeCell ref="A23:B23"/>
    <mergeCell ref="C23:F23"/>
    <mergeCell ref="A103:F103"/>
    <mergeCell ref="A1:F1"/>
    <mergeCell ref="A10:F10"/>
    <mergeCell ref="A11:B11"/>
    <mergeCell ref="C11:F11"/>
    <mergeCell ref="A12:B12"/>
    <mergeCell ref="C12:D12"/>
    <mergeCell ref="E12:F12"/>
    <mergeCell ref="C2:F2"/>
    <mergeCell ref="C3:D3"/>
    <mergeCell ref="C4:D4"/>
    <mergeCell ref="C7:D7"/>
    <mergeCell ref="C5:F5"/>
    <mergeCell ref="C6:F6"/>
    <mergeCell ref="A7:B7"/>
    <mergeCell ref="A8:B8"/>
    <mergeCell ref="E3:F3"/>
    <mergeCell ref="E4:F4"/>
    <mergeCell ref="E7:F7"/>
    <mergeCell ref="A2:B2"/>
    <mergeCell ref="A3:B3"/>
    <mergeCell ref="A4:B4"/>
    <mergeCell ref="A5:B5"/>
    <mergeCell ref="A6:B6"/>
    <mergeCell ref="C8:F8"/>
    <mergeCell ref="A24:B24"/>
    <mergeCell ref="C24:F24"/>
    <mergeCell ref="A25:B25"/>
    <mergeCell ref="C25:D25"/>
    <mergeCell ref="E25:F25"/>
    <mergeCell ref="A34:B34"/>
    <mergeCell ref="C34:D34"/>
    <mergeCell ref="E34:F34"/>
    <mergeCell ref="A20:B20"/>
    <mergeCell ref="C20:F20"/>
    <mergeCell ref="A21:B21"/>
    <mergeCell ref="C21:D21"/>
    <mergeCell ref="E21:F21"/>
    <mergeCell ref="A22:B22"/>
    <mergeCell ref="C22:D22"/>
    <mergeCell ref="E22:F22"/>
    <mergeCell ref="A16:B16"/>
    <mergeCell ref="C16:D16"/>
    <mergeCell ref="E16:F16"/>
    <mergeCell ref="A17:B17"/>
    <mergeCell ref="C17:F17"/>
    <mergeCell ref="A19:F19"/>
    <mergeCell ref="A35:B35"/>
    <mergeCell ref="C35:F35"/>
    <mergeCell ref="A31:B31"/>
    <mergeCell ref="C31:D31"/>
    <mergeCell ref="E31:F31"/>
    <mergeCell ref="A32:B32"/>
    <mergeCell ref="C32:F32"/>
    <mergeCell ref="A33:B33"/>
    <mergeCell ref="C33:F33"/>
    <mergeCell ref="A43:F43"/>
    <mergeCell ref="A44:B44"/>
    <mergeCell ref="C44:F44"/>
    <mergeCell ref="A45:B45"/>
    <mergeCell ref="C45:D45"/>
    <mergeCell ref="E45:F45"/>
    <mergeCell ref="A46:B46"/>
    <mergeCell ref="C46:D46"/>
    <mergeCell ref="A48:B48"/>
    <mergeCell ref="C48:F48"/>
    <mergeCell ref="E46:F46"/>
    <mergeCell ref="A47:B47"/>
    <mergeCell ref="C47:F47"/>
    <mergeCell ref="C50:F50"/>
    <mergeCell ref="A52:F52"/>
    <mergeCell ref="A54:B54"/>
    <mergeCell ref="C54:D54"/>
    <mergeCell ref="E54:F54"/>
    <mergeCell ref="A53:B53"/>
    <mergeCell ref="C53:F53"/>
    <mergeCell ref="A49:B49"/>
    <mergeCell ref="C49:D49"/>
    <mergeCell ref="E49:F49"/>
    <mergeCell ref="A50:B50"/>
    <mergeCell ref="A58:B58"/>
    <mergeCell ref="C58:D58"/>
    <mergeCell ref="E58:F58"/>
    <mergeCell ref="A59:B59"/>
    <mergeCell ref="C59:F59"/>
    <mergeCell ref="A61:F61"/>
    <mergeCell ref="A55:B55"/>
    <mergeCell ref="C55:D55"/>
    <mergeCell ref="E55:F55"/>
    <mergeCell ref="A56:B56"/>
    <mergeCell ref="C56:F56"/>
    <mergeCell ref="A57:B57"/>
    <mergeCell ref="C57:F57"/>
    <mergeCell ref="A65:B65"/>
    <mergeCell ref="C65:F65"/>
    <mergeCell ref="A66:B66"/>
    <mergeCell ref="C66:F66"/>
    <mergeCell ref="A67:B67"/>
    <mergeCell ref="C67:D67"/>
    <mergeCell ref="E67:F67"/>
    <mergeCell ref="A62:B62"/>
    <mergeCell ref="C62:F62"/>
    <mergeCell ref="A63:B63"/>
    <mergeCell ref="C63:D63"/>
    <mergeCell ref="E63:F63"/>
    <mergeCell ref="A64:B64"/>
    <mergeCell ref="C64:D64"/>
    <mergeCell ref="E64:F64"/>
    <mergeCell ref="A73:B73"/>
    <mergeCell ref="C73:D73"/>
    <mergeCell ref="E73:F73"/>
    <mergeCell ref="A74:B74"/>
    <mergeCell ref="C74:F74"/>
    <mergeCell ref="A75:B75"/>
    <mergeCell ref="C75:F75"/>
    <mergeCell ref="A68:B68"/>
    <mergeCell ref="C68:F68"/>
    <mergeCell ref="A70:F70"/>
    <mergeCell ref="A71:B71"/>
    <mergeCell ref="C71:F71"/>
    <mergeCell ref="A72:B72"/>
    <mergeCell ref="C72:D72"/>
    <mergeCell ref="E72:F72"/>
    <mergeCell ref="A88:B88"/>
    <mergeCell ref="C88:D88"/>
    <mergeCell ref="E88:F88"/>
    <mergeCell ref="A76:B76"/>
    <mergeCell ref="C76:D76"/>
    <mergeCell ref="E76:F76"/>
    <mergeCell ref="A77:B77"/>
    <mergeCell ref="C77:F77"/>
    <mergeCell ref="A85:F85"/>
    <mergeCell ref="A86:B86"/>
    <mergeCell ref="C86:F86"/>
    <mergeCell ref="A87:B87"/>
    <mergeCell ref="C87:D87"/>
    <mergeCell ref="E87:F87"/>
    <mergeCell ref="H1:I1"/>
    <mergeCell ref="K1:L1"/>
    <mergeCell ref="H7:I7"/>
    <mergeCell ref="K7:L7"/>
    <mergeCell ref="H13:I13"/>
    <mergeCell ref="K13:L13"/>
    <mergeCell ref="H19:I19"/>
    <mergeCell ref="K19:L19"/>
    <mergeCell ref="H25:I25"/>
    <mergeCell ref="K25:L25"/>
    <mergeCell ref="A94:F94"/>
    <mergeCell ref="A95:B95"/>
    <mergeCell ref="C95:F95"/>
    <mergeCell ref="A96:B96"/>
    <mergeCell ref="C96:D96"/>
    <mergeCell ref="E96:F96"/>
    <mergeCell ref="A97:B97"/>
    <mergeCell ref="C97:D97"/>
    <mergeCell ref="E97:F97"/>
    <mergeCell ref="A92:B92"/>
    <mergeCell ref="C92:F92"/>
    <mergeCell ref="A89:B89"/>
    <mergeCell ref="C89:F89"/>
    <mergeCell ref="A90:B90"/>
    <mergeCell ref="C90:F90"/>
    <mergeCell ref="A91:B91"/>
    <mergeCell ref="C91:D91"/>
    <mergeCell ref="E91:F91"/>
    <mergeCell ref="E111:G111"/>
    <mergeCell ref="E112:G112"/>
    <mergeCell ref="E113:G113"/>
    <mergeCell ref="A98:B98"/>
    <mergeCell ref="C98:F98"/>
    <mergeCell ref="A99:B99"/>
    <mergeCell ref="C99:F99"/>
    <mergeCell ref="A100:B100"/>
    <mergeCell ref="C100:D100"/>
    <mergeCell ref="E100:F100"/>
    <mergeCell ref="A101:B101"/>
    <mergeCell ref="C101:F101"/>
    <mergeCell ref="A104:B104"/>
    <mergeCell ref="C104:F104"/>
    <mergeCell ref="A105:B105"/>
    <mergeCell ref="C105:D105"/>
    <mergeCell ref="E105:F105"/>
    <mergeCell ref="A106:B106"/>
    <mergeCell ref="C106:D106"/>
    <mergeCell ref="E106:F106"/>
    <mergeCell ref="A107:B107"/>
    <mergeCell ref="C107:F107"/>
    <mergeCell ref="A108:B108"/>
    <mergeCell ref="C108:F108"/>
  </mergeCells>
  <pageMargins left="0.7" right="0.7" top="0.75" bottom="0.75" header="0.3" footer="0.3"/>
  <pageSetup orientation="portrait" r:id="rId1"/>
  <headerFooter>
    <oddHeader>&amp;LCentro Universitario de Occidente&amp;CHidrología&amp;RCaracteristicas Geomorfoligicas
de las cuencas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2"/>
  <sheetViews>
    <sheetView view="pageLayout" zoomScale="70" zoomScaleNormal="100" zoomScalePageLayoutView="70" workbookViewId="0">
      <selection sqref="A1:G1"/>
    </sheetView>
  </sheetViews>
  <sheetFormatPr baseColWidth="10" defaultRowHeight="15.6" x14ac:dyDescent="0.3"/>
  <cols>
    <col min="1" max="1" width="11.77734375" style="1" customWidth="1"/>
    <col min="2" max="2" width="11.21875" style="1" customWidth="1"/>
    <col min="3" max="3" width="17.6640625" style="1" customWidth="1"/>
    <col min="4" max="4" width="10.6640625" style="1" customWidth="1"/>
    <col min="5" max="5" width="10.77734375" style="1" customWidth="1"/>
    <col min="6" max="6" width="11.6640625" style="1" bestFit="1" customWidth="1"/>
    <col min="7" max="7" width="16.33203125" style="1" customWidth="1"/>
    <col min="8" max="16384" width="11.5546875" style="1"/>
  </cols>
  <sheetData>
    <row r="1" spans="1:7" ht="18.600000000000001" thickBot="1" x14ac:dyDescent="0.35">
      <c r="A1" s="184" t="s">
        <v>33</v>
      </c>
      <c r="B1" s="185"/>
      <c r="C1" s="185"/>
      <c r="D1" s="185"/>
      <c r="E1" s="185"/>
      <c r="F1" s="185"/>
      <c r="G1" s="186"/>
    </row>
    <row r="2" spans="1:7" ht="16.2" thickBot="1" x14ac:dyDescent="0.35"/>
    <row r="3" spans="1:7" x14ac:dyDescent="0.3">
      <c r="A3" s="161" t="s">
        <v>0</v>
      </c>
      <c r="B3" s="162"/>
      <c r="C3" s="163"/>
    </row>
    <row r="4" spans="1:7" x14ac:dyDescent="0.3">
      <c r="A4" s="140" t="s">
        <v>34</v>
      </c>
      <c r="B4" s="141"/>
      <c r="C4" s="142"/>
    </row>
    <row r="5" spans="1:7" x14ac:dyDescent="0.3">
      <c r="A5" s="2" t="s">
        <v>35</v>
      </c>
      <c r="B5" s="21">
        <f>+'Carac. Geomorf.'!C3</f>
        <v>2.5</v>
      </c>
      <c r="C5" s="22">
        <f>+'Carac. Geomorf.'!E3</f>
        <v>2500</v>
      </c>
    </row>
    <row r="6" spans="1:7" x14ac:dyDescent="0.3">
      <c r="A6" s="2" t="s">
        <v>36</v>
      </c>
      <c r="B6" s="23">
        <f>+'Carac. Geomorf.'!C4</f>
        <v>2.4300000000000002</v>
      </c>
      <c r="C6" s="24">
        <f>+'Carac. Geomorf.'!E4</f>
        <v>2430000</v>
      </c>
    </row>
    <row r="7" spans="1:7" x14ac:dyDescent="0.3">
      <c r="A7" s="2" t="s">
        <v>37</v>
      </c>
      <c r="B7" s="25">
        <f>+'Carac. Geomorf.'!C7</f>
        <v>2.4</v>
      </c>
      <c r="C7" s="26">
        <f>+'Carac. Geomorf.'!E7</f>
        <v>2.4E-2</v>
      </c>
    </row>
    <row r="8" spans="1:7" x14ac:dyDescent="0.3">
      <c r="A8" s="2" t="s">
        <v>38</v>
      </c>
      <c r="B8" s="146">
        <f>+'Carac. Geomorf.'!C8</f>
        <v>60</v>
      </c>
      <c r="C8" s="147"/>
    </row>
    <row r="9" spans="1:7" ht="16.2" thickBot="1" x14ac:dyDescent="0.35">
      <c r="A9" s="11" t="s">
        <v>28</v>
      </c>
      <c r="B9" s="152">
        <f>+'Uso de Suelo'!B13:C13</f>
        <v>0.3534979423868313</v>
      </c>
      <c r="C9" s="183"/>
    </row>
    <row r="10" spans="1:7" ht="16.2" thickBot="1" x14ac:dyDescent="0.35"/>
    <row r="11" spans="1:7" x14ac:dyDescent="0.3">
      <c r="A11" s="159" t="s">
        <v>39</v>
      </c>
      <c r="B11" s="160"/>
    </row>
    <row r="12" spans="1:7" x14ac:dyDescent="0.3">
      <c r="A12" s="7" t="s">
        <v>29</v>
      </c>
      <c r="B12" s="27">
        <f>+C5</f>
        <v>2500</v>
      </c>
    </row>
    <row r="13" spans="1:7" x14ac:dyDescent="0.3">
      <c r="A13" s="7" t="s">
        <v>37</v>
      </c>
      <c r="B13" s="28">
        <f>+C7</f>
        <v>2.4E-2</v>
      </c>
    </row>
    <row r="14" spans="1:7" ht="16.2" thickBot="1" x14ac:dyDescent="0.35">
      <c r="A14" s="14" t="s">
        <v>40</v>
      </c>
      <c r="B14" s="29">
        <f>0.02*(B12^0.77)*(B13^-0.385)</f>
        <v>34.758615893331594</v>
      </c>
    </row>
    <row r="15" spans="1:7" ht="16.2" thickBot="1" x14ac:dyDescent="0.35"/>
    <row r="16" spans="1:7" x14ac:dyDescent="0.3">
      <c r="A16" s="159" t="s">
        <v>41</v>
      </c>
      <c r="B16" s="173"/>
      <c r="C16" s="160"/>
    </row>
    <row r="17" spans="1:3" x14ac:dyDescent="0.3">
      <c r="A17" s="7" t="s">
        <v>42</v>
      </c>
      <c r="B17" s="179">
        <f>+B7</f>
        <v>2.4</v>
      </c>
      <c r="C17" s="181"/>
    </row>
    <row r="18" spans="1:3" x14ac:dyDescent="0.3">
      <c r="A18" s="7" t="s">
        <v>43</v>
      </c>
      <c r="B18" s="174">
        <f>+B6</f>
        <v>2.4300000000000002</v>
      </c>
      <c r="C18" s="182"/>
    </row>
    <row r="19" spans="1:3" x14ac:dyDescent="0.3">
      <c r="A19" s="7" t="s">
        <v>44</v>
      </c>
      <c r="B19" s="175">
        <f>+B5</f>
        <v>2.5</v>
      </c>
      <c r="C19" s="180"/>
    </row>
    <row r="20" spans="1:3" x14ac:dyDescent="0.3">
      <c r="A20" s="7" t="s">
        <v>45</v>
      </c>
      <c r="B20" s="176">
        <f>+B19/(B18^0.5)</f>
        <v>1.6037507477489605</v>
      </c>
      <c r="C20" s="177"/>
    </row>
    <row r="21" spans="1:3" x14ac:dyDescent="0.3">
      <c r="A21" s="7">
        <v>0.05</v>
      </c>
      <c r="B21" s="8" t="s">
        <v>46</v>
      </c>
      <c r="C21" s="9">
        <v>0.5</v>
      </c>
    </row>
    <row r="22" spans="1:3" x14ac:dyDescent="0.3">
      <c r="A22" s="7" t="s">
        <v>45</v>
      </c>
      <c r="B22" s="178">
        <f>+IF(B20&lt;A21,A21,IF(B20&gt;C21,C21,B20))</f>
        <v>0.5</v>
      </c>
      <c r="C22" s="168"/>
    </row>
    <row r="23" spans="1:3" x14ac:dyDescent="0.3">
      <c r="A23" s="7" t="s">
        <v>40</v>
      </c>
      <c r="B23" s="169">
        <f>+B22*((B18^0.5)/B17)</f>
        <v>0.3247595264191645</v>
      </c>
      <c r="C23" s="170"/>
    </row>
    <row r="24" spans="1:3" x14ac:dyDescent="0.3">
      <c r="A24" s="7" t="s">
        <v>40</v>
      </c>
      <c r="B24" s="171">
        <f>+B23*60</f>
        <v>19.48557158514987</v>
      </c>
      <c r="C24" s="172"/>
    </row>
    <row r="25" spans="1:3" ht="16.2" thickBot="1" x14ac:dyDescent="0.35">
      <c r="A25" s="164" t="str">
        <f>+IF(B20&lt;A21,"alejamiento medio menor a límites",IF(B20&gt;C21,"alejamiento medio mayor a límites","alejamiento medio cumple con límites"))</f>
        <v>alejamiento medio mayor a límites</v>
      </c>
      <c r="B25" s="165"/>
      <c r="C25" s="166"/>
    </row>
    <row r="26" spans="1:3" ht="16.2" thickBot="1" x14ac:dyDescent="0.35"/>
    <row r="27" spans="1:3" x14ac:dyDescent="0.3">
      <c r="A27" s="159" t="s">
        <v>47</v>
      </c>
      <c r="B27" s="173"/>
      <c r="C27" s="160"/>
    </row>
    <row r="28" spans="1:3" x14ac:dyDescent="0.3">
      <c r="A28" s="7" t="s">
        <v>42</v>
      </c>
      <c r="B28" s="179">
        <f>+B7</f>
        <v>2.4</v>
      </c>
      <c r="C28" s="168"/>
    </row>
    <row r="29" spans="1:3" x14ac:dyDescent="0.3">
      <c r="A29" s="7" t="s">
        <v>43</v>
      </c>
      <c r="B29" s="174">
        <f>+B6</f>
        <v>2.4300000000000002</v>
      </c>
      <c r="C29" s="168"/>
    </row>
    <row r="30" spans="1:3" x14ac:dyDescent="0.3">
      <c r="A30" s="7" t="s">
        <v>44</v>
      </c>
      <c r="B30" s="175">
        <f>+B5</f>
        <v>2.5</v>
      </c>
      <c r="C30" s="168"/>
    </row>
    <row r="31" spans="1:3" x14ac:dyDescent="0.3">
      <c r="A31" s="7" t="s">
        <v>45</v>
      </c>
      <c r="B31" s="176">
        <f>+B30/(B29^0.5)</f>
        <v>1.6037507477489605</v>
      </c>
      <c r="C31" s="177"/>
    </row>
    <row r="32" spans="1:3" x14ac:dyDescent="0.3">
      <c r="A32" s="7">
        <v>0.04</v>
      </c>
      <c r="B32" s="8" t="s">
        <v>46</v>
      </c>
      <c r="C32" s="9">
        <v>0.13</v>
      </c>
    </row>
    <row r="33" spans="1:3" x14ac:dyDescent="0.3">
      <c r="A33" s="7" t="s">
        <v>45</v>
      </c>
      <c r="B33" s="178">
        <f>+IF(B31&lt;A32,A32,IF(B31&gt;C32,C32,B31))</f>
        <v>0.13</v>
      </c>
      <c r="C33" s="168"/>
    </row>
    <row r="34" spans="1:3" x14ac:dyDescent="0.3">
      <c r="A34" s="7" t="s">
        <v>40</v>
      </c>
      <c r="B34" s="169">
        <f>+B33*((B29*B30)^(1/3))/(B28^0.5)</f>
        <v>0.15311573574131443</v>
      </c>
      <c r="C34" s="170"/>
    </row>
    <row r="35" spans="1:3" x14ac:dyDescent="0.3">
      <c r="A35" s="7" t="s">
        <v>40</v>
      </c>
      <c r="B35" s="171">
        <f>+B34*60</f>
        <v>9.1869441444788649</v>
      </c>
      <c r="C35" s="172"/>
    </row>
    <row r="36" spans="1:3" ht="16.2" thickBot="1" x14ac:dyDescent="0.35">
      <c r="A36" s="164" t="str">
        <f>+IF(B31&lt;A32,"alejamiento medio menor a límites",IF(B31&gt;C32,"alejamiento medio mayor a límites","alejamiento medio cumple con límites"))</f>
        <v>alejamiento medio mayor a límites</v>
      </c>
      <c r="B36" s="165"/>
      <c r="C36" s="166"/>
    </row>
    <row r="37" spans="1:3" x14ac:dyDescent="0.3">
      <c r="A37" s="8"/>
      <c r="B37" s="8"/>
      <c r="C37" s="8"/>
    </row>
    <row r="38" spans="1:3" x14ac:dyDescent="0.3">
      <c r="A38" s="8"/>
      <c r="B38" s="8"/>
      <c r="C38" s="8"/>
    </row>
    <row r="39" spans="1:3" x14ac:dyDescent="0.3">
      <c r="A39" s="8"/>
      <c r="B39" s="8"/>
      <c r="C39" s="8"/>
    </row>
    <row r="40" spans="1:3" x14ac:dyDescent="0.3">
      <c r="A40" s="8"/>
      <c r="B40" s="8"/>
      <c r="C40" s="8"/>
    </row>
    <row r="41" spans="1:3" x14ac:dyDescent="0.3">
      <c r="A41" s="8"/>
      <c r="B41" s="8"/>
      <c r="C41" s="8"/>
    </row>
    <row r="42" spans="1:3" ht="16.2" thickBot="1" x14ac:dyDescent="0.35">
      <c r="A42" s="8"/>
      <c r="B42" s="8"/>
      <c r="C42" s="8"/>
    </row>
    <row r="43" spans="1:3" x14ac:dyDescent="0.3">
      <c r="A43" s="159" t="s">
        <v>48</v>
      </c>
      <c r="B43" s="173"/>
      <c r="C43" s="160"/>
    </row>
    <row r="44" spans="1:3" x14ac:dyDescent="0.3">
      <c r="A44" s="7" t="s">
        <v>37</v>
      </c>
      <c r="B44" s="174">
        <f>+B6</f>
        <v>2.4300000000000002</v>
      </c>
      <c r="C44" s="168"/>
    </row>
    <row r="45" spans="1:3" x14ac:dyDescent="0.3">
      <c r="A45" s="7" t="s">
        <v>29</v>
      </c>
      <c r="B45" s="175">
        <f>+B5</f>
        <v>2.5</v>
      </c>
      <c r="C45" s="168"/>
    </row>
    <row r="46" spans="1:3" x14ac:dyDescent="0.3">
      <c r="A46" s="7" t="s">
        <v>38</v>
      </c>
      <c r="B46" s="167">
        <f>+B8</f>
        <v>60</v>
      </c>
      <c r="C46" s="168"/>
    </row>
    <row r="47" spans="1:3" x14ac:dyDescent="0.3">
      <c r="A47" s="32">
        <f>+B45/3600</f>
        <v>6.9444444444444447E-4</v>
      </c>
      <c r="B47" s="8" t="s">
        <v>49</v>
      </c>
      <c r="C47" s="33">
        <f>+(B45/3600)+1.5</f>
        <v>1.5006944444444446</v>
      </c>
    </row>
    <row r="48" spans="1:3" x14ac:dyDescent="0.3">
      <c r="A48" s="7" t="s">
        <v>40</v>
      </c>
      <c r="B48" s="169">
        <f>+(4*(B44^0.5)+1.5*B45)/(0.8*(B46^0.5))</f>
        <v>1.6113842377198142</v>
      </c>
      <c r="C48" s="170"/>
    </row>
    <row r="49" spans="1:7" x14ac:dyDescent="0.3">
      <c r="A49" s="7" t="s">
        <v>40</v>
      </c>
      <c r="B49" s="171">
        <f>+B48*60</f>
        <v>96.683054263188851</v>
      </c>
      <c r="C49" s="172"/>
    </row>
    <row r="50" spans="1:7" ht="16.2" thickBot="1" x14ac:dyDescent="0.35">
      <c r="A50" s="164" t="str">
        <f>+IF(B48&lt;A47,"tiempo de cosncentración menor a límites",IF(B48&gt;C47,"tiempo de cosncentración mayor a límites","tiempo de cosncentración cumple con límites"))</f>
        <v>tiempo de cosncentración mayor a límites</v>
      </c>
      <c r="B50" s="165"/>
      <c r="C50" s="166"/>
    </row>
    <row r="51" spans="1:7" ht="16.2" thickBot="1" x14ac:dyDescent="0.35"/>
    <row r="52" spans="1:7" x14ac:dyDescent="0.3">
      <c r="A52" s="161" t="s">
        <v>50</v>
      </c>
      <c r="B52" s="162"/>
      <c r="C52" s="162"/>
      <c r="D52" s="163"/>
      <c r="E52" s="34"/>
    </row>
    <row r="53" spans="1:7" x14ac:dyDescent="0.3">
      <c r="A53" s="140" t="s">
        <v>51</v>
      </c>
      <c r="B53" s="141"/>
      <c r="C53" s="141"/>
      <c r="D53" s="142"/>
    </row>
    <row r="54" spans="1:7" x14ac:dyDescent="0.3">
      <c r="A54" s="2" t="str">
        <f>+$A$11</f>
        <v>Kirpich</v>
      </c>
      <c r="B54" s="3" t="str">
        <f>+$A$16</f>
        <v>Ventura-Heras</v>
      </c>
      <c r="C54" s="3" t="str">
        <f>+$A$27</f>
        <v>Passini</v>
      </c>
      <c r="D54" s="4" t="str">
        <f>+$A$43</f>
        <v>Giandotti</v>
      </c>
    </row>
    <row r="55" spans="1:7" ht="16.2" thickBot="1" x14ac:dyDescent="0.35">
      <c r="A55" s="35">
        <f>+B14</f>
        <v>34.758615893331594</v>
      </c>
      <c r="B55" s="36">
        <f>+B24</f>
        <v>19.48557158514987</v>
      </c>
      <c r="C55" s="36">
        <f>+B35</f>
        <v>9.1869441444788649</v>
      </c>
      <c r="D55" s="37">
        <f>+B49</f>
        <v>96.683054263188851</v>
      </c>
    </row>
    <row r="56" spans="1:7" x14ac:dyDescent="0.3">
      <c r="A56" s="161" t="s">
        <v>52</v>
      </c>
      <c r="B56" s="162"/>
      <c r="C56" s="163"/>
    </row>
    <row r="57" spans="1:7" ht="16.2" thickBot="1" x14ac:dyDescent="0.35">
      <c r="A57" s="151" t="s">
        <v>41</v>
      </c>
      <c r="B57" s="152"/>
      <c r="C57" s="37">
        <f>+IF(A57="Kirpich",A55,IF(A57="Ventura-Heras",B55,IF(A57="Passini",C55,IF(A57="Giandotti",D55,"Dato invalido"))))</f>
        <v>19.48557158514987</v>
      </c>
    </row>
    <row r="58" spans="1:7" ht="16.2" thickBot="1" x14ac:dyDescent="0.35"/>
    <row r="59" spans="1:7" ht="18.600000000000001" thickBot="1" x14ac:dyDescent="0.35">
      <c r="A59" s="184" t="s">
        <v>53</v>
      </c>
      <c r="B59" s="185"/>
      <c r="C59" s="185"/>
      <c r="D59" s="185"/>
      <c r="E59" s="185"/>
      <c r="F59" s="185"/>
      <c r="G59" s="186"/>
    </row>
    <row r="60" spans="1:7" ht="16.2" thickBot="1" x14ac:dyDescent="0.35"/>
    <row r="61" spans="1:7" x14ac:dyDescent="0.3">
      <c r="A61" s="161" t="s">
        <v>13</v>
      </c>
      <c r="B61" s="162"/>
      <c r="C61" s="163"/>
      <c r="E61" s="161" t="s">
        <v>14</v>
      </c>
      <c r="F61" s="162"/>
      <c r="G61" s="163"/>
    </row>
    <row r="62" spans="1:7" x14ac:dyDescent="0.3">
      <c r="A62" s="140" t="s">
        <v>34</v>
      </c>
      <c r="B62" s="141"/>
      <c r="C62" s="142"/>
      <c r="E62" s="140" t="s">
        <v>34</v>
      </c>
      <c r="F62" s="141"/>
      <c r="G62" s="142"/>
    </row>
    <row r="63" spans="1:7" x14ac:dyDescent="0.3">
      <c r="A63" s="2" t="s">
        <v>35</v>
      </c>
      <c r="B63" s="21">
        <f>+'Carac. Geomorf.'!C12</f>
        <v>6.27</v>
      </c>
      <c r="C63" s="38">
        <f>+'Carac. Geomorf.'!E12</f>
        <v>6270</v>
      </c>
      <c r="E63" s="2" t="s">
        <v>35</v>
      </c>
      <c r="F63" s="21">
        <f>+'Carac. Geomorf.'!C21</f>
        <v>0.71</v>
      </c>
      <c r="G63" s="38">
        <f>+'Carac. Geomorf.'!E21</f>
        <v>710</v>
      </c>
    </row>
    <row r="64" spans="1:7" x14ac:dyDescent="0.3">
      <c r="A64" s="2" t="s">
        <v>36</v>
      </c>
      <c r="B64" s="23">
        <f>+'Carac. Geomorf.'!C13</f>
        <v>8.8699999999999992</v>
      </c>
      <c r="C64" s="39">
        <f>+'Carac. Geomorf.'!E13</f>
        <v>8870000</v>
      </c>
      <c r="E64" s="2" t="s">
        <v>36</v>
      </c>
      <c r="F64" s="23">
        <f>+'Carac. Geomorf.'!C22</f>
        <v>0.5</v>
      </c>
      <c r="G64" s="38">
        <f>+'Carac. Geomorf.'!E22</f>
        <v>500000</v>
      </c>
    </row>
    <row r="65" spans="1:7" x14ac:dyDescent="0.3">
      <c r="A65" s="2" t="s">
        <v>37</v>
      </c>
      <c r="B65" s="25">
        <f>+'Carac. Geomorf.'!C16</f>
        <v>5.6140350877192979</v>
      </c>
      <c r="C65" s="26">
        <f>+'Carac. Geomorf.'!E16</f>
        <v>5.6140350877192984E-2</v>
      </c>
      <c r="E65" s="2" t="s">
        <v>37</v>
      </c>
      <c r="F65" s="25">
        <f>+'Carac. Geomorf.'!C25</f>
        <v>4.647887323943662</v>
      </c>
      <c r="G65" s="26">
        <f>+'Carac. Geomorf.'!E25</f>
        <v>4.647887323943662E-2</v>
      </c>
    </row>
    <row r="66" spans="1:7" x14ac:dyDescent="0.3">
      <c r="A66" s="2" t="s">
        <v>38</v>
      </c>
      <c r="B66" s="146">
        <f>+'Carac. Geomorf.'!C17</f>
        <v>352</v>
      </c>
      <c r="C66" s="147"/>
      <c r="E66" s="2" t="s">
        <v>38</v>
      </c>
      <c r="F66" s="146">
        <f>+'Carac. Geomorf.'!C26</f>
        <v>33</v>
      </c>
      <c r="G66" s="147"/>
    </row>
    <row r="67" spans="1:7" ht="16.2" thickBot="1" x14ac:dyDescent="0.35">
      <c r="A67" s="11" t="str">
        <f>+'Uso de Suelo'!E13</f>
        <v>C2prom=</v>
      </c>
      <c r="B67" s="152">
        <f>+'Uso de Suelo'!F13</f>
        <v>0.17102593010146563</v>
      </c>
      <c r="C67" s="183"/>
      <c r="E67" s="11" t="str">
        <f>+'Uso de Suelo'!A27</f>
        <v>C3prom=</v>
      </c>
      <c r="F67" s="152">
        <f>+'Uso de Suelo'!B27</f>
        <v>0.13</v>
      </c>
      <c r="G67" s="183"/>
    </row>
    <row r="68" spans="1:7" ht="16.2" thickBot="1" x14ac:dyDescent="0.35"/>
    <row r="69" spans="1:7" x14ac:dyDescent="0.3">
      <c r="A69" s="159" t="s">
        <v>39</v>
      </c>
      <c r="B69" s="160"/>
      <c r="E69" s="159" t="s">
        <v>39</v>
      </c>
      <c r="F69" s="160"/>
    </row>
    <row r="70" spans="1:7" x14ac:dyDescent="0.3">
      <c r="A70" s="7" t="s">
        <v>29</v>
      </c>
      <c r="B70" s="27">
        <f>+C63</f>
        <v>6270</v>
      </c>
      <c r="E70" s="7" t="s">
        <v>29</v>
      </c>
      <c r="F70" s="27">
        <f>+G63</f>
        <v>710</v>
      </c>
    </row>
    <row r="71" spans="1:7" x14ac:dyDescent="0.3">
      <c r="A71" s="7" t="s">
        <v>37</v>
      </c>
      <c r="B71" s="28">
        <f>+C65</f>
        <v>5.6140350877192984E-2</v>
      </c>
      <c r="E71" s="7" t="s">
        <v>37</v>
      </c>
      <c r="F71" s="28">
        <f>+G65</f>
        <v>4.647887323943662E-2</v>
      </c>
    </row>
    <row r="72" spans="1:7" ht="16.2" thickBot="1" x14ac:dyDescent="0.35">
      <c r="A72" s="14" t="s">
        <v>40</v>
      </c>
      <c r="B72" s="29">
        <f>0.02*(B70^0.77)*(B71^-0.385)</f>
        <v>50.869220167405217</v>
      </c>
      <c r="E72" s="14" t="s">
        <v>40</v>
      </c>
      <c r="F72" s="29">
        <f>0.02*(F70^0.77)*(F71^-0.385)</f>
        <v>10.223639366650215</v>
      </c>
    </row>
    <row r="73" spans="1:7" ht="16.2" thickBot="1" x14ac:dyDescent="0.35"/>
    <row r="74" spans="1:7" x14ac:dyDescent="0.3">
      <c r="A74" s="159" t="s">
        <v>41</v>
      </c>
      <c r="B74" s="173"/>
      <c r="C74" s="160"/>
      <c r="E74" s="159" t="s">
        <v>41</v>
      </c>
      <c r="F74" s="173"/>
      <c r="G74" s="160"/>
    </row>
    <row r="75" spans="1:7" x14ac:dyDescent="0.3">
      <c r="A75" s="7" t="s">
        <v>42</v>
      </c>
      <c r="B75" s="179">
        <f>+B65</f>
        <v>5.6140350877192979</v>
      </c>
      <c r="C75" s="181"/>
      <c r="E75" s="7" t="s">
        <v>42</v>
      </c>
      <c r="F75" s="179">
        <f>+F65</f>
        <v>4.647887323943662</v>
      </c>
      <c r="G75" s="181"/>
    </row>
    <row r="76" spans="1:7" x14ac:dyDescent="0.3">
      <c r="A76" s="7" t="s">
        <v>43</v>
      </c>
      <c r="B76" s="174">
        <f>+B64</f>
        <v>8.8699999999999992</v>
      </c>
      <c r="C76" s="182"/>
      <c r="E76" s="7" t="s">
        <v>43</v>
      </c>
      <c r="F76" s="174">
        <f>+F64</f>
        <v>0.5</v>
      </c>
      <c r="G76" s="182"/>
    </row>
    <row r="77" spans="1:7" x14ac:dyDescent="0.3">
      <c r="A77" s="7" t="s">
        <v>44</v>
      </c>
      <c r="B77" s="175">
        <f>+B63</f>
        <v>6.27</v>
      </c>
      <c r="C77" s="180"/>
      <c r="E77" s="7" t="s">
        <v>44</v>
      </c>
      <c r="F77" s="175">
        <f>+F63</f>
        <v>0.71</v>
      </c>
      <c r="G77" s="180"/>
    </row>
    <row r="78" spans="1:7" x14ac:dyDescent="0.3">
      <c r="A78" s="7" t="s">
        <v>45</v>
      </c>
      <c r="B78" s="176">
        <f>+B77/(B76^0.5)</f>
        <v>2.1052599611320892</v>
      </c>
      <c r="C78" s="177"/>
      <c r="E78" s="7" t="s">
        <v>45</v>
      </c>
      <c r="F78" s="176">
        <f>+F77/(F76^0.5)</f>
        <v>1.0040916292848974</v>
      </c>
      <c r="G78" s="177"/>
    </row>
    <row r="79" spans="1:7" x14ac:dyDescent="0.3">
      <c r="A79" s="7">
        <v>0.05</v>
      </c>
      <c r="B79" s="8" t="s">
        <v>46</v>
      </c>
      <c r="C79" s="9">
        <v>0.5</v>
      </c>
      <c r="E79" s="7">
        <v>0.05</v>
      </c>
      <c r="F79" s="8" t="s">
        <v>46</v>
      </c>
      <c r="G79" s="9">
        <v>0.5</v>
      </c>
    </row>
    <row r="80" spans="1:7" x14ac:dyDescent="0.3">
      <c r="A80" s="7" t="s">
        <v>45</v>
      </c>
      <c r="B80" s="178">
        <f>+IF(B78&lt;A79,A79,IF(B78&gt;C79,C79,B78))</f>
        <v>0.5</v>
      </c>
      <c r="C80" s="168"/>
      <c r="E80" s="7" t="s">
        <v>45</v>
      </c>
      <c r="F80" s="178">
        <f>+IF(F78&lt;E79,E79,IF(F78&gt;G79,G79,F78))</f>
        <v>0.5</v>
      </c>
      <c r="G80" s="168"/>
    </row>
    <row r="81" spans="1:7" x14ac:dyDescent="0.3">
      <c r="A81" s="7" t="s">
        <v>40</v>
      </c>
      <c r="B81" s="169">
        <f>+B80*((B76^0.5)/B75)</f>
        <v>0.26525079339831859</v>
      </c>
      <c r="C81" s="170"/>
      <c r="E81" s="7" t="s">
        <v>40</v>
      </c>
      <c r="F81" s="169">
        <f>+F80*((F76^0.5)/F75)</f>
        <v>7.6067547673098299E-2</v>
      </c>
      <c r="G81" s="170"/>
    </row>
    <row r="82" spans="1:7" x14ac:dyDescent="0.3">
      <c r="A82" s="7" t="s">
        <v>40</v>
      </c>
      <c r="B82" s="171">
        <f>+B81*60</f>
        <v>15.915047603899115</v>
      </c>
      <c r="C82" s="172"/>
      <c r="E82" s="7" t="s">
        <v>40</v>
      </c>
      <c r="F82" s="171">
        <f>+F81*60</f>
        <v>4.5640528603858979</v>
      </c>
      <c r="G82" s="172"/>
    </row>
    <row r="83" spans="1:7" ht="16.2" thickBot="1" x14ac:dyDescent="0.35">
      <c r="A83" s="164" t="str">
        <f>+IF(B78&lt;A79,"alejamiento medio menor a límites",IF(B78&gt;C79,"alejamiento medio mayor a límites","alejamiento medio cumple con límites"))</f>
        <v>alejamiento medio mayor a límites</v>
      </c>
      <c r="B83" s="165"/>
      <c r="C83" s="166"/>
      <c r="E83" s="164" t="str">
        <f>+IF(F78&lt;E79,"alejamiento medio menor a límites",IF(F78&gt;G79,"alejamiento medio mayor a límites","alejamiento medio cumple con límites"))</f>
        <v>alejamiento medio mayor a límites</v>
      </c>
      <c r="F83" s="165"/>
      <c r="G83" s="166"/>
    </row>
    <row r="84" spans="1:7" ht="16.2" thickBot="1" x14ac:dyDescent="0.35">
      <c r="A84" s="8"/>
      <c r="B84" s="8"/>
      <c r="C84" s="8"/>
      <c r="D84" s="8"/>
      <c r="E84" s="8"/>
      <c r="F84" s="8"/>
      <c r="G84" s="8"/>
    </row>
    <row r="85" spans="1:7" x14ac:dyDescent="0.3">
      <c r="A85" s="159" t="s">
        <v>47</v>
      </c>
      <c r="B85" s="173"/>
      <c r="C85" s="160"/>
      <c r="E85" s="159" t="s">
        <v>47</v>
      </c>
      <c r="F85" s="173"/>
      <c r="G85" s="160"/>
    </row>
    <row r="86" spans="1:7" x14ac:dyDescent="0.3">
      <c r="A86" s="7" t="s">
        <v>42</v>
      </c>
      <c r="B86" s="179">
        <f>+B65</f>
        <v>5.6140350877192979</v>
      </c>
      <c r="C86" s="168"/>
      <c r="E86" s="7" t="s">
        <v>42</v>
      </c>
      <c r="F86" s="179">
        <f>+F65</f>
        <v>4.647887323943662</v>
      </c>
      <c r="G86" s="168"/>
    </row>
    <row r="87" spans="1:7" x14ac:dyDescent="0.3">
      <c r="A87" s="7" t="s">
        <v>43</v>
      </c>
      <c r="B87" s="174">
        <f>+B64</f>
        <v>8.8699999999999992</v>
      </c>
      <c r="C87" s="168"/>
      <c r="E87" s="7" t="s">
        <v>43</v>
      </c>
      <c r="F87" s="174">
        <f>+F64</f>
        <v>0.5</v>
      </c>
      <c r="G87" s="168"/>
    </row>
    <row r="88" spans="1:7" x14ac:dyDescent="0.3">
      <c r="A88" s="7" t="s">
        <v>44</v>
      </c>
      <c r="B88" s="175">
        <f>+B63</f>
        <v>6.27</v>
      </c>
      <c r="C88" s="168"/>
      <c r="E88" s="7" t="s">
        <v>44</v>
      </c>
      <c r="F88" s="175">
        <f>+F63</f>
        <v>0.71</v>
      </c>
      <c r="G88" s="168"/>
    </row>
    <row r="89" spans="1:7" x14ac:dyDescent="0.3">
      <c r="A89" s="7" t="s">
        <v>45</v>
      </c>
      <c r="B89" s="176">
        <f>+B88/(B87^0.5)</f>
        <v>2.1052599611320892</v>
      </c>
      <c r="C89" s="177"/>
      <c r="E89" s="7" t="s">
        <v>45</v>
      </c>
      <c r="F89" s="176">
        <f>+F88/(F87^0.5)</f>
        <v>1.0040916292848974</v>
      </c>
      <c r="G89" s="177"/>
    </row>
    <row r="90" spans="1:7" x14ac:dyDescent="0.3">
      <c r="A90" s="7">
        <v>0.04</v>
      </c>
      <c r="B90" s="8" t="s">
        <v>46</v>
      </c>
      <c r="C90" s="9">
        <v>0.13</v>
      </c>
      <c r="E90" s="7">
        <v>0.04</v>
      </c>
      <c r="F90" s="8" t="s">
        <v>46</v>
      </c>
      <c r="G90" s="9">
        <v>0.13</v>
      </c>
    </row>
    <row r="91" spans="1:7" x14ac:dyDescent="0.3">
      <c r="A91" s="7" t="s">
        <v>45</v>
      </c>
      <c r="B91" s="178">
        <f>+IF(B89&lt;A90,A90,IF(B89&gt;C90,C90,B89))</f>
        <v>0.13</v>
      </c>
      <c r="C91" s="168"/>
      <c r="E91" s="7" t="s">
        <v>45</v>
      </c>
      <c r="F91" s="178">
        <f>+IF(F89&lt;E90,E90,IF(F89&gt;G90,G90,F89))</f>
        <v>0.13</v>
      </c>
      <c r="G91" s="168"/>
    </row>
    <row r="92" spans="1:7" x14ac:dyDescent="0.3">
      <c r="A92" s="7" t="s">
        <v>40</v>
      </c>
      <c r="B92" s="169">
        <f>+B91*((B87*B88)^(1/3))/(B86^0.5)</f>
        <v>0.20942869081827586</v>
      </c>
      <c r="C92" s="170"/>
      <c r="E92" s="7" t="s">
        <v>40</v>
      </c>
      <c r="F92" s="169">
        <f>+F91*((F87*F88)^(1/3))/(F86^0.5)</f>
        <v>4.2696440890227894E-2</v>
      </c>
      <c r="G92" s="170"/>
    </row>
    <row r="93" spans="1:7" x14ac:dyDescent="0.3">
      <c r="A93" s="7" t="s">
        <v>40</v>
      </c>
      <c r="B93" s="171">
        <f>+B92*60</f>
        <v>12.565721449096552</v>
      </c>
      <c r="C93" s="172"/>
      <c r="E93" s="7" t="s">
        <v>40</v>
      </c>
      <c r="F93" s="171">
        <f>+F92*60</f>
        <v>2.5617864534136734</v>
      </c>
      <c r="G93" s="172"/>
    </row>
    <row r="94" spans="1:7" ht="16.2" thickBot="1" x14ac:dyDescent="0.35">
      <c r="A94" s="164" t="str">
        <f>+IF(B89&lt;A90,"alejamiento medio menor a límites",IF(B89&gt;C90,"alejamiento medio mayor a límites","alejamiento medio cumple con límites"))</f>
        <v>alejamiento medio mayor a límites</v>
      </c>
      <c r="B94" s="165"/>
      <c r="C94" s="166"/>
      <c r="E94" s="164" t="str">
        <f>+IF(F89&lt;E90,"alejamiento medio menor a límites",IF(F89&gt;G90,"alejamiento medio mayor a límites","alejamiento medio cumple con límites"))</f>
        <v>alejamiento medio mayor a límites</v>
      </c>
      <c r="F94" s="165"/>
      <c r="G94" s="166"/>
    </row>
    <row r="95" spans="1:7" ht="16.2" thickBot="1" x14ac:dyDescent="0.35">
      <c r="A95" s="8"/>
      <c r="B95" s="8"/>
      <c r="C95" s="8"/>
      <c r="E95" s="8"/>
      <c r="F95" s="8"/>
      <c r="G95" s="8"/>
    </row>
    <row r="96" spans="1:7" x14ac:dyDescent="0.3">
      <c r="A96" s="159" t="s">
        <v>48</v>
      </c>
      <c r="B96" s="173"/>
      <c r="C96" s="160"/>
      <c r="E96" s="159" t="s">
        <v>48</v>
      </c>
      <c r="F96" s="173"/>
      <c r="G96" s="160"/>
    </row>
    <row r="97" spans="1:7" x14ac:dyDescent="0.3">
      <c r="A97" s="7" t="s">
        <v>37</v>
      </c>
      <c r="B97" s="174">
        <f>+B64</f>
        <v>8.8699999999999992</v>
      </c>
      <c r="C97" s="168"/>
      <c r="E97" s="7" t="s">
        <v>37</v>
      </c>
      <c r="F97" s="174">
        <f>+F64</f>
        <v>0.5</v>
      </c>
      <c r="G97" s="168"/>
    </row>
    <row r="98" spans="1:7" x14ac:dyDescent="0.3">
      <c r="A98" s="7" t="s">
        <v>29</v>
      </c>
      <c r="B98" s="175">
        <f>+B63</f>
        <v>6.27</v>
      </c>
      <c r="C98" s="168"/>
      <c r="E98" s="7" t="s">
        <v>29</v>
      </c>
      <c r="F98" s="175">
        <f>+F63</f>
        <v>0.71</v>
      </c>
      <c r="G98" s="168"/>
    </row>
    <row r="99" spans="1:7" x14ac:dyDescent="0.3">
      <c r="A99" s="7" t="s">
        <v>38</v>
      </c>
      <c r="B99" s="167">
        <f>+B66</f>
        <v>352</v>
      </c>
      <c r="C99" s="168"/>
      <c r="E99" s="7" t="s">
        <v>38</v>
      </c>
      <c r="F99" s="167">
        <f>+F66</f>
        <v>33</v>
      </c>
      <c r="G99" s="168"/>
    </row>
    <row r="100" spans="1:7" x14ac:dyDescent="0.3">
      <c r="A100" s="32">
        <f>+B98/3600</f>
        <v>1.7416666666666665E-3</v>
      </c>
      <c r="B100" s="8" t="s">
        <v>49</v>
      </c>
      <c r="C100" s="33">
        <f>+(B98/3600)+1.5</f>
        <v>1.5017416666666668</v>
      </c>
      <c r="E100" s="32">
        <f>+F98/3600</f>
        <v>1.9722222222222222E-4</v>
      </c>
      <c r="F100" s="8" t="s">
        <v>49</v>
      </c>
      <c r="G100" s="33">
        <f>+(F98/3600)+1.5</f>
        <v>1.5001972222222222</v>
      </c>
    </row>
    <row r="101" spans="1:7" x14ac:dyDescent="0.3">
      <c r="A101" s="7" t="s">
        <v>40</v>
      </c>
      <c r="B101" s="169">
        <f>+(4*(B97^0.5)+1.5*B98)/(0.8*(B99^0.5))</f>
        <v>1.4203177274864101</v>
      </c>
      <c r="C101" s="170"/>
      <c r="E101" s="7" t="s">
        <v>40</v>
      </c>
      <c r="F101" s="169">
        <f>+(4*(F97^0.5)+1.5*F98)/(0.8*(F99^0.5))</f>
        <v>0.84719833438768644</v>
      </c>
      <c r="G101" s="170"/>
    </row>
    <row r="102" spans="1:7" x14ac:dyDescent="0.3">
      <c r="A102" s="7" t="s">
        <v>40</v>
      </c>
      <c r="B102" s="171">
        <f>+B101*60</f>
        <v>85.219063649184605</v>
      </c>
      <c r="C102" s="172"/>
      <c r="E102" s="7" t="s">
        <v>40</v>
      </c>
      <c r="F102" s="171">
        <f>+F101*60</f>
        <v>50.831900063261187</v>
      </c>
      <c r="G102" s="172"/>
    </row>
    <row r="103" spans="1:7" ht="16.2" thickBot="1" x14ac:dyDescent="0.35">
      <c r="A103" s="164" t="str">
        <f>+IF(B101&lt;A100,"tiempo de cosncentración menor a límites",IF(B101&gt;C100,"tiempo de cosncentración mayor a límites","tiempo de cosncentración cumple con límites"))</f>
        <v>tiempo de cosncentración cumple con límites</v>
      </c>
      <c r="B103" s="165"/>
      <c r="C103" s="166"/>
      <c r="E103" s="164" t="str">
        <f>+IF(F101&lt;E100,"tiempo de cosncentración menor a límites",IF(F101&gt;G100,"tiempo de cosncentración mayor a límites","tiempo de cosncentración cumple con límites"))</f>
        <v>tiempo de cosncentración cumple con límites</v>
      </c>
      <c r="F103" s="165"/>
      <c r="G103" s="166"/>
    </row>
    <row r="104" spans="1:7" ht="16.2" thickBot="1" x14ac:dyDescent="0.35"/>
    <row r="105" spans="1:7" x14ac:dyDescent="0.3">
      <c r="A105" s="161" t="s">
        <v>50</v>
      </c>
      <c r="B105" s="162"/>
      <c r="C105" s="162"/>
      <c r="D105" s="162"/>
      <c r="E105" s="163"/>
    </row>
    <row r="106" spans="1:7" x14ac:dyDescent="0.3">
      <c r="A106" s="140" t="s">
        <v>54</v>
      </c>
      <c r="B106" s="141" t="s">
        <v>51</v>
      </c>
      <c r="C106" s="141"/>
      <c r="D106" s="141"/>
      <c r="E106" s="142"/>
    </row>
    <row r="107" spans="1:7" x14ac:dyDescent="0.3">
      <c r="A107" s="140"/>
      <c r="B107" s="3" t="str">
        <f>+$A$11</f>
        <v>Kirpich</v>
      </c>
      <c r="C107" s="3" t="str">
        <f>+$A$16</f>
        <v>Ventura-Heras</v>
      </c>
      <c r="D107" s="3" t="str">
        <f>+$A$27</f>
        <v>Passini</v>
      </c>
      <c r="E107" s="4" t="str">
        <f>+$A$43</f>
        <v>Giandotti</v>
      </c>
    </row>
    <row r="108" spans="1:7" x14ac:dyDescent="0.3">
      <c r="A108" s="2" t="str">
        <f>+CONCATENATE("TC ",A61)</f>
        <v>TC Cuenca 2</v>
      </c>
      <c r="B108" s="40">
        <f>+B72</f>
        <v>50.869220167405217</v>
      </c>
      <c r="C108" s="40">
        <f>+B82</f>
        <v>15.915047603899115</v>
      </c>
      <c r="D108" s="40">
        <f>+B93</f>
        <v>12.565721449096552</v>
      </c>
      <c r="E108" s="41">
        <f>+B102</f>
        <v>85.219063649184605</v>
      </c>
    </row>
    <row r="109" spans="1:7" ht="16.2" thickBot="1" x14ac:dyDescent="0.35">
      <c r="A109" s="11" t="str">
        <f>+CONCATENATE("TC ",E61)</f>
        <v>TC Cuenca 3</v>
      </c>
      <c r="B109" s="36">
        <f>+F72</f>
        <v>10.223639366650215</v>
      </c>
      <c r="C109" s="36">
        <f>+F82</f>
        <v>4.5640528603858979</v>
      </c>
      <c r="D109" s="36">
        <f>+F93</f>
        <v>2.5617864534136734</v>
      </c>
      <c r="E109" s="37">
        <f>+F102</f>
        <v>50.831900063261187</v>
      </c>
    </row>
    <row r="110" spans="1:7" x14ac:dyDescent="0.3">
      <c r="A110" s="161" t="s">
        <v>56</v>
      </c>
      <c r="B110" s="162"/>
      <c r="C110" s="162"/>
      <c r="D110" s="163"/>
    </row>
    <row r="111" spans="1:7" x14ac:dyDescent="0.3">
      <c r="A111" s="2" t="s">
        <v>55</v>
      </c>
      <c r="B111" s="141" t="s">
        <v>52</v>
      </c>
      <c r="C111" s="141"/>
      <c r="D111" s="142"/>
    </row>
    <row r="112" spans="1:7" x14ac:dyDescent="0.3">
      <c r="A112" s="2" t="str">
        <f>+A108</f>
        <v>TC Cuenca 2</v>
      </c>
      <c r="B112" s="141" t="s">
        <v>41</v>
      </c>
      <c r="C112" s="141"/>
      <c r="D112" s="41">
        <f>+IF(B112="Kirpich",B108,IF(B112="Ventura-Heras",C108,IF(B112="Passini",D108,IF(B112="Giandotti",E108,"Dato invalido"))))</f>
        <v>15.915047603899115</v>
      </c>
    </row>
    <row r="113" spans="1:7" ht="16.2" thickBot="1" x14ac:dyDescent="0.35">
      <c r="A113" s="11" t="str">
        <f>+A109</f>
        <v>TC Cuenca 3</v>
      </c>
      <c r="B113" s="152" t="str">
        <f>+B112</f>
        <v>Ventura-Heras</v>
      </c>
      <c r="C113" s="152"/>
      <c r="D113" s="37">
        <f>+IF(B113="Kirpich",B109,IF(B113="Ventura-Heras",C109,IF(B113="Passini",D109,IF(B113="Giandotti",E109,"Dato invalido"))))</f>
        <v>4.5640528603858979</v>
      </c>
    </row>
    <row r="114" spans="1:7" ht="16.2" thickBot="1" x14ac:dyDescent="0.35"/>
    <row r="115" spans="1:7" ht="18.600000000000001" thickBot="1" x14ac:dyDescent="0.35">
      <c r="A115" s="184" t="s">
        <v>57</v>
      </c>
      <c r="B115" s="185"/>
      <c r="C115" s="185"/>
      <c r="D115" s="185"/>
      <c r="E115" s="185"/>
      <c r="F115" s="185"/>
      <c r="G115" s="186"/>
    </row>
    <row r="116" spans="1:7" ht="16.2" thickBot="1" x14ac:dyDescent="0.35"/>
    <row r="117" spans="1:7" x14ac:dyDescent="0.3">
      <c r="A117" s="161" t="s">
        <v>15</v>
      </c>
      <c r="B117" s="162"/>
      <c r="C117" s="163"/>
      <c r="E117" s="161" t="s">
        <v>16</v>
      </c>
      <c r="F117" s="162"/>
      <c r="G117" s="163"/>
    </row>
    <row r="118" spans="1:7" x14ac:dyDescent="0.3">
      <c r="A118" s="140" t="s">
        <v>34</v>
      </c>
      <c r="B118" s="141"/>
      <c r="C118" s="142"/>
      <c r="E118" s="140" t="s">
        <v>34</v>
      </c>
      <c r="F118" s="141"/>
      <c r="G118" s="142"/>
    </row>
    <row r="119" spans="1:7" x14ac:dyDescent="0.3">
      <c r="A119" s="2" t="s">
        <v>35</v>
      </c>
      <c r="B119" s="23">
        <f>+'Carac. Geomorf.'!C30</f>
        <v>5.27</v>
      </c>
      <c r="C119" s="38">
        <f>+'Carac. Geomorf.'!E30</f>
        <v>5270</v>
      </c>
      <c r="E119" s="2" t="s">
        <v>35</v>
      </c>
      <c r="F119" s="21">
        <f>+'Carac. Geomorf.'!C45</f>
        <v>2</v>
      </c>
      <c r="G119" s="38">
        <f>+'Carac. Geomorf.'!E45</f>
        <v>2000</v>
      </c>
    </row>
    <row r="120" spans="1:7" x14ac:dyDescent="0.3">
      <c r="A120" s="2" t="s">
        <v>36</v>
      </c>
      <c r="B120" s="23">
        <f>+'Carac. Geomorf.'!C31</f>
        <v>6.24</v>
      </c>
      <c r="C120" s="38">
        <f>+'Carac. Geomorf.'!E31</f>
        <v>6240000</v>
      </c>
      <c r="E120" s="2" t="s">
        <v>36</v>
      </c>
      <c r="F120" s="21">
        <f>+'Carac. Geomorf.'!C46</f>
        <v>2.13</v>
      </c>
      <c r="G120" s="38">
        <f>+'Carac. Geomorf.'!E46</f>
        <v>2130000</v>
      </c>
    </row>
    <row r="121" spans="1:7" x14ac:dyDescent="0.3">
      <c r="A121" s="2" t="s">
        <v>37</v>
      </c>
      <c r="B121" s="23">
        <f>+'Carac. Geomorf.'!C34</f>
        <v>3.6053130929791273</v>
      </c>
      <c r="C121" s="38">
        <f>+'Carac. Geomorf.'!E34</f>
        <v>3.6053130929791274E-2</v>
      </c>
      <c r="E121" s="2" t="s">
        <v>37</v>
      </c>
      <c r="F121" s="25">
        <f>+'Carac. Geomorf.'!C49</f>
        <v>2.65</v>
      </c>
      <c r="G121" s="43">
        <f>+'Carac. Geomorf.'!E49</f>
        <v>2.6499999999999999E-2</v>
      </c>
    </row>
    <row r="122" spans="1:7" x14ac:dyDescent="0.3">
      <c r="A122" s="2" t="s">
        <v>38</v>
      </c>
      <c r="B122" s="146">
        <f>+'Carac. Geomorf.'!C35</f>
        <v>190</v>
      </c>
      <c r="C122" s="147"/>
      <c r="E122" s="2" t="s">
        <v>38</v>
      </c>
      <c r="F122" s="146">
        <f>+'Carac. Geomorf.'!C50</f>
        <v>53</v>
      </c>
      <c r="G122" s="147"/>
    </row>
    <row r="123" spans="1:7" ht="16.2" thickBot="1" x14ac:dyDescent="0.35">
      <c r="A123" s="11" t="str">
        <f>+'Uso de Suelo'!E27</f>
        <v>C4prom=</v>
      </c>
      <c r="B123" s="143">
        <f>+'Uso de Suelo'!F27</f>
        <v>0.18894230769230769</v>
      </c>
      <c r="C123" s="144"/>
      <c r="E123" s="11" t="str">
        <f>+'Uso de Suelo'!A41</f>
        <v>C5prom=</v>
      </c>
      <c r="F123" s="143">
        <f>+'Uso de Suelo'!B41</f>
        <v>0.15868544600938966</v>
      </c>
      <c r="G123" s="144"/>
    </row>
    <row r="124" spans="1:7" x14ac:dyDescent="0.3">
      <c r="A124" s="8"/>
      <c r="B124" s="13"/>
      <c r="C124" s="13"/>
      <c r="E124" s="8"/>
      <c r="F124" s="13"/>
      <c r="G124" s="13"/>
    </row>
    <row r="125" spans="1:7" x14ac:dyDescent="0.3">
      <c r="A125" s="8"/>
      <c r="B125" s="13"/>
      <c r="C125" s="13"/>
      <c r="E125" s="8"/>
      <c r="F125" s="13"/>
      <c r="G125" s="13"/>
    </row>
    <row r="126" spans="1:7" ht="16.2" thickBot="1" x14ac:dyDescent="0.35"/>
    <row r="127" spans="1:7" x14ac:dyDescent="0.3">
      <c r="A127" s="159" t="s">
        <v>39</v>
      </c>
      <c r="B127" s="160"/>
      <c r="E127" s="159" t="s">
        <v>39</v>
      </c>
      <c r="F127" s="160"/>
    </row>
    <row r="128" spans="1:7" x14ac:dyDescent="0.3">
      <c r="A128" s="7" t="s">
        <v>29</v>
      </c>
      <c r="B128" s="27">
        <f>+C119</f>
        <v>5270</v>
      </c>
      <c r="E128" s="7" t="s">
        <v>29</v>
      </c>
      <c r="F128" s="27">
        <f>+G119</f>
        <v>2000</v>
      </c>
    </row>
    <row r="129" spans="1:7" x14ac:dyDescent="0.3">
      <c r="A129" s="7" t="s">
        <v>37</v>
      </c>
      <c r="B129" s="28">
        <f>+C121</f>
        <v>3.6053130929791274E-2</v>
      </c>
      <c r="E129" s="7" t="s">
        <v>37</v>
      </c>
      <c r="F129" s="28">
        <f>+G121</f>
        <v>2.6499999999999999E-2</v>
      </c>
    </row>
    <row r="130" spans="1:7" ht="16.2" thickBot="1" x14ac:dyDescent="0.35">
      <c r="A130" s="14" t="s">
        <v>40</v>
      </c>
      <c r="B130" s="29">
        <f>0.02*(B128^0.77)*(B129^-0.385)</f>
        <v>52.771704252922007</v>
      </c>
      <c r="E130" s="14" t="s">
        <v>40</v>
      </c>
      <c r="F130" s="29">
        <f>0.02*(F128^0.77)*(F129^-0.385)</f>
        <v>28.175616720859473</v>
      </c>
    </row>
    <row r="131" spans="1:7" ht="16.2" thickBot="1" x14ac:dyDescent="0.35"/>
    <row r="132" spans="1:7" x14ac:dyDescent="0.3">
      <c r="A132" s="159" t="s">
        <v>41</v>
      </c>
      <c r="B132" s="173"/>
      <c r="C132" s="160"/>
      <c r="E132" s="159" t="s">
        <v>41</v>
      </c>
      <c r="F132" s="173"/>
      <c r="G132" s="160"/>
    </row>
    <row r="133" spans="1:7" x14ac:dyDescent="0.3">
      <c r="A133" s="7" t="s">
        <v>42</v>
      </c>
      <c r="B133" s="179">
        <f>+B121</f>
        <v>3.6053130929791273</v>
      </c>
      <c r="C133" s="181"/>
      <c r="E133" s="7" t="s">
        <v>42</v>
      </c>
      <c r="F133" s="179">
        <f>+F121</f>
        <v>2.65</v>
      </c>
      <c r="G133" s="181"/>
    </row>
    <row r="134" spans="1:7" x14ac:dyDescent="0.3">
      <c r="A134" s="7" t="s">
        <v>43</v>
      </c>
      <c r="B134" s="174">
        <f>+B120</f>
        <v>6.24</v>
      </c>
      <c r="C134" s="182"/>
      <c r="E134" s="7" t="s">
        <v>43</v>
      </c>
      <c r="F134" s="174">
        <f>+F120</f>
        <v>2.13</v>
      </c>
      <c r="G134" s="182"/>
    </row>
    <row r="135" spans="1:7" x14ac:dyDescent="0.3">
      <c r="A135" s="7" t="s">
        <v>44</v>
      </c>
      <c r="B135" s="175">
        <f>+B119</f>
        <v>5.27</v>
      </c>
      <c r="C135" s="180"/>
      <c r="E135" s="7" t="s">
        <v>44</v>
      </c>
      <c r="F135" s="175">
        <f>+F119</f>
        <v>2</v>
      </c>
      <c r="G135" s="180"/>
    </row>
    <row r="136" spans="1:7" x14ac:dyDescent="0.3">
      <c r="A136" s="7" t="s">
        <v>45</v>
      </c>
      <c r="B136" s="176">
        <f>+B135/(B134^0.5)</f>
        <v>2.1096884263820228</v>
      </c>
      <c r="C136" s="177"/>
      <c r="E136" s="7" t="s">
        <v>45</v>
      </c>
      <c r="F136" s="176">
        <f>+F135/(F134^0.5)</f>
        <v>1.3703774196550633</v>
      </c>
      <c r="G136" s="177"/>
    </row>
    <row r="137" spans="1:7" x14ac:dyDescent="0.3">
      <c r="A137" s="7">
        <v>0.05</v>
      </c>
      <c r="B137" s="8" t="s">
        <v>46</v>
      </c>
      <c r="C137" s="9">
        <v>0.5</v>
      </c>
      <c r="E137" s="7">
        <v>0.05</v>
      </c>
      <c r="F137" s="8" t="s">
        <v>46</v>
      </c>
      <c r="G137" s="9">
        <v>0.5</v>
      </c>
    </row>
    <row r="138" spans="1:7" x14ac:dyDescent="0.3">
      <c r="A138" s="7" t="s">
        <v>45</v>
      </c>
      <c r="B138" s="178">
        <f>+IF(B136&lt;A137,A137,IF(B136&gt;C137,C137,B136))</f>
        <v>0.5</v>
      </c>
      <c r="C138" s="168"/>
      <c r="E138" s="7" t="s">
        <v>45</v>
      </c>
      <c r="F138" s="178">
        <f>+IF(F136&lt;E137,E137,IF(F136&gt;G137,G137,F136))</f>
        <v>0.5</v>
      </c>
      <c r="G138" s="168"/>
    </row>
    <row r="139" spans="1:7" x14ac:dyDescent="0.3">
      <c r="A139" s="7" t="s">
        <v>40</v>
      </c>
      <c r="B139" s="169">
        <f>+B138*((B134^0.5)/B133)</f>
        <v>0.34643304685852166</v>
      </c>
      <c r="C139" s="170"/>
      <c r="E139" s="7" t="s">
        <v>40</v>
      </c>
      <c r="F139" s="169">
        <f>+F138*((F134^0.5)/F133)</f>
        <v>0.27536829281747971</v>
      </c>
      <c r="G139" s="170"/>
    </row>
    <row r="140" spans="1:7" x14ac:dyDescent="0.3">
      <c r="A140" s="7" t="s">
        <v>40</v>
      </c>
      <c r="B140" s="171">
        <f>+B139*60</f>
        <v>20.7859828115113</v>
      </c>
      <c r="C140" s="172"/>
      <c r="E140" s="7" t="s">
        <v>40</v>
      </c>
      <c r="F140" s="171">
        <f>+F139*60</f>
        <v>16.522097569048782</v>
      </c>
      <c r="G140" s="172"/>
    </row>
    <row r="141" spans="1:7" ht="16.2" thickBot="1" x14ac:dyDescent="0.35">
      <c r="A141" s="164" t="str">
        <f>+IF(B136&lt;A137,"alejamiento medio menor a límites",IF(B136&gt;C137,"alejamiento medio mayor a límites","alejamiento medio cumple con límites"))</f>
        <v>alejamiento medio mayor a límites</v>
      </c>
      <c r="B141" s="165"/>
      <c r="C141" s="166"/>
      <c r="E141" s="164" t="str">
        <f>+IF(F136&lt;E137,"alejamiento medio menor a límites",IF(F136&gt;G137,"alejamiento medio mayor a límites","alejamiento medio cumple con límites"))</f>
        <v>alejamiento medio mayor a límites</v>
      </c>
      <c r="F141" s="165"/>
      <c r="G141" s="166"/>
    </row>
    <row r="142" spans="1:7" ht="16.2" thickBot="1" x14ac:dyDescent="0.35">
      <c r="A142" s="8"/>
      <c r="B142" s="8"/>
      <c r="C142" s="8"/>
      <c r="D142" s="8"/>
      <c r="E142" s="8"/>
      <c r="F142" s="8"/>
      <c r="G142" s="8"/>
    </row>
    <row r="143" spans="1:7" x14ac:dyDescent="0.3">
      <c r="A143" s="159" t="s">
        <v>47</v>
      </c>
      <c r="B143" s="173"/>
      <c r="C143" s="160"/>
      <c r="E143" s="159" t="s">
        <v>47</v>
      </c>
      <c r="F143" s="173"/>
      <c r="G143" s="160"/>
    </row>
    <row r="144" spans="1:7" x14ac:dyDescent="0.3">
      <c r="A144" s="7" t="s">
        <v>42</v>
      </c>
      <c r="B144" s="179">
        <f>+B121</f>
        <v>3.6053130929791273</v>
      </c>
      <c r="C144" s="168"/>
      <c r="E144" s="7" t="s">
        <v>42</v>
      </c>
      <c r="F144" s="179">
        <f>+F121</f>
        <v>2.65</v>
      </c>
      <c r="G144" s="168"/>
    </row>
    <row r="145" spans="1:7" x14ac:dyDescent="0.3">
      <c r="A145" s="7" t="s">
        <v>43</v>
      </c>
      <c r="B145" s="174">
        <f>+B120</f>
        <v>6.24</v>
      </c>
      <c r="C145" s="168"/>
      <c r="E145" s="7" t="s">
        <v>43</v>
      </c>
      <c r="F145" s="174">
        <f>+F120</f>
        <v>2.13</v>
      </c>
      <c r="G145" s="168"/>
    </row>
    <row r="146" spans="1:7" x14ac:dyDescent="0.3">
      <c r="A146" s="7" t="s">
        <v>44</v>
      </c>
      <c r="B146" s="175">
        <f>+B119</f>
        <v>5.27</v>
      </c>
      <c r="C146" s="168"/>
      <c r="E146" s="7" t="s">
        <v>44</v>
      </c>
      <c r="F146" s="175">
        <f>+F119</f>
        <v>2</v>
      </c>
      <c r="G146" s="168"/>
    </row>
    <row r="147" spans="1:7" x14ac:dyDescent="0.3">
      <c r="A147" s="7" t="s">
        <v>45</v>
      </c>
      <c r="B147" s="176">
        <f>+B146/(B145^0.5)</f>
        <v>2.1096884263820228</v>
      </c>
      <c r="C147" s="177"/>
      <c r="E147" s="7" t="s">
        <v>45</v>
      </c>
      <c r="F147" s="176">
        <f>+F146/(F145^0.5)</f>
        <v>1.3703774196550633</v>
      </c>
      <c r="G147" s="177"/>
    </row>
    <row r="148" spans="1:7" x14ac:dyDescent="0.3">
      <c r="A148" s="7">
        <v>0.04</v>
      </c>
      <c r="B148" s="8" t="s">
        <v>46</v>
      </c>
      <c r="C148" s="9">
        <v>0.13</v>
      </c>
      <c r="E148" s="7">
        <v>0.04</v>
      </c>
      <c r="F148" s="8" t="s">
        <v>46</v>
      </c>
      <c r="G148" s="9">
        <v>0.13</v>
      </c>
    </row>
    <row r="149" spans="1:7" x14ac:dyDescent="0.3">
      <c r="A149" s="7" t="s">
        <v>45</v>
      </c>
      <c r="B149" s="178">
        <f>+IF(B147&lt;A148,A148,IF(B147&gt;C148,C148,B147))</f>
        <v>0.13</v>
      </c>
      <c r="C149" s="168"/>
      <c r="E149" s="7" t="s">
        <v>45</v>
      </c>
      <c r="F149" s="178">
        <f>+IF(F147&lt;E148,E148,IF(F147&gt;G148,G148,F147))</f>
        <v>0.13</v>
      </c>
      <c r="G149" s="168"/>
    </row>
    <row r="150" spans="1:7" x14ac:dyDescent="0.3">
      <c r="A150" s="7" t="s">
        <v>40</v>
      </c>
      <c r="B150" s="169">
        <f>+B149*((B145*B146)^(1/3))/(B144^0.5)</f>
        <v>0.21934964089107081</v>
      </c>
      <c r="C150" s="170"/>
      <c r="E150" s="7" t="s">
        <v>40</v>
      </c>
      <c r="F150" s="169">
        <f>+F149*((F145*F146)^(1/3))/(F144^0.5)</f>
        <v>0.12945642662098233</v>
      </c>
      <c r="G150" s="170"/>
    </row>
    <row r="151" spans="1:7" x14ac:dyDescent="0.3">
      <c r="A151" s="7" t="s">
        <v>40</v>
      </c>
      <c r="B151" s="171">
        <f>+B150*60</f>
        <v>13.160978453464249</v>
      </c>
      <c r="C151" s="172"/>
      <c r="E151" s="7" t="s">
        <v>40</v>
      </c>
      <c r="F151" s="171">
        <f>+F150*60</f>
        <v>7.7673855972589401</v>
      </c>
      <c r="G151" s="172"/>
    </row>
    <row r="152" spans="1:7" ht="16.2" thickBot="1" x14ac:dyDescent="0.35">
      <c r="A152" s="164" t="str">
        <f>+IF(B147&lt;A148,"alejamiento medio menor a límites",IF(B147&gt;C148,"alejamiento medio mayor a límites","alejamiento medio cumple con límites"))</f>
        <v>alejamiento medio mayor a límites</v>
      </c>
      <c r="B152" s="165"/>
      <c r="C152" s="166"/>
      <c r="E152" s="164" t="str">
        <f>+IF(F147&lt;E148,"alejamiento medio menor a límites",IF(F147&gt;G148,"alejamiento medio mayor a límites","alejamiento medio cumple con límites"))</f>
        <v>alejamiento medio mayor a límites</v>
      </c>
      <c r="F152" s="165"/>
      <c r="G152" s="166"/>
    </row>
    <row r="153" spans="1:7" ht="16.2" thickBot="1" x14ac:dyDescent="0.35"/>
    <row r="154" spans="1:7" x14ac:dyDescent="0.3">
      <c r="A154" s="159" t="s">
        <v>48</v>
      </c>
      <c r="B154" s="173"/>
      <c r="C154" s="160"/>
      <c r="E154" s="159" t="s">
        <v>48</v>
      </c>
      <c r="F154" s="173"/>
      <c r="G154" s="160"/>
    </row>
    <row r="155" spans="1:7" x14ac:dyDescent="0.3">
      <c r="A155" s="7" t="s">
        <v>37</v>
      </c>
      <c r="B155" s="174">
        <f>+B120</f>
        <v>6.24</v>
      </c>
      <c r="C155" s="168"/>
      <c r="E155" s="7" t="s">
        <v>37</v>
      </c>
      <c r="F155" s="174">
        <f>+F120</f>
        <v>2.13</v>
      </c>
      <c r="G155" s="168"/>
    </row>
    <row r="156" spans="1:7" x14ac:dyDescent="0.3">
      <c r="A156" s="7" t="s">
        <v>29</v>
      </c>
      <c r="B156" s="175">
        <f>+B119</f>
        <v>5.27</v>
      </c>
      <c r="C156" s="168"/>
      <c r="E156" s="7" t="s">
        <v>29</v>
      </c>
      <c r="F156" s="175">
        <f>+F119</f>
        <v>2</v>
      </c>
      <c r="G156" s="168"/>
    </row>
    <row r="157" spans="1:7" x14ac:dyDescent="0.3">
      <c r="A157" s="7" t="s">
        <v>38</v>
      </c>
      <c r="B157" s="167">
        <f>+B122</f>
        <v>190</v>
      </c>
      <c r="C157" s="168"/>
      <c r="E157" s="7" t="s">
        <v>38</v>
      </c>
      <c r="F157" s="167">
        <f>+F122</f>
        <v>53</v>
      </c>
      <c r="G157" s="168"/>
    </row>
    <row r="158" spans="1:7" x14ac:dyDescent="0.3">
      <c r="A158" s="32">
        <f>+B156/3600</f>
        <v>1.4638888888888887E-3</v>
      </c>
      <c r="B158" s="8" t="s">
        <v>49</v>
      </c>
      <c r="C158" s="33">
        <f>+(B156/3600)+1.5</f>
        <v>1.5014638888888889</v>
      </c>
      <c r="E158" s="32">
        <f>+F156/3600</f>
        <v>5.5555555555555556E-4</v>
      </c>
      <c r="F158" s="8" t="s">
        <v>49</v>
      </c>
      <c r="G158" s="33">
        <f>+(F156/3600)+1.5</f>
        <v>1.5005555555555556</v>
      </c>
    </row>
    <row r="159" spans="1:7" x14ac:dyDescent="0.3">
      <c r="A159" s="7" t="s">
        <v>40</v>
      </c>
      <c r="B159" s="169">
        <f>+(4*(B155^0.5)+1.5*B156)/(0.8*(B157^0.5))</f>
        <v>1.622980765604475</v>
      </c>
      <c r="C159" s="170"/>
      <c r="E159" s="7" t="s">
        <v>40</v>
      </c>
      <c r="F159" s="169">
        <f>+(4*(F155^0.5)+1.5*F156)/(0.8*(F157^0.5))</f>
        <v>1.5174578306749977</v>
      </c>
      <c r="G159" s="170"/>
    </row>
    <row r="160" spans="1:7" x14ac:dyDescent="0.3">
      <c r="A160" s="7" t="s">
        <v>40</v>
      </c>
      <c r="B160" s="171">
        <f>+B159*60</f>
        <v>97.378845936268505</v>
      </c>
      <c r="C160" s="172"/>
      <c r="E160" s="7" t="s">
        <v>40</v>
      </c>
      <c r="F160" s="171">
        <f>+F159*60</f>
        <v>91.047469840499858</v>
      </c>
      <c r="G160" s="172"/>
    </row>
    <row r="161" spans="1:7" ht="16.2" thickBot="1" x14ac:dyDescent="0.35">
      <c r="A161" s="164" t="str">
        <f>+IF(B159&lt;A158,"tiempo de cosncentración menor a límites",IF(B159&gt;C158,"tiempo de cosncentración mayor a límites","tiempo de cosncentración cumple con límites"))</f>
        <v>tiempo de cosncentración mayor a límites</v>
      </c>
      <c r="B161" s="165"/>
      <c r="C161" s="166"/>
      <c r="E161" s="164" t="str">
        <f>+IF(F159&lt;E158,"tiempo de cosncentración menor a límites",IF(F159&gt;G158,"tiempo de cosncentración mayor a límites","tiempo de cosncentración cumple con límites"))</f>
        <v>tiempo de cosncentración mayor a límites</v>
      </c>
      <c r="F161" s="165"/>
      <c r="G161" s="166"/>
    </row>
    <row r="162" spans="1:7" ht="16.2" thickBot="1" x14ac:dyDescent="0.35"/>
    <row r="163" spans="1:7" x14ac:dyDescent="0.3">
      <c r="A163" s="161" t="s">
        <v>50</v>
      </c>
      <c r="B163" s="162"/>
      <c r="C163" s="162"/>
      <c r="D163" s="162"/>
      <c r="E163" s="163"/>
    </row>
    <row r="164" spans="1:7" x14ac:dyDescent="0.3">
      <c r="A164" s="140" t="s">
        <v>54</v>
      </c>
      <c r="B164" s="141" t="s">
        <v>51</v>
      </c>
      <c r="C164" s="141"/>
      <c r="D164" s="141"/>
      <c r="E164" s="142"/>
    </row>
    <row r="165" spans="1:7" x14ac:dyDescent="0.3">
      <c r="A165" s="140"/>
      <c r="B165" s="3" t="str">
        <f>+$A$11</f>
        <v>Kirpich</v>
      </c>
      <c r="C165" s="3" t="str">
        <f>+$A$16</f>
        <v>Ventura-Heras</v>
      </c>
      <c r="D165" s="3" t="str">
        <f>+$A$27</f>
        <v>Passini</v>
      </c>
      <c r="E165" s="4" t="str">
        <f>+$A$43</f>
        <v>Giandotti</v>
      </c>
    </row>
    <row r="166" spans="1:7" x14ac:dyDescent="0.3">
      <c r="A166" s="2" t="str">
        <f>+CONCATENATE("TC ",A117)</f>
        <v>TC Cuenca 4</v>
      </c>
      <c r="B166" s="40">
        <f>+B130</f>
        <v>52.771704252922007</v>
      </c>
      <c r="C166" s="40">
        <f>+B140</f>
        <v>20.7859828115113</v>
      </c>
      <c r="D166" s="40">
        <f>+B151</f>
        <v>13.160978453464249</v>
      </c>
      <c r="E166" s="41">
        <f>+B160</f>
        <v>97.378845936268505</v>
      </c>
    </row>
    <row r="167" spans="1:7" ht="16.2" thickBot="1" x14ac:dyDescent="0.35">
      <c r="A167" s="11" t="str">
        <f>+CONCATENATE("TC ",E117)</f>
        <v>TC Cuenca 5</v>
      </c>
      <c r="B167" s="36">
        <f>+F130</f>
        <v>28.175616720859473</v>
      </c>
      <c r="C167" s="36">
        <f>+F140</f>
        <v>16.522097569048782</v>
      </c>
      <c r="D167" s="36">
        <f>+F151</f>
        <v>7.7673855972589401</v>
      </c>
      <c r="E167" s="37">
        <f>+F160</f>
        <v>91.047469840499858</v>
      </c>
    </row>
    <row r="168" spans="1:7" x14ac:dyDescent="0.3">
      <c r="A168" s="8"/>
      <c r="B168" s="42"/>
      <c r="C168" s="42"/>
      <c r="D168" s="42"/>
      <c r="E168" s="42"/>
    </row>
    <row r="169" spans="1:7" ht="16.2" thickBot="1" x14ac:dyDescent="0.35">
      <c r="A169" s="8"/>
      <c r="B169" s="42"/>
      <c r="C169" s="42"/>
      <c r="D169" s="42"/>
      <c r="E169" s="42"/>
    </row>
    <row r="170" spans="1:7" x14ac:dyDescent="0.3">
      <c r="A170" s="161" t="s">
        <v>56</v>
      </c>
      <c r="B170" s="162"/>
      <c r="C170" s="162"/>
      <c r="D170" s="163"/>
    </row>
    <row r="171" spans="1:7" x14ac:dyDescent="0.3">
      <c r="A171" s="2" t="s">
        <v>55</v>
      </c>
      <c r="B171" s="141" t="s">
        <v>52</v>
      </c>
      <c r="C171" s="141"/>
      <c r="D171" s="142"/>
    </row>
    <row r="172" spans="1:7" x14ac:dyDescent="0.3">
      <c r="A172" s="2" t="str">
        <f>+A166</f>
        <v>TC Cuenca 4</v>
      </c>
      <c r="B172" s="141" t="s">
        <v>41</v>
      </c>
      <c r="C172" s="141"/>
      <c r="D172" s="41">
        <f>+IF(B172="Kirpich",B166,IF(B172="Ventura-Heras",C166,IF(B172="Passini",D166,IF(B172="Giandotti",E166,"Dato invalido"))))</f>
        <v>20.7859828115113</v>
      </c>
    </row>
    <row r="173" spans="1:7" ht="16.2" thickBot="1" x14ac:dyDescent="0.35">
      <c r="A173" s="11" t="str">
        <f>+A167</f>
        <v>TC Cuenca 5</v>
      </c>
      <c r="B173" s="152" t="str">
        <f>+B172</f>
        <v>Ventura-Heras</v>
      </c>
      <c r="C173" s="152"/>
      <c r="D173" s="37">
        <f>+IF(B173="Kirpich",B167,IF(B173="Ventura-Heras",C167,IF(B173="Passini",D167,IF(B173="Giandotti",E167,"Dato invalido"))))</f>
        <v>16.522097569048782</v>
      </c>
    </row>
    <row r="174" spans="1:7" ht="16.2" thickBot="1" x14ac:dyDescent="0.35"/>
    <row r="175" spans="1:7" ht="18.600000000000001" thickBot="1" x14ac:dyDescent="0.35">
      <c r="A175" s="184" t="s">
        <v>58</v>
      </c>
      <c r="B175" s="185"/>
      <c r="C175" s="185"/>
      <c r="D175" s="185"/>
      <c r="E175" s="185"/>
      <c r="F175" s="185"/>
      <c r="G175" s="186"/>
    </row>
    <row r="176" spans="1:7" ht="16.2" thickBot="1" x14ac:dyDescent="0.35"/>
    <row r="177" spans="1:7" x14ac:dyDescent="0.3">
      <c r="A177" s="161" t="s">
        <v>17</v>
      </c>
      <c r="B177" s="162"/>
      <c r="C177" s="163"/>
      <c r="E177" s="161" t="s">
        <v>18</v>
      </c>
      <c r="F177" s="162"/>
      <c r="G177" s="163"/>
    </row>
    <row r="178" spans="1:7" x14ac:dyDescent="0.3">
      <c r="A178" s="140" t="s">
        <v>34</v>
      </c>
      <c r="B178" s="141"/>
      <c r="C178" s="142"/>
      <c r="E178" s="140" t="s">
        <v>34</v>
      </c>
      <c r="F178" s="141"/>
      <c r="G178" s="142"/>
    </row>
    <row r="179" spans="1:7" x14ac:dyDescent="0.3">
      <c r="A179" s="2" t="s">
        <v>35</v>
      </c>
      <c r="B179" s="21">
        <f>+'Carac. Geomorf.'!C54</f>
        <v>5.75</v>
      </c>
      <c r="C179" s="38">
        <f>+'Carac. Geomorf.'!E54</f>
        <v>5750</v>
      </c>
      <c r="E179" s="2" t="s">
        <v>35</v>
      </c>
      <c r="F179" s="21">
        <f>+'Carac. Geomorf.'!C63</f>
        <v>13.2</v>
      </c>
      <c r="G179" s="38">
        <f>+'Carac. Geomorf.'!E63</f>
        <v>13200</v>
      </c>
    </row>
    <row r="180" spans="1:7" x14ac:dyDescent="0.3">
      <c r="A180" s="2" t="s">
        <v>36</v>
      </c>
      <c r="B180" s="21">
        <f>+'Carac. Geomorf.'!C55</f>
        <v>13.6</v>
      </c>
      <c r="C180" s="38">
        <f>+'Carac. Geomorf.'!E55</f>
        <v>13600000</v>
      </c>
      <c r="E180" s="2" t="s">
        <v>36</v>
      </c>
      <c r="F180" s="21">
        <f>+'Carac. Geomorf.'!C64</f>
        <v>30.6</v>
      </c>
      <c r="G180" s="38">
        <f>+'Carac. Geomorf.'!E64</f>
        <v>30600000</v>
      </c>
    </row>
    <row r="181" spans="1:7" x14ac:dyDescent="0.3">
      <c r="A181" s="2" t="s">
        <v>37</v>
      </c>
      <c r="B181" s="25">
        <f>+'Carac. Geomorf.'!C58</f>
        <v>9.7391304347826093</v>
      </c>
      <c r="C181" s="43">
        <f>+'Carac. Geomorf.'!E58</f>
        <v>9.7391304347826085E-2</v>
      </c>
      <c r="E181" s="2" t="s">
        <v>37</v>
      </c>
      <c r="F181" s="25">
        <f>+'Carac. Geomorf.'!C67</f>
        <v>6.1439393939393936</v>
      </c>
      <c r="G181" s="43">
        <f>+'Carac. Geomorf.'!E67</f>
        <v>6.143939393939394E-2</v>
      </c>
    </row>
    <row r="182" spans="1:7" x14ac:dyDescent="0.3">
      <c r="A182" s="2" t="s">
        <v>38</v>
      </c>
      <c r="B182" s="146">
        <f>+'Carac. Geomorf.'!C59</f>
        <v>560</v>
      </c>
      <c r="C182" s="147"/>
      <c r="E182" s="2" t="s">
        <v>38</v>
      </c>
      <c r="F182" s="146">
        <f>+'Carac. Geomorf.'!C68</f>
        <v>811</v>
      </c>
      <c r="G182" s="147"/>
    </row>
    <row r="183" spans="1:7" ht="16.2" thickBot="1" x14ac:dyDescent="0.35">
      <c r="A183" s="11" t="str">
        <f>+'Uso de Suelo'!E41</f>
        <v>C6prom=</v>
      </c>
      <c r="B183" s="143">
        <f>+'Uso de Suelo'!F41</f>
        <v>0.12352941176470589</v>
      </c>
      <c r="C183" s="183"/>
      <c r="E183" s="11" t="str">
        <f>+'Uso de Suelo'!A55</f>
        <v>C7prom=</v>
      </c>
      <c r="F183" s="143">
        <f>+'Uso de Suelo'!B55</f>
        <v>0.11633986928104577</v>
      </c>
      <c r="G183" s="183"/>
    </row>
    <row r="184" spans="1:7" ht="16.2" thickBot="1" x14ac:dyDescent="0.35"/>
    <row r="185" spans="1:7" x14ac:dyDescent="0.3">
      <c r="A185" s="159" t="s">
        <v>39</v>
      </c>
      <c r="B185" s="160"/>
      <c r="E185" s="159" t="s">
        <v>39</v>
      </c>
      <c r="F185" s="160"/>
    </row>
    <row r="186" spans="1:7" x14ac:dyDescent="0.3">
      <c r="A186" s="7" t="s">
        <v>29</v>
      </c>
      <c r="B186" s="27">
        <f>+C179</f>
        <v>5750</v>
      </c>
      <c r="E186" s="7" t="s">
        <v>29</v>
      </c>
      <c r="F186" s="27">
        <f>+G179</f>
        <v>13200</v>
      </c>
    </row>
    <row r="187" spans="1:7" x14ac:dyDescent="0.3">
      <c r="A187" s="7" t="s">
        <v>37</v>
      </c>
      <c r="B187" s="28">
        <f>+C181</f>
        <v>9.7391304347826085E-2</v>
      </c>
      <c r="E187" s="7" t="s">
        <v>37</v>
      </c>
      <c r="F187" s="28">
        <f>+G181</f>
        <v>6.143939393939394E-2</v>
      </c>
    </row>
    <row r="188" spans="1:7" ht="16.2" thickBot="1" x14ac:dyDescent="0.35">
      <c r="A188" s="14" t="s">
        <v>40</v>
      </c>
      <c r="B188" s="29">
        <f>0.02*(B186^0.77)*(B187^-0.385)</f>
        <v>38.494081891154266</v>
      </c>
      <c r="E188" s="14" t="s">
        <v>40</v>
      </c>
      <c r="F188" s="29">
        <f>0.02*(F186^0.77)*(F187^-0.385)</f>
        <v>87.16052898126749</v>
      </c>
    </row>
    <row r="189" spans="1:7" ht="16.2" thickBot="1" x14ac:dyDescent="0.35"/>
    <row r="190" spans="1:7" x14ac:dyDescent="0.3">
      <c r="A190" s="159" t="s">
        <v>41</v>
      </c>
      <c r="B190" s="173"/>
      <c r="C190" s="160"/>
      <c r="E190" s="159" t="s">
        <v>41</v>
      </c>
      <c r="F190" s="173"/>
      <c r="G190" s="160"/>
    </row>
    <row r="191" spans="1:7" x14ac:dyDescent="0.3">
      <c r="A191" s="7" t="s">
        <v>42</v>
      </c>
      <c r="B191" s="179">
        <f>+B181</f>
        <v>9.7391304347826093</v>
      </c>
      <c r="C191" s="181"/>
      <c r="E191" s="7" t="s">
        <v>42</v>
      </c>
      <c r="F191" s="179">
        <f>+F181</f>
        <v>6.1439393939393936</v>
      </c>
      <c r="G191" s="181"/>
    </row>
    <row r="192" spans="1:7" x14ac:dyDescent="0.3">
      <c r="A192" s="7" t="s">
        <v>43</v>
      </c>
      <c r="B192" s="174">
        <f>+B180</f>
        <v>13.6</v>
      </c>
      <c r="C192" s="182"/>
      <c r="E192" s="7" t="s">
        <v>43</v>
      </c>
      <c r="F192" s="174">
        <f>+F180</f>
        <v>30.6</v>
      </c>
      <c r="G192" s="182"/>
    </row>
    <row r="193" spans="1:7" x14ac:dyDescent="0.3">
      <c r="A193" s="7" t="s">
        <v>44</v>
      </c>
      <c r="B193" s="175">
        <f>+B179</f>
        <v>5.75</v>
      </c>
      <c r="C193" s="180"/>
      <c r="E193" s="7" t="s">
        <v>44</v>
      </c>
      <c r="F193" s="175">
        <f>+F179</f>
        <v>13.2</v>
      </c>
      <c r="G193" s="180"/>
    </row>
    <row r="194" spans="1:7" x14ac:dyDescent="0.3">
      <c r="A194" s="7" t="s">
        <v>45</v>
      </c>
      <c r="B194" s="176">
        <f>+B193/(B192^0.5)</f>
        <v>1.5591876655715913</v>
      </c>
      <c r="C194" s="177"/>
      <c r="E194" s="7" t="s">
        <v>45</v>
      </c>
      <c r="F194" s="176">
        <f>+F193/(F192^0.5)</f>
        <v>2.3862350360052176</v>
      </c>
      <c r="G194" s="177"/>
    </row>
    <row r="195" spans="1:7" x14ac:dyDescent="0.3">
      <c r="A195" s="7">
        <v>0.05</v>
      </c>
      <c r="B195" s="8" t="s">
        <v>46</v>
      </c>
      <c r="C195" s="9">
        <v>0.5</v>
      </c>
      <c r="E195" s="7">
        <v>0.05</v>
      </c>
      <c r="F195" s="8" t="s">
        <v>46</v>
      </c>
      <c r="G195" s="9">
        <v>0.5</v>
      </c>
    </row>
    <row r="196" spans="1:7" x14ac:dyDescent="0.3">
      <c r="A196" s="7" t="s">
        <v>45</v>
      </c>
      <c r="B196" s="178">
        <f>+IF(B194&lt;A195,A195,IF(B194&gt;C195,C195,B194))</f>
        <v>0.5</v>
      </c>
      <c r="C196" s="168"/>
      <c r="E196" s="7" t="s">
        <v>45</v>
      </c>
      <c r="F196" s="178">
        <f>+IF(F194&lt;E195,E195,IF(F194&gt;G195,G195,F194))</f>
        <v>0.5</v>
      </c>
      <c r="G196" s="168"/>
    </row>
    <row r="197" spans="1:7" x14ac:dyDescent="0.3">
      <c r="A197" s="7" t="s">
        <v>40</v>
      </c>
      <c r="B197" s="169">
        <f>+B196*((B192^0.5)/B191)</f>
        <v>0.18932993081940749</v>
      </c>
      <c r="C197" s="170"/>
      <c r="E197" s="7" t="s">
        <v>40</v>
      </c>
      <c r="F197" s="169">
        <f>+F196*((F192^0.5)/F191)</f>
        <v>0.45017750987521382</v>
      </c>
      <c r="G197" s="170"/>
    </row>
    <row r="198" spans="1:7" x14ac:dyDescent="0.3">
      <c r="A198" s="7" t="s">
        <v>40</v>
      </c>
      <c r="B198" s="171">
        <f>+B197*60</f>
        <v>11.359795849164449</v>
      </c>
      <c r="C198" s="172"/>
      <c r="E198" s="7" t="s">
        <v>40</v>
      </c>
      <c r="F198" s="171">
        <f>+F197*60</f>
        <v>27.010650592512828</v>
      </c>
      <c r="G198" s="172"/>
    </row>
    <row r="199" spans="1:7" ht="16.2" thickBot="1" x14ac:dyDescent="0.35">
      <c r="A199" s="164" t="str">
        <f>+IF(B194&lt;A195,"alejamiento medio menor a límites",IF(B194&gt;C195,"alejamiento medio mayor a límites","alejamiento medio cumple con límites"))</f>
        <v>alejamiento medio mayor a límites</v>
      </c>
      <c r="B199" s="165"/>
      <c r="C199" s="166"/>
      <c r="E199" s="164" t="str">
        <f>+IF(F194&lt;E195,"alejamiento medio menor a límites",IF(F194&gt;G195,"alejamiento medio mayor a límites","alejamiento medio cumple con límites"))</f>
        <v>alejamiento medio mayor a límites</v>
      </c>
      <c r="F199" s="165"/>
      <c r="G199" s="166"/>
    </row>
    <row r="200" spans="1:7" ht="16.2" thickBot="1" x14ac:dyDescent="0.35">
      <c r="A200" s="8"/>
      <c r="B200" s="8"/>
      <c r="C200" s="8"/>
      <c r="E200" s="8"/>
      <c r="F200" s="8"/>
      <c r="G200" s="8"/>
    </row>
    <row r="201" spans="1:7" x14ac:dyDescent="0.3">
      <c r="A201" s="159" t="s">
        <v>47</v>
      </c>
      <c r="B201" s="173"/>
      <c r="C201" s="160"/>
      <c r="E201" s="159" t="s">
        <v>47</v>
      </c>
      <c r="F201" s="173"/>
      <c r="G201" s="160"/>
    </row>
    <row r="202" spans="1:7" x14ac:dyDescent="0.3">
      <c r="A202" s="7" t="s">
        <v>42</v>
      </c>
      <c r="B202" s="179">
        <f>+B181</f>
        <v>9.7391304347826093</v>
      </c>
      <c r="C202" s="168"/>
      <c r="E202" s="7" t="s">
        <v>42</v>
      </c>
      <c r="F202" s="179">
        <f>+F181</f>
        <v>6.1439393939393936</v>
      </c>
      <c r="G202" s="168"/>
    </row>
    <row r="203" spans="1:7" x14ac:dyDescent="0.3">
      <c r="A203" s="7" t="s">
        <v>43</v>
      </c>
      <c r="B203" s="174">
        <f>+B180</f>
        <v>13.6</v>
      </c>
      <c r="C203" s="168"/>
      <c r="E203" s="7" t="s">
        <v>43</v>
      </c>
      <c r="F203" s="174">
        <f>+F180</f>
        <v>30.6</v>
      </c>
      <c r="G203" s="168"/>
    </row>
    <row r="204" spans="1:7" x14ac:dyDescent="0.3">
      <c r="A204" s="7" t="s">
        <v>44</v>
      </c>
      <c r="B204" s="175">
        <f>+B179</f>
        <v>5.75</v>
      </c>
      <c r="C204" s="168"/>
      <c r="E204" s="7" t="s">
        <v>44</v>
      </c>
      <c r="F204" s="175">
        <f>+F179</f>
        <v>13.2</v>
      </c>
      <c r="G204" s="168"/>
    </row>
    <row r="205" spans="1:7" x14ac:dyDescent="0.3">
      <c r="A205" s="7" t="s">
        <v>45</v>
      </c>
      <c r="B205" s="176">
        <f>+B204/(B203^0.5)</f>
        <v>1.5591876655715913</v>
      </c>
      <c r="C205" s="177"/>
      <c r="E205" s="7" t="s">
        <v>45</v>
      </c>
      <c r="F205" s="176">
        <f>+F204/(F203^0.5)</f>
        <v>2.3862350360052176</v>
      </c>
      <c r="G205" s="177"/>
    </row>
    <row r="206" spans="1:7" x14ac:dyDescent="0.3">
      <c r="A206" s="7">
        <v>0.04</v>
      </c>
      <c r="B206" s="8" t="s">
        <v>46</v>
      </c>
      <c r="C206" s="9">
        <v>0.13</v>
      </c>
      <c r="E206" s="7">
        <v>0.04</v>
      </c>
      <c r="F206" s="8" t="s">
        <v>46</v>
      </c>
      <c r="G206" s="9">
        <v>0.13</v>
      </c>
    </row>
    <row r="207" spans="1:7" x14ac:dyDescent="0.3">
      <c r="A207" s="7" t="s">
        <v>45</v>
      </c>
      <c r="B207" s="178">
        <f>+IF(B205&lt;A206,A206,IF(B205&gt;C206,C206,B205))</f>
        <v>0.13</v>
      </c>
      <c r="C207" s="168"/>
      <c r="E207" s="7" t="s">
        <v>45</v>
      </c>
      <c r="F207" s="178">
        <f>+IF(F205&lt;E206,E206,IF(F205&gt;G206,G206,F205))</f>
        <v>0.13</v>
      </c>
      <c r="G207" s="168"/>
    </row>
    <row r="208" spans="1:7" x14ac:dyDescent="0.3">
      <c r="A208" s="7" t="s">
        <v>40</v>
      </c>
      <c r="B208" s="169">
        <f>+B207*((B203*B204)^(1/3))/(B202^0.5)</f>
        <v>0.17813619799962244</v>
      </c>
      <c r="C208" s="170"/>
      <c r="E208" s="7" t="s">
        <v>40</v>
      </c>
      <c r="F208" s="169">
        <f>+F207*((F203*F204)^(1/3))/(F202^0.5)</f>
        <v>0.38769036688520525</v>
      </c>
      <c r="G208" s="170"/>
    </row>
    <row r="209" spans="1:7" x14ac:dyDescent="0.3">
      <c r="A209" s="7" t="s">
        <v>40</v>
      </c>
      <c r="B209" s="171">
        <f>+B208*60</f>
        <v>10.688171879977347</v>
      </c>
      <c r="C209" s="172"/>
      <c r="E209" s="7" t="s">
        <v>40</v>
      </c>
      <c r="F209" s="171">
        <f>+F208*60</f>
        <v>23.261422013112316</v>
      </c>
      <c r="G209" s="172"/>
    </row>
    <row r="210" spans="1:7" ht="16.2" thickBot="1" x14ac:dyDescent="0.35">
      <c r="A210" s="164" t="str">
        <f>+IF(B205&lt;A206,"alejamiento medio menor a límites",IF(B205&gt;C206,"alejamiento medio mayor a límites","alejamiento medio cumple con límites"))</f>
        <v>alejamiento medio mayor a límites</v>
      </c>
      <c r="B210" s="165"/>
      <c r="C210" s="166"/>
      <c r="E210" s="164" t="str">
        <f>+IF(F205&lt;E206,"alejamiento medio menor a límites",IF(F205&gt;G206,"alejamiento medio mayor a límites","alejamiento medio cumple con límites"))</f>
        <v>alejamiento medio mayor a límites</v>
      </c>
      <c r="F210" s="165"/>
      <c r="G210" s="166"/>
    </row>
    <row r="211" spans="1:7" ht="16.2" thickBot="1" x14ac:dyDescent="0.35"/>
    <row r="212" spans="1:7" x14ac:dyDescent="0.3">
      <c r="A212" s="159" t="s">
        <v>48</v>
      </c>
      <c r="B212" s="173"/>
      <c r="C212" s="160"/>
      <c r="E212" s="159" t="s">
        <v>48</v>
      </c>
      <c r="F212" s="173"/>
      <c r="G212" s="160"/>
    </row>
    <row r="213" spans="1:7" x14ac:dyDescent="0.3">
      <c r="A213" s="7" t="s">
        <v>37</v>
      </c>
      <c r="B213" s="174">
        <f>+B180</f>
        <v>13.6</v>
      </c>
      <c r="C213" s="168"/>
      <c r="E213" s="7" t="s">
        <v>37</v>
      </c>
      <c r="F213" s="174">
        <f>+F180</f>
        <v>30.6</v>
      </c>
      <c r="G213" s="168"/>
    </row>
    <row r="214" spans="1:7" x14ac:dyDescent="0.3">
      <c r="A214" s="7" t="s">
        <v>29</v>
      </c>
      <c r="B214" s="175">
        <f>+B179</f>
        <v>5.75</v>
      </c>
      <c r="C214" s="168"/>
      <c r="E214" s="7" t="s">
        <v>29</v>
      </c>
      <c r="F214" s="175">
        <f>+F179</f>
        <v>13.2</v>
      </c>
      <c r="G214" s="168"/>
    </row>
    <row r="215" spans="1:7" x14ac:dyDescent="0.3">
      <c r="A215" s="7" t="s">
        <v>38</v>
      </c>
      <c r="B215" s="167">
        <f>+B182</f>
        <v>560</v>
      </c>
      <c r="C215" s="168"/>
      <c r="E215" s="7" t="s">
        <v>38</v>
      </c>
      <c r="F215" s="167">
        <f>+F182</f>
        <v>811</v>
      </c>
      <c r="G215" s="168"/>
    </row>
    <row r="216" spans="1:7" x14ac:dyDescent="0.3">
      <c r="A216" s="32">
        <f>+B214/3600</f>
        <v>1.5972222222222223E-3</v>
      </c>
      <c r="B216" s="8" t="s">
        <v>49</v>
      </c>
      <c r="C216" s="33">
        <f>+(B214/3600)+1.5</f>
        <v>1.5015972222222222</v>
      </c>
      <c r="E216" s="32">
        <f>+F214/3600</f>
        <v>3.6666666666666666E-3</v>
      </c>
      <c r="F216" s="8" t="s">
        <v>49</v>
      </c>
      <c r="G216" s="33">
        <f>+(F214/3600)+1.5</f>
        <v>1.5036666666666667</v>
      </c>
    </row>
    <row r="217" spans="1:7" x14ac:dyDescent="0.3">
      <c r="A217" s="7" t="s">
        <v>40</v>
      </c>
      <c r="B217" s="169">
        <f>+(4*(B213^0.5)+1.5*B214)/(0.8*(B215^0.5))</f>
        <v>1.2347846879135707</v>
      </c>
      <c r="C217" s="170"/>
      <c r="E217" s="7" t="s">
        <v>40</v>
      </c>
      <c r="F217" s="169">
        <f>+(4*(F213^0.5)+1.5*F214)/(0.8*(F215^0.5))</f>
        <v>1.8403160252076933</v>
      </c>
      <c r="G217" s="170"/>
    </row>
    <row r="218" spans="1:7" x14ac:dyDescent="0.3">
      <c r="A218" s="7" t="s">
        <v>40</v>
      </c>
      <c r="B218" s="171">
        <f>+B217*60</f>
        <v>74.087081274814238</v>
      </c>
      <c r="C218" s="172"/>
      <c r="E218" s="7" t="s">
        <v>40</v>
      </c>
      <c r="F218" s="171">
        <f>+F217*60</f>
        <v>110.41896151246161</v>
      </c>
      <c r="G218" s="172"/>
    </row>
    <row r="219" spans="1:7" ht="16.2" thickBot="1" x14ac:dyDescent="0.35">
      <c r="A219" s="164" t="str">
        <f>+IF(B217&lt;A216,"tiempo de cosncentración menor a límites",IF(B217&gt;C216,"tiempo de cosncentración mayor a límites","tiempo de cosncentración cumple con límites"))</f>
        <v>tiempo de cosncentración cumple con límites</v>
      </c>
      <c r="B219" s="165"/>
      <c r="C219" s="166"/>
      <c r="E219" s="164" t="str">
        <f>+IF(F217&lt;E216,"tiempo de cosncentración menor a límites",IF(F217&gt;G216,"tiempo de cosncentración mayor a límites","tiempo de cosncentración cumple con límites"))</f>
        <v>tiempo de cosncentración mayor a límites</v>
      </c>
      <c r="F219" s="165"/>
      <c r="G219" s="166"/>
    </row>
    <row r="220" spans="1:7" ht="16.2" thickBot="1" x14ac:dyDescent="0.35"/>
    <row r="221" spans="1:7" x14ac:dyDescent="0.3">
      <c r="A221" s="161" t="s">
        <v>50</v>
      </c>
      <c r="B221" s="162"/>
      <c r="C221" s="162"/>
      <c r="D221" s="162"/>
      <c r="E221" s="163"/>
    </row>
    <row r="222" spans="1:7" x14ac:dyDescent="0.3">
      <c r="A222" s="140" t="s">
        <v>54</v>
      </c>
      <c r="B222" s="141" t="s">
        <v>51</v>
      </c>
      <c r="C222" s="141"/>
      <c r="D222" s="141"/>
      <c r="E222" s="142"/>
    </row>
    <row r="223" spans="1:7" x14ac:dyDescent="0.3">
      <c r="A223" s="140"/>
      <c r="B223" s="3" t="str">
        <f>+$A$11</f>
        <v>Kirpich</v>
      </c>
      <c r="C223" s="3" t="str">
        <f>+$A$16</f>
        <v>Ventura-Heras</v>
      </c>
      <c r="D223" s="3" t="str">
        <f>+$A$27</f>
        <v>Passini</v>
      </c>
      <c r="E223" s="4" t="str">
        <f>+$A$43</f>
        <v>Giandotti</v>
      </c>
    </row>
    <row r="224" spans="1:7" x14ac:dyDescent="0.3">
      <c r="A224" s="2" t="str">
        <f>+CONCATENATE("TC ",A177)</f>
        <v>TC Cuenca 6</v>
      </c>
      <c r="B224" s="40">
        <f>+B188</f>
        <v>38.494081891154266</v>
      </c>
      <c r="C224" s="40">
        <f>+B198</f>
        <v>11.359795849164449</v>
      </c>
      <c r="D224" s="40">
        <f>+B209</f>
        <v>10.688171879977347</v>
      </c>
      <c r="E224" s="41">
        <f>+B218</f>
        <v>74.087081274814238</v>
      </c>
    </row>
    <row r="225" spans="1:7" ht="16.2" thickBot="1" x14ac:dyDescent="0.35">
      <c r="A225" s="11" t="str">
        <f>+CONCATENATE("TC ",E177)</f>
        <v>TC Cuenca 7</v>
      </c>
      <c r="B225" s="36">
        <f>+F188</f>
        <v>87.16052898126749</v>
      </c>
      <c r="C225" s="36">
        <f>+F198</f>
        <v>27.010650592512828</v>
      </c>
      <c r="D225" s="36">
        <f>+F209</f>
        <v>23.261422013112316</v>
      </c>
      <c r="E225" s="37">
        <f>+F218</f>
        <v>110.41896151246161</v>
      </c>
    </row>
    <row r="226" spans="1:7" x14ac:dyDescent="0.3">
      <c r="A226" s="161" t="s">
        <v>56</v>
      </c>
      <c r="B226" s="162"/>
      <c r="C226" s="162"/>
      <c r="D226" s="163"/>
    </row>
    <row r="227" spans="1:7" x14ac:dyDescent="0.3">
      <c r="A227" s="2" t="s">
        <v>55</v>
      </c>
      <c r="B227" s="141" t="s">
        <v>52</v>
      </c>
      <c r="C227" s="141"/>
      <c r="D227" s="142"/>
    </row>
    <row r="228" spans="1:7" x14ac:dyDescent="0.3">
      <c r="A228" s="2" t="str">
        <f>+A224</f>
        <v>TC Cuenca 6</v>
      </c>
      <c r="B228" s="141" t="s">
        <v>41</v>
      </c>
      <c r="C228" s="141"/>
      <c r="D228" s="41">
        <f>+IF(B228="Kirpich",B224,IF(B228="Ventura-Heras",C224,IF(B228="Passini",D224,IF(B228="Giandotti",E224,"Dato invalido"))))</f>
        <v>11.359795849164449</v>
      </c>
    </row>
    <row r="229" spans="1:7" ht="16.2" thickBot="1" x14ac:dyDescent="0.35">
      <c r="A229" s="11" t="str">
        <f>+A225</f>
        <v>TC Cuenca 7</v>
      </c>
      <c r="B229" s="152" t="str">
        <f>+B228</f>
        <v>Ventura-Heras</v>
      </c>
      <c r="C229" s="152"/>
      <c r="D229" s="37">
        <f>+IF(B229="Kirpich",B225,IF(B229="Ventura-Heras",C225,IF(B229="Passini",D225,IF(B229="Giandotti",E225,"Dato invalido"))))</f>
        <v>27.010650592512828</v>
      </c>
    </row>
    <row r="230" spans="1:7" ht="16.2" thickBot="1" x14ac:dyDescent="0.35"/>
    <row r="231" spans="1:7" ht="18.600000000000001" thickBot="1" x14ac:dyDescent="0.35">
      <c r="A231" s="184" t="s">
        <v>59</v>
      </c>
      <c r="B231" s="185"/>
      <c r="C231" s="185"/>
      <c r="D231" s="185"/>
      <c r="E231" s="185"/>
      <c r="F231" s="185"/>
      <c r="G231" s="186"/>
    </row>
    <row r="232" spans="1:7" ht="16.2" thickBot="1" x14ac:dyDescent="0.35"/>
    <row r="233" spans="1:7" x14ac:dyDescent="0.3">
      <c r="A233" s="161" t="s">
        <v>19</v>
      </c>
      <c r="B233" s="162"/>
      <c r="C233" s="163"/>
      <c r="E233" s="161" t="s">
        <v>20</v>
      </c>
      <c r="F233" s="162"/>
      <c r="G233" s="163"/>
    </row>
    <row r="234" spans="1:7" x14ac:dyDescent="0.3">
      <c r="A234" s="140" t="s">
        <v>34</v>
      </c>
      <c r="B234" s="141"/>
      <c r="C234" s="142"/>
      <c r="E234" s="140" t="s">
        <v>34</v>
      </c>
      <c r="F234" s="141"/>
      <c r="G234" s="142"/>
    </row>
    <row r="235" spans="1:7" x14ac:dyDescent="0.3">
      <c r="A235" s="2" t="s">
        <v>35</v>
      </c>
      <c r="B235" s="21">
        <f>+'Carac. Geomorf.'!C72</f>
        <v>23.5</v>
      </c>
      <c r="C235" s="38">
        <f>+'Carac. Geomorf.'!E72</f>
        <v>23500</v>
      </c>
      <c r="E235" s="2" t="s">
        <v>35</v>
      </c>
      <c r="F235" s="21">
        <f>+'Carac. Geomorf.'!C87</f>
        <v>8.34</v>
      </c>
      <c r="G235" s="38">
        <f>+'Carac. Geomorf.'!E87</f>
        <v>8340</v>
      </c>
    </row>
    <row r="236" spans="1:7" x14ac:dyDescent="0.3">
      <c r="A236" s="2" t="s">
        <v>36</v>
      </c>
      <c r="B236" s="21">
        <f>+'Carac. Geomorf.'!C73</f>
        <v>109</v>
      </c>
      <c r="C236" s="38">
        <f>+'Carac. Geomorf.'!E73</f>
        <v>109000000</v>
      </c>
      <c r="E236" s="2" t="s">
        <v>36</v>
      </c>
      <c r="F236" s="21">
        <f>+'Carac. Geomorf.'!C88</f>
        <v>23.2</v>
      </c>
      <c r="G236" s="38">
        <f>+'Carac. Geomorf.'!E88</f>
        <v>23200000</v>
      </c>
    </row>
    <row r="237" spans="1:7" x14ac:dyDescent="0.3">
      <c r="A237" s="2" t="s">
        <v>37</v>
      </c>
      <c r="B237" s="25">
        <f>+'Carac. Geomorf.'!C76</f>
        <v>6.7148936170212767</v>
      </c>
      <c r="C237" s="43">
        <f>+'Carac. Geomorf.'!E76</f>
        <v>6.7148936170212767E-2</v>
      </c>
      <c r="E237" s="2" t="s">
        <v>37</v>
      </c>
      <c r="F237" s="25">
        <f>+'Carac. Geomorf.'!C91</f>
        <v>10.035971223021582</v>
      </c>
      <c r="G237" s="43">
        <f>+'Carac. Geomorf.'!E91</f>
        <v>0.10035971223021582</v>
      </c>
    </row>
    <row r="238" spans="1:7" x14ac:dyDescent="0.3">
      <c r="A238" s="2" t="s">
        <v>38</v>
      </c>
      <c r="B238" s="146">
        <f>+'Carac. Geomorf.'!C77</f>
        <v>1578</v>
      </c>
      <c r="C238" s="147"/>
      <c r="E238" s="2" t="s">
        <v>38</v>
      </c>
      <c r="F238" s="146">
        <f>+'Carac. Geomorf.'!C92</f>
        <v>837</v>
      </c>
      <c r="G238" s="147"/>
    </row>
    <row r="239" spans="1:7" ht="16.2" thickBot="1" x14ac:dyDescent="0.35">
      <c r="A239" s="11" t="str">
        <f>+'Uso de Suelo'!E55</f>
        <v>C8prom=</v>
      </c>
      <c r="B239" s="143">
        <f>+'Uso de Suelo'!F55</f>
        <v>0.10389908256880734</v>
      </c>
      <c r="C239" s="183"/>
      <c r="E239" s="11" t="str">
        <f>+'Uso de Suelo'!A69</f>
        <v>C9prom=</v>
      </c>
      <c r="F239" s="143">
        <f>+'Uso de Suelo'!B69</f>
        <v>0.12413793103448276</v>
      </c>
      <c r="G239" s="183"/>
    </row>
    <row r="240" spans="1:7" ht="16.2" thickBot="1" x14ac:dyDescent="0.35"/>
    <row r="241" spans="1:7" x14ac:dyDescent="0.3">
      <c r="A241" s="159" t="s">
        <v>39</v>
      </c>
      <c r="B241" s="160"/>
      <c r="E241" s="159" t="s">
        <v>39</v>
      </c>
      <c r="F241" s="160"/>
    </row>
    <row r="242" spans="1:7" x14ac:dyDescent="0.3">
      <c r="A242" s="7" t="s">
        <v>29</v>
      </c>
      <c r="B242" s="27">
        <f>+C235</f>
        <v>23500</v>
      </c>
      <c r="E242" s="7" t="s">
        <v>29</v>
      </c>
      <c r="F242" s="27">
        <f>+G235</f>
        <v>8340</v>
      </c>
    </row>
    <row r="243" spans="1:7" x14ac:dyDescent="0.3">
      <c r="A243" s="7" t="s">
        <v>37</v>
      </c>
      <c r="B243" s="28">
        <f>+C237</f>
        <v>6.7148936170212767E-2</v>
      </c>
      <c r="E243" s="7" t="s">
        <v>37</v>
      </c>
      <c r="F243" s="28">
        <f>+G237</f>
        <v>0.10035971223021582</v>
      </c>
    </row>
    <row r="244" spans="1:7" ht="16.2" thickBot="1" x14ac:dyDescent="0.35">
      <c r="A244" s="14" t="s">
        <v>40</v>
      </c>
      <c r="B244" s="29">
        <f>0.02*(B242^0.77)*(B243^-0.385)</f>
        <v>131.32341929557705</v>
      </c>
      <c r="E244" s="14" t="s">
        <v>40</v>
      </c>
      <c r="F244" s="29">
        <f>0.02*(F242^0.77)*(F243^-0.385)</f>
        <v>50.667267444539362</v>
      </c>
    </row>
    <row r="245" spans="1:7" ht="16.2" thickBot="1" x14ac:dyDescent="0.35"/>
    <row r="246" spans="1:7" x14ac:dyDescent="0.3">
      <c r="A246" s="159" t="s">
        <v>41</v>
      </c>
      <c r="B246" s="173"/>
      <c r="C246" s="160"/>
      <c r="E246" s="159" t="s">
        <v>41</v>
      </c>
      <c r="F246" s="173"/>
      <c r="G246" s="160"/>
    </row>
    <row r="247" spans="1:7" x14ac:dyDescent="0.3">
      <c r="A247" s="7" t="s">
        <v>42</v>
      </c>
      <c r="B247" s="179">
        <f>+B237</f>
        <v>6.7148936170212767</v>
      </c>
      <c r="C247" s="181"/>
      <c r="E247" s="7" t="s">
        <v>42</v>
      </c>
      <c r="F247" s="179">
        <f>+F237</f>
        <v>10.035971223021582</v>
      </c>
      <c r="G247" s="181"/>
    </row>
    <row r="248" spans="1:7" x14ac:dyDescent="0.3">
      <c r="A248" s="7" t="s">
        <v>43</v>
      </c>
      <c r="B248" s="174">
        <f>+B236</f>
        <v>109</v>
      </c>
      <c r="C248" s="182"/>
      <c r="E248" s="7" t="s">
        <v>43</v>
      </c>
      <c r="F248" s="174">
        <f>+F236</f>
        <v>23.2</v>
      </c>
      <c r="G248" s="182"/>
    </row>
    <row r="249" spans="1:7" x14ac:dyDescent="0.3">
      <c r="A249" s="7" t="s">
        <v>44</v>
      </c>
      <c r="B249" s="175">
        <f>+B235</f>
        <v>23.5</v>
      </c>
      <c r="C249" s="180"/>
      <c r="E249" s="7" t="s">
        <v>44</v>
      </c>
      <c r="F249" s="175">
        <f>+F235</f>
        <v>8.34</v>
      </c>
      <c r="G249" s="180"/>
    </row>
    <row r="250" spans="1:7" x14ac:dyDescent="0.3">
      <c r="A250" s="7" t="s">
        <v>45</v>
      </c>
      <c r="B250" s="176">
        <f>+B249/(B248^0.5)</f>
        <v>2.2508917702697055</v>
      </c>
      <c r="C250" s="177"/>
      <c r="E250" s="7" t="s">
        <v>45</v>
      </c>
      <c r="F250" s="176">
        <f>+F249/(F248^0.5)</f>
        <v>1.7314982549504783</v>
      </c>
      <c r="G250" s="177"/>
    </row>
    <row r="251" spans="1:7" x14ac:dyDescent="0.3">
      <c r="A251" s="7">
        <v>0.05</v>
      </c>
      <c r="B251" s="8" t="s">
        <v>46</v>
      </c>
      <c r="C251" s="9">
        <v>0.5</v>
      </c>
      <c r="E251" s="7">
        <v>0.05</v>
      </c>
      <c r="F251" s="8" t="s">
        <v>46</v>
      </c>
      <c r="G251" s="9">
        <v>0.5</v>
      </c>
    </row>
    <row r="252" spans="1:7" x14ac:dyDescent="0.3">
      <c r="A252" s="7" t="s">
        <v>45</v>
      </c>
      <c r="B252" s="178">
        <f>+IF(B250&lt;A251,A251,IF(B250&gt;C251,C251,B250))</f>
        <v>0.5</v>
      </c>
      <c r="C252" s="168"/>
      <c r="E252" s="7" t="s">
        <v>45</v>
      </c>
      <c r="F252" s="178">
        <f>+IF(F250&lt;E251,E251,IF(F250&gt;G251,G251,F250))</f>
        <v>0.5</v>
      </c>
      <c r="G252" s="168"/>
    </row>
    <row r="253" spans="1:7" x14ac:dyDescent="0.3">
      <c r="A253" s="7" t="s">
        <v>40</v>
      </c>
      <c r="B253" s="169">
        <f>+B252*((B248^0.5)/B247)</f>
        <v>0.77739924892077927</v>
      </c>
      <c r="C253" s="170"/>
      <c r="E253" s="7" t="s">
        <v>40</v>
      </c>
      <c r="F253" s="169">
        <f>+F252*((F248^0.5)/F247)</f>
        <v>0.23996869483184649</v>
      </c>
      <c r="G253" s="170"/>
    </row>
    <row r="254" spans="1:7" x14ac:dyDescent="0.3">
      <c r="A254" s="7" t="s">
        <v>40</v>
      </c>
      <c r="B254" s="171">
        <f>+B253*60</f>
        <v>46.643954935246754</v>
      </c>
      <c r="C254" s="172"/>
      <c r="E254" s="7" t="s">
        <v>40</v>
      </c>
      <c r="F254" s="171">
        <f>+F253*60</f>
        <v>14.39812168991079</v>
      </c>
      <c r="G254" s="172"/>
    </row>
    <row r="255" spans="1:7" ht="16.2" thickBot="1" x14ac:dyDescent="0.35">
      <c r="A255" s="164" t="str">
        <f>+IF(B250&lt;A251,"alejamiento medio menor a límites",IF(B250&gt;C251,"alejamiento medio mayor a límites","alejamiento medio cumple con límites"))</f>
        <v>alejamiento medio mayor a límites</v>
      </c>
      <c r="B255" s="165"/>
      <c r="C255" s="166"/>
      <c r="E255" s="164" t="str">
        <f>+IF(F250&lt;E251,"alejamiento medio menor a límites",IF(F250&gt;G251,"alejamiento medio mayor a límites","alejamiento medio cumple con límites"))</f>
        <v>alejamiento medio mayor a límites</v>
      </c>
      <c r="F255" s="165"/>
      <c r="G255" s="166"/>
    </row>
    <row r="256" spans="1:7" ht="16.2" thickBot="1" x14ac:dyDescent="0.35">
      <c r="A256" s="8"/>
      <c r="B256" s="8"/>
      <c r="C256" s="8"/>
      <c r="D256" s="8"/>
      <c r="E256" s="8"/>
      <c r="F256" s="8"/>
      <c r="G256" s="8"/>
    </row>
    <row r="257" spans="1:7" x14ac:dyDescent="0.3">
      <c r="A257" s="159" t="s">
        <v>47</v>
      </c>
      <c r="B257" s="173"/>
      <c r="C257" s="160"/>
      <c r="E257" s="159" t="s">
        <v>47</v>
      </c>
      <c r="F257" s="173"/>
      <c r="G257" s="160"/>
    </row>
    <row r="258" spans="1:7" x14ac:dyDescent="0.3">
      <c r="A258" s="7" t="s">
        <v>42</v>
      </c>
      <c r="B258" s="179">
        <f>+B237</f>
        <v>6.7148936170212767</v>
      </c>
      <c r="C258" s="168"/>
      <c r="E258" s="7" t="s">
        <v>42</v>
      </c>
      <c r="F258" s="179">
        <f>+F237</f>
        <v>10.035971223021582</v>
      </c>
      <c r="G258" s="168"/>
    </row>
    <row r="259" spans="1:7" x14ac:dyDescent="0.3">
      <c r="A259" s="7" t="s">
        <v>43</v>
      </c>
      <c r="B259" s="174">
        <f>+B236</f>
        <v>109</v>
      </c>
      <c r="C259" s="168"/>
      <c r="E259" s="7" t="s">
        <v>43</v>
      </c>
      <c r="F259" s="174">
        <f>+F236</f>
        <v>23.2</v>
      </c>
      <c r="G259" s="168"/>
    </row>
    <row r="260" spans="1:7" x14ac:dyDescent="0.3">
      <c r="A260" s="7" t="s">
        <v>44</v>
      </c>
      <c r="B260" s="175">
        <f>+B235</f>
        <v>23.5</v>
      </c>
      <c r="C260" s="168"/>
      <c r="E260" s="7" t="s">
        <v>44</v>
      </c>
      <c r="F260" s="175">
        <f>+F235</f>
        <v>8.34</v>
      </c>
      <c r="G260" s="168"/>
    </row>
    <row r="261" spans="1:7" x14ac:dyDescent="0.3">
      <c r="A261" s="7" t="s">
        <v>45</v>
      </c>
      <c r="B261" s="176">
        <f>+B260/(B259^0.5)</f>
        <v>2.2508917702697055</v>
      </c>
      <c r="C261" s="177"/>
      <c r="E261" s="7" t="s">
        <v>45</v>
      </c>
      <c r="F261" s="176">
        <f>+F260/(F259^0.5)</f>
        <v>1.7314982549504783</v>
      </c>
      <c r="G261" s="177"/>
    </row>
    <row r="262" spans="1:7" x14ac:dyDescent="0.3">
      <c r="A262" s="7">
        <v>0.04</v>
      </c>
      <c r="B262" s="8" t="s">
        <v>46</v>
      </c>
      <c r="C262" s="9">
        <v>0.13</v>
      </c>
      <c r="E262" s="7">
        <v>0.04</v>
      </c>
      <c r="F262" s="8" t="s">
        <v>46</v>
      </c>
      <c r="G262" s="9">
        <v>0.13</v>
      </c>
    </row>
    <row r="263" spans="1:7" x14ac:dyDescent="0.3">
      <c r="A263" s="7" t="s">
        <v>45</v>
      </c>
      <c r="B263" s="178">
        <f>+IF(B261&lt;A262,A262,IF(B261&gt;C262,C262,B261))</f>
        <v>0.13</v>
      </c>
      <c r="C263" s="168"/>
      <c r="E263" s="7" t="s">
        <v>45</v>
      </c>
      <c r="F263" s="178">
        <f>+IF(F261&lt;E262,E262,IF(F261&gt;G262,G262,F261))</f>
        <v>0.13</v>
      </c>
      <c r="G263" s="168"/>
    </row>
    <row r="264" spans="1:7" x14ac:dyDescent="0.3">
      <c r="A264" s="7" t="s">
        <v>40</v>
      </c>
      <c r="B264" s="169">
        <f>+B263*((B259*B260)^(1/3))/(B258^0.5)</f>
        <v>0.6864178533434</v>
      </c>
      <c r="C264" s="170"/>
      <c r="E264" s="7" t="s">
        <v>40</v>
      </c>
      <c r="F264" s="169">
        <f>+F263*((F259*F260)^(1/3))/(F258^0.5)</f>
        <v>0.23734585983962275</v>
      </c>
      <c r="G264" s="170"/>
    </row>
    <row r="265" spans="1:7" x14ac:dyDescent="0.3">
      <c r="A265" s="7" t="s">
        <v>40</v>
      </c>
      <c r="B265" s="171">
        <f>+B264*60</f>
        <v>41.185071200604</v>
      </c>
      <c r="C265" s="172"/>
      <c r="E265" s="7" t="s">
        <v>40</v>
      </c>
      <c r="F265" s="171">
        <f>+F264*60</f>
        <v>14.240751590377364</v>
      </c>
      <c r="G265" s="172"/>
    </row>
    <row r="266" spans="1:7" ht="16.2" thickBot="1" x14ac:dyDescent="0.35">
      <c r="A266" s="164" t="str">
        <f>+IF(B261&lt;A262,"alejamiento medio menor a límites",IF(B261&gt;C262,"alejamiento medio mayor a límites","alejamiento medio cumple con límites"))</f>
        <v>alejamiento medio mayor a límites</v>
      </c>
      <c r="B266" s="165"/>
      <c r="C266" s="166"/>
      <c r="E266" s="164" t="str">
        <f>+IF(F261&lt;E262,"alejamiento medio menor a límites",IF(F261&gt;G262,"alejamiento medio mayor a límites","alejamiento medio cumple con límites"))</f>
        <v>alejamiento medio mayor a límites</v>
      </c>
      <c r="F266" s="165"/>
      <c r="G266" s="166"/>
    </row>
    <row r="267" spans="1:7" ht="16.2" thickBot="1" x14ac:dyDescent="0.35"/>
    <row r="268" spans="1:7" x14ac:dyDescent="0.3">
      <c r="A268" s="159" t="s">
        <v>48</v>
      </c>
      <c r="B268" s="173"/>
      <c r="C268" s="160"/>
      <c r="E268" s="159" t="s">
        <v>48</v>
      </c>
      <c r="F268" s="173"/>
      <c r="G268" s="160"/>
    </row>
    <row r="269" spans="1:7" x14ac:dyDescent="0.3">
      <c r="A269" s="7" t="s">
        <v>37</v>
      </c>
      <c r="B269" s="174">
        <f>+B236</f>
        <v>109</v>
      </c>
      <c r="C269" s="168"/>
      <c r="E269" s="7" t="s">
        <v>37</v>
      </c>
      <c r="F269" s="174">
        <f>+F236</f>
        <v>23.2</v>
      </c>
      <c r="G269" s="168"/>
    </row>
    <row r="270" spans="1:7" x14ac:dyDescent="0.3">
      <c r="A270" s="7" t="s">
        <v>29</v>
      </c>
      <c r="B270" s="175">
        <f>+B235</f>
        <v>23.5</v>
      </c>
      <c r="C270" s="168"/>
      <c r="E270" s="7" t="s">
        <v>29</v>
      </c>
      <c r="F270" s="175">
        <f>+F235</f>
        <v>8.34</v>
      </c>
      <c r="G270" s="168"/>
    </row>
    <row r="271" spans="1:7" x14ac:dyDescent="0.3">
      <c r="A271" s="7" t="s">
        <v>38</v>
      </c>
      <c r="B271" s="167">
        <f>+B238</f>
        <v>1578</v>
      </c>
      <c r="C271" s="168"/>
      <c r="E271" s="7" t="s">
        <v>38</v>
      </c>
      <c r="F271" s="167">
        <f>+F238</f>
        <v>837</v>
      </c>
      <c r="G271" s="168"/>
    </row>
    <row r="272" spans="1:7" x14ac:dyDescent="0.3">
      <c r="A272" s="32">
        <f>+B270/3600</f>
        <v>6.5277777777777782E-3</v>
      </c>
      <c r="B272" s="8" t="s">
        <v>49</v>
      </c>
      <c r="C272" s="33">
        <f>+(B270/3600)+1.5</f>
        <v>1.5065277777777777</v>
      </c>
      <c r="E272" s="32">
        <f>+F270/3600</f>
        <v>2.3166666666666665E-3</v>
      </c>
      <c r="F272" s="8" t="s">
        <v>49</v>
      </c>
      <c r="G272" s="33">
        <f>+(F270/3600)+1.5</f>
        <v>1.5023166666666667</v>
      </c>
    </row>
    <row r="273" spans="1:7" x14ac:dyDescent="0.3">
      <c r="A273" s="7" t="s">
        <v>40</v>
      </c>
      <c r="B273" s="169">
        <f>+(4*(B269^0.5)+1.5*B270)/(0.8*(B271^0.5))</f>
        <v>2.4233187973309005</v>
      </c>
      <c r="C273" s="170"/>
      <c r="E273" s="7" t="s">
        <v>40</v>
      </c>
      <c r="F273" s="169">
        <f>+(4*(F269^0.5)+1.5*F270)/(0.8*(F271^0.5))</f>
        <v>1.3729478645939257</v>
      </c>
      <c r="G273" s="170"/>
    </row>
    <row r="274" spans="1:7" x14ac:dyDescent="0.3">
      <c r="A274" s="7" t="s">
        <v>40</v>
      </c>
      <c r="B274" s="171">
        <f>+B273*60</f>
        <v>145.39912783985403</v>
      </c>
      <c r="C274" s="172"/>
      <c r="E274" s="7" t="s">
        <v>40</v>
      </c>
      <c r="F274" s="171">
        <f>+F273*60</f>
        <v>82.376871875635544</v>
      </c>
      <c r="G274" s="172"/>
    </row>
    <row r="275" spans="1:7" ht="16.2" thickBot="1" x14ac:dyDescent="0.35">
      <c r="A275" s="164" t="str">
        <f>+IF(B273&lt;A272,"tiempo de cosncentración menor a límites",IF(B273&gt;C272,"tiempo de cosncentración mayor a límites","tiempo de cosncentración cumple con límites"))</f>
        <v>tiempo de cosncentración mayor a límites</v>
      </c>
      <c r="B275" s="165"/>
      <c r="C275" s="166"/>
      <c r="E275" s="164" t="str">
        <f>+IF(F273&lt;E272,"tiempo de cosncentración menor a límites",IF(F273&gt;G272,"tiempo de cosncentración mayor a límites","tiempo de cosncentración cumple con límites"))</f>
        <v>tiempo de cosncentración cumple con límites</v>
      </c>
      <c r="F275" s="165"/>
      <c r="G275" s="166"/>
    </row>
    <row r="276" spans="1:7" ht="16.2" thickBot="1" x14ac:dyDescent="0.35"/>
    <row r="277" spans="1:7" x14ac:dyDescent="0.3">
      <c r="A277" s="161" t="s">
        <v>50</v>
      </c>
      <c r="B277" s="162"/>
      <c r="C277" s="162"/>
      <c r="D277" s="162"/>
      <c r="E277" s="163"/>
    </row>
    <row r="278" spans="1:7" x14ac:dyDescent="0.3">
      <c r="A278" s="140" t="s">
        <v>54</v>
      </c>
      <c r="B278" s="141" t="s">
        <v>51</v>
      </c>
      <c r="C278" s="141"/>
      <c r="D278" s="141"/>
      <c r="E278" s="142"/>
    </row>
    <row r="279" spans="1:7" x14ac:dyDescent="0.3">
      <c r="A279" s="140"/>
      <c r="B279" s="3" t="str">
        <f>+$A$11</f>
        <v>Kirpich</v>
      </c>
      <c r="C279" s="3" t="str">
        <f>+$A$16</f>
        <v>Ventura-Heras</v>
      </c>
      <c r="D279" s="3" t="str">
        <f>+$A$27</f>
        <v>Passini</v>
      </c>
      <c r="E279" s="4" t="str">
        <f>+$A$43</f>
        <v>Giandotti</v>
      </c>
    </row>
    <row r="280" spans="1:7" x14ac:dyDescent="0.3">
      <c r="A280" s="2" t="str">
        <f>+CONCATENATE("TC ",A233)</f>
        <v>TC Cuenca 8</v>
      </c>
      <c r="B280" s="40">
        <f>+B244</f>
        <v>131.32341929557705</v>
      </c>
      <c r="C280" s="40">
        <f>+B254</f>
        <v>46.643954935246754</v>
      </c>
      <c r="D280" s="40">
        <f>+B265</f>
        <v>41.185071200604</v>
      </c>
      <c r="E280" s="41">
        <f>+B274</f>
        <v>145.39912783985403</v>
      </c>
    </row>
    <row r="281" spans="1:7" ht="16.2" thickBot="1" x14ac:dyDescent="0.35">
      <c r="A281" s="11" t="str">
        <f>+CONCATENATE("TC ",E233)</f>
        <v>TC Cuenca 9</v>
      </c>
      <c r="B281" s="36">
        <f>+F244</f>
        <v>50.667267444539362</v>
      </c>
      <c r="C281" s="36">
        <f>+F254</f>
        <v>14.39812168991079</v>
      </c>
      <c r="D281" s="36">
        <f>+F265</f>
        <v>14.240751590377364</v>
      </c>
      <c r="E281" s="37">
        <f>+F274</f>
        <v>82.376871875635544</v>
      </c>
    </row>
    <row r="282" spans="1:7" x14ac:dyDescent="0.3">
      <c r="A282" s="161" t="s">
        <v>56</v>
      </c>
      <c r="B282" s="162"/>
      <c r="C282" s="162"/>
      <c r="D282" s="163"/>
    </row>
    <row r="283" spans="1:7" x14ac:dyDescent="0.3">
      <c r="A283" s="2" t="s">
        <v>55</v>
      </c>
      <c r="B283" s="141" t="s">
        <v>52</v>
      </c>
      <c r="C283" s="141"/>
      <c r="D283" s="142"/>
    </row>
    <row r="284" spans="1:7" x14ac:dyDescent="0.3">
      <c r="A284" s="2" t="str">
        <f>+A280</f>
        <v>TC Cuenca 8</v>
      </c>
      <c r="B284" s="141" t="s">
        <v>41</v>
      </c>
      <c r="C284" s="141"/>
      <c r="D284" s="41">
        <f>+IF(B284="Kirpich",B280,IF(B284="Ventura-Heras",C280,IF(B284="Passini",D280,IF(B284="Giandotti",E280,"Dato invalido"))))</f>
        <v>46.643954935246754</v>
      </c>
    </row>
    <row r="285" spans="1:7" ht="16.2" thickBot="1" x14ac:dyDescent="0.35">
      <c r="A285" s="11" t="str">
        <f>+A281</f>
        <v>TC Cuenca 9</v>
      </c>
      <c r="B285" s="152" t="str">
        <f>+B284</f>
        <v>Ventura-Heras</v>
      </c>
      <c r="C285" s="152"/>
      <c r="D285" s="37">
        <f>+IF(B285="Kirpich",B281,IF(B285="Ventura-Heras",C281,IF(B285="Passini",D281,IF(B285="Giandotti",E281,"Dato invalido"))))</f>
        <v>14.39812168991079</v>
      </c>
    </row>
    <row r="286" spans="1:7" ht="16.2" thickBot="1" x14ac:dyDescent="0.35"/>
    <row r="287" spans="1:7" ht="18.600000000000001" thickBot="1" x14ac:dyDescent="0.35">
      <c r="A287" s="184" t="s">
        <v>95</v>
      </c>
      <c r="B287" s="185"/>
      <c r="C287" s="185"/>
      <c r="D287" s="185"/>
      <c r="E287" s="185"/>
      <c r="F287" s="185"/>
      <c r="G287" s="186"/>
    </row>
    <row r="288" spans="1:7" ht="16.2" thickBot="1" x14ac:dyDescent="0.35"/>
    <row r="289" spans="1:7" x14ac:dyDescent="0.3">
      <c r="A289" s="161" t="s">
        <v>60</v>
      </c>
      <c r="B289" s="162"/>
      <c r="C289" s="163"/>
      <c r="E289" s="161" t="s">
        <v>63</v>
      </c>
      <c r="F289" s="162"/>
      <c r="G289" s="163"/>
    </row>
    <row r="290" spans="1:7" x14ac:dyDescent="0.3">
      <c r="A290" s="140" t="s">
        <v>34</v>
      </c>
      <c r="B290" s="141"/>
      <c r="C290" s="142"/>
      <c r="E290" s="140" t="s">
        <v>34</v>
      </c>
      <c r="F290" s="141"/>
      <c r="G290" s="142"/>
    </row>
    <row r="291" spans="1:7" x14ac:dyDescent="0.3">
      <c r="A291" s="2" t="s">
        <v>35</v>
      </c>
      <c r="B291" s="21">
        <f>+'Carac. Geomorf.'!C96</f>
        <v>3.56</v>
      </c>
      <c r="C291" s="38">
        <f>+'Carac. Geomorf.'!E96</f>
        <v>3560</v>
      </c>
      <c r="E291" s="2" t="s">
        <v>35</v>
      </c>
      <c r="F291" s="21">
        <f>+'Carac. Geomorf.'!C105</f>
        <v>3.76</v>
      </c>
      <c r="G291" s="38">
        <f>+'Carac. Geomorf.'!E105</f>
        <v>3760</v>
      </c>
    </row>
    <row r="292" spans="1:7" x14ac:dyDescent="0.3">
      <c r="A292" s="2" t="s">
        <v>36</v>
      </c>
      <c r="B292" s="21">
        <f>+'Carac. Geomorf.'!C97</f>
        <v>8.4499999999999993</v>
      </c>
      <c r="C292" s="38">
        <f>+'Carac. Geomorf.'!E97</f>
        <v>8450000</v>
      </c>
      <c r="E292" s="2" t="s">
        <v>36</v>
      </c>
      <c r="F292" s="21">
        <f>+'Carac. Geomorf.'!C106</f>
        <v>12.4</v>
      </c>
      <c r="G292" s="38">
        <f>+'Carac. Geomorf.'!E106</f>
        <v>12400000</v>
      </c>
    </row>
    <row r="293" spans="1:7" x14ac:dyDescent="0.3">
      <c r="A293" s="2" t="s">
        <v>37</v>
      </c>
      <c r="B293" s="25">
        <f>+'Carac. Geomorf.'!C100</f>
        <v>17.022471910112362</v>
      </c>
      <c r="C293" s="43">
        <f>+'Carac. Geomorf.'!E100</f>
        <v>0.17022471910112361</v>
      </c>
      <c r="E293" s="2" t="s">
        <v>37</v>
      </c>
      <c r="F293" s="25">
        <f>+'Carac. Geomorf.'!C109</f>
        <v>12.686170212765957</v>
      </c>
      <c r="G293" s="43">
        <f>+'Carac. Geomorf.'!E109</f>
        <v>0.12686170212765957</v>
      </c>
    </row>
    <row r="294" spans="1:7" x14ac:dyDescent="0.3">
      <c r="A294" s="2" t="s">
        <v>38</v>
      </c>
      <c r="B294" s="146">
        <f>+'Carac. Geomorf.'!C101</f>
        <v>606</v>
      </c>
      <c r="C294" s="147"/>
      <c r="E294" s="2" t="s">
        <v>38</v>
      </c>
      <c r="F294" s="146">
        <f>+'Carac. Geomorf.'!C110</f>
        <v>477</v>
      </c>
      <c r="G294" s="147"/>
    </row>
    <row r="295" spans="1:7" ht="16.2" thickBot="1" x14ac:dyDescent="0.35">
      <c r="A295" s="11" t="str">
        <f>+'Uso de Suelo'!E69</f>
        <v>C10prom=</v>
      </c>
      <c r="B295" s="143">
        <f>+'Uso de Suelo'!F69</f>
        <v>0.10591715976331362</v>
      </c>
      <c r="C295" s="183"/>
      <c r="E295" s="11" t="str">
        <f>+'Uso de Suelo'!C83</f>
        <v>C11prom=</v>
      </c>
      <c r="F295" s="143">
        <f>+'Uso de Suelo'!D83</f>
        <v>0.10833333333333335</v>
      </c>
      <c r="G295" s="183"/>
    </row>
    <row r="296" spans="1:7" x14ac:dyDescent="0.3">
      <c r="A296" s="159" t="s">
        <v>39</v>
      </c>
      <c r="B296" s="160"/>
      <c r="E296" s="159" t="s">
        <v>39</v>
      </c>
      <c r="F296" s="160"/>
    </row>
    <row r="297" spans="1:7" x14ac:dyDescent="0.3">
      <c r="A297" s="7" t="s">
        <v>29</v>
      </c>
      <c r="B297" s="27">
        <f>+C291</f>
        <v>3560</v>
      </c>
      <c r="E297" s="7" t="s">
        <v>29</v>
      </c>
      <c r="F297" s="27">
        <f>+G291</f>
        <v>3760</v>
      </c>
    </row>
    <row r="298" spans="1:7" x14ac:dyDescent="0.3">
      <c r="A298" s="7" t="s">
        <v>37</v>
      </c>
      <c r="B298" s="28">
        <f>+C293</f>
        <v>0.17022471910112361</v>
      </c>
      <c r="E298" s="7" t="s">
        <v>37</v>
      </c>
      <c r="F298" s="28">
        <f>+G293</f>
        <v>0.12686170212765957</v>
      </c>
    </row>
    <row r="299" spans="1:7" ht="16.2" thickBot="1" x14ac:dyDescent="0.35">
      <c r="A299" s="14" t="s">
        <v>40</v>
      </c>
      <c r="B299" s="29">
        <f>0.02*(B297^0.77)*(B298^-0.385)</f>
        <v>21.463610718561739</v>
      </c>
      <c r="E299" s="14" t="s">
        <v>40</v>
      </c>
      <c r="F299" s="29">
        <f>0.02*(F297^0.77)*(F298^-0.385)</f>
        <v>25.069309993673382</v>
      </c>
    </row>
    <row r="300" spans="1:7" ht="16.2" thickBot="1" x14ac:dyDescent="0.35"/>
    <row r="301" spans="1:7" x14ac:dyDescent="0.3">
      <c r="A301" s="159" t="s">
        <v>41</v>
      </c>
      <c r="B301" s="173"/>
      <c r="C301" s="160"/>
      <c r="E301" s="159" t="s">
        <v>41</v>
      </c>
      <c r="F301" s="173"/>
      <c r="G301" s="160"/>
    </row>
    <row r="302" spans="1:7" x14ac:dyDescent="0.3">
      <c r="A302" s="7" t="s">
        <v>42</v>
      </c>
      <c r="B302" s="179">
        <f>+B293</f>
        <v>17.022471910112362</v>
      </c>
      <c r="C302" s="181"/>
      <c r="E302" s="7" t="s">
        <v>42</v>
      </c>
      <c r="F302" s="179">
        <f>+F293</f>
        <v>12.686170212765957</v>
      </c>
      <c r="G302" s="181"/>
    </row>
    <row r="303" spans="1:7" x14ac:dyDescent="0.3">
      <c r="A303" s="7" t="s">
        <v>43</v>
      </c>
      <c r="B303" s="174">
        <f>+B292</f>
        <v>8.4499999999999993</v>
      </c>
      <c r="C303" s="182"/>
      <c r="E303" s="7" t="s">
        <v>43</v>
      </c>
      <c r="F303" s="174">
        <f>+F292</f>
        <v>12.4</v>
      </c>
      <c r="G303" s="182"/>
    </row>
    <row r="304" spans="1:7" x14ac:dyDescent="0.3">
      <c r="A304" s="7" t="s">
        <v>44</v>
      </c>
      <c r="B304" s="175">
        <f>+B291</f>
        <v>3.56</v>
      </c>
      <c r="C304" s="180"/>
      <c r="E304" s="7" t="s">
        <v>44</v>
      </c>
      <c r="F304" s="175">
        <f>+F291</f>
        <v>3.76</v>
      </c>
      <c r="G304" s="180"/>
    </row>
    <row r="305" spans="1:7" x14ac:dyDescent="0.3">
      <c r="A305" s="7" t="s">
        <v>45</v>
      </c>
      <c r="B305" s="176">
        <f>+B304/(B303^0.5)</f>
        <v>1.224677230753731</v>
      </c>
      <c r="C305" s="177"/>
      <c r="E305" s="7" t="s">
        <v>45</v>
      </c>
      <c r="F305" s="176">
        <f>+F304/(F303^0.5)</f>
        <v>1.0677682483844817</v>
      </c>
      <c r="G305" s="177"/>
    </row>
    <row r="306" spans="1:7" x14ac:dyDescent="0.3">
      <c r="A306" s="7">
        <v>0.05</v>
      </c>
      <c r="B306" s="8" t="s">
        <v>46</v>
      </c>
      <c r="C306" s="9">
        <v>0.5</v>
      </c>
      <c r="E306" s="7">
        <v>0.05</v>
      </c>
      <c r="F306" s="8" t="s">
        <v>46</v>
      </c>
      <c r="G306" s="9">
        <v>0.5</v>
      </c>
    </row>
    <row r="307" spans="1:7" x14ac:dyDescent="0.3">
      <c r="A307" s="7" t="s">
        <v>45</v>
      </c>
      <c r="B307" s="178">
        <f>+IF(B305&lt;A306,A306,IF(B305&gt;C306,C306,B305))</f>
        <v>0.5</v>
      </c>
      <c r="C307" s="168"/>
      <c r="E307" s="7" t="s">
        <v>45</v>
      </c>
      <c r="F307" s="178">
        <f>+IF(F305&lt;E306,E306,IF(F305&gt;G306,G306,F305))</f>
        <v>0.5</v>
      </c>
      <c r="G307" s="168"/>
    </row>
    <row r="308" spans="1:7" x14ac:dyDescent="0.3">
      <c r="A308" s="7" t="s">
        <v>40</v>
      </c>
      <c r="B308" s="169">
        <f>+B307*((B303^0.5)/B302)</f>
        <v>8.5383849833902847E-2</v>
      </c>
      <c r="C308" s="170"/>
      <c r="E308" s="7" t="s">
        <v>40</v>
      </c>
      <c r="F308" s="169">
        <f>+F307*((F303^0.5)/F302)</f>
        <v>0.13878748721140016</v>
      </c>
      <c r="G308" s="170"/>
    </row>
    <row r="309" spans="1:7" x14ac:dyDescent="0.3">
      <c r="A309" s="7" t="s">
        <v>40</v>
      </c>
      <c r="B309" s="171">
        <f>+B308*60</f>
        <v>5.1230309900341711</v>
      </c>
      <c r="C309" s="172"/>
      <c r="E309" s="7" t="s">
        <v>40</v>
      </c>
      <c r="F309" s="171">
        <f>+F308*60</f>
        <v>8.3272492326840091</v>
      </c>
      <c r="G309" s="172"/>
    </row>
    <row r="310" spans="1:7" ht="16.2" thickBot="1" x14ac:dyDescent="0.35">
      <c r="A310" s="164" t="str">
        <f>+IF(B305&lt;A306,"alejamiento medio menor a límites",IF(B305&gt;C306,"alejamiento medio mayor a límites","alejamiento medio cumple con límites"))</f>
        <v>alejamiento medio mayor a límites</v>
      </c>
      <c r="B310" s="165"/>
      <c r="C310" s="166"/>
      <c r="E310" s="164" t="str">
        <f>+IF(F305&lt;E306,"alejamiento medio menor a límites",IF(F305&gt;G306,"alejamiento medio mayor a límites","alejamiento medio cumple con límites"))</f>
        <v>alejamiento medio mayor a límites</v>
      </c>
      <c r="F310" s="165"/>
      <c r="G310" s="166"/>
    </row>
    <row r="311" spans="1:7" ht="16.2" thickBot="1" x14ac:dyDescent="0.35">
      <c r="A311" s="8"/>
      <c r="B311" s="8"/>
      <c r="C311" s="8"/>
      <c r="D311" s="8"/>
      <c r="E311" s="8"/>
      <c r="F311" s="8"/>
      <c r="G311" s="8"/>
    </row>
    <row r="312" spans="1:7" x14ac:dyDescent="0.3">
      <c r="A312" s="159" t="s">
        <v>47</v>
      </c>
      <c r="B312" s="173"/>
      <c r="C312" s="160"/>
      <c r="E312" s="159" t="s">
        <v>47</v>
      </c>
      <c r="F312" s="173"/>
      <c r="G312" s="160"/>
    </row>
    <row r="313" spans="1:7" x14ac:dyDescent="0.3">
      <c r="A313" s="7" t="s">
        <v>42</v>
      </c>
      <c r="B313" s="179">
        <f>+B293</f>
        <v>17.022471910112362</v>
      </c>
      <c r="C313" s="168"/>
      <c r="E313" s="7" t="s">
        <v>42</v>
      </c>
      <c r="F313" s="179">
        <f>+F293</f>
        <v>12.686170212765957</v>
      </c>
      <c r="G313" s="168"/>
    </row>
    <row r="314" spans="1:7" x14ac:dyDescent="0.3">
      <c r="A314" s="7" t="s">
        <v>43</v>
      </c>
      <c r="B314" s="174">
        <f>+B292</f>
        <v>8.4499999999999993</v>
      </c>
      <c r="C314" s="168"/>
      <c r="E314" s="7" t="s">
        <v>43</v>
      </c>
      <c r="F314" s="174">
        <f>+F292</f>
        <v>12.4</v>
      </c>
      <c r="G314" s="168"/>
    </row>
    <row r="315" spans="1:7" x14ac:dyDescent="0.3">
      <c r="A315" s="7" t="s">
        <v>44</v>
      </c>
      <c r="B315" s="175">
        <f>+B291</f>
        <v>3.56</v>
      </c>
      <c r="C315" s="168"/>
      <c r="E315" s="7" t="s">
        <v>44</v>
      </c>
      <c r="F315" s="175">
        <f>+F291</f>
        <v>3.76</v>
      </c>
      <c r="G315" s="168"/>
    </row>
    <row r="316" spans="1:7" x14ac:dyDescent="0.3">
      <c r="A316" s="7" t="s">
        <v>45</v>
      </c>
      <c r="B316" s="176">
        <f>+B315/(B314^0.5)</f>
        <v>1.224677230753731</v>
      </c>
      <c r="C316" s="177"/>
      <c r="E316" s="7" t="s">
        <v>45</v>
      </c>
      <c r="F316" s="176">
        <f>+F315/(F314^0.5)</f>
        <v>1.0677682483844817</v>
      </c>
      <c r="G316" s="177"/>
    </row>
    <row r="317" spans="1:7" x14ac:dyDescent="0.3">
      <c r="A317" s="7">
        <v>0.04</v>
      </c>
      <c r="B317" s="8" t="s">
        <v>46</v>
      </c>
      <c r="C317" s="9">
        <v>0.13</v>
      </c>
      <c r="E317" s="7">
        <v>0.04</v>
      </c>
      <c r="F317" s="8" t="s">
        <v>46</v>
      </c>
      <c r="G317" s="9">
        <v>0.13</v>
      </c>
    </row>
    <row r="318" spans="1:7" x14ac:dyDescent="0.3">
      <c r="A318" s="7" t="s">
        <v>45</v>
      </c>
      <c r="B318" s="178">
        <f>+IF(B316&lt;A317,A317,IF(B316&gt;C317,C317,B316))</f>
        <v>0.13</v>
      </c>
      <c r="C318" s="168"/>
      <c r="E318" s="7" t="s">
        <v>45</v>
      </c>
      <c r="F318" s="178">
        <f>+IF(F316&lt;E317,E317,IF(F316&gt;G317,G317,F316))</f>
        <v>0.13</v>
      </c>
      <c r="G318" s="168"/>
    </row>
    <row r="319" spans="1:7" x14ac:dyDescent="0.3">
      <c r="A319" s="7" t="s">
        <v>40</v>
      </c>
      <c r="B319" s="169">
        <f>+B318*((B314*B315)^(1/3))/(B313^0.5)</f>
        <v>9.7994328553636253E-2</v>
      </c>
      <c r="C319" s="170"/>
      <c r="E319" s="7" t="s">
        <v>40</v>
      </c>
      <c r="F319" s="169">
        <f>+F318*((F314*F315)^(1/3))/(F313^0.5)</f>
        <v>0.13136548148379679</v>
      </c>
      <c r="G319" s="170"/>
    </row>
    <row r="320" spans="1:7" x14ac:dyDescent="0.3">
      <c r="A320" s="7" t="s">
        <v>40</v>
      </c>
      <c r="B320" s="171">
        <f>+B319*60</f>
        <v>5.8796597132181754</v>
      </c>
      <c r="C320" s="172"/>
      <c r="E320" s="7" t="s">
        <v>40</v>
      </c>
      <c r="F320" s="171">
        <f>+F319*60</f>
        <v>7.8819288890278072</v>
      </c>
      <c r="G320" s="172"/>
    </row>
    <row r="321" spans="1:7" ht="16.2" thickBot="1" x14ac:dyDescent="0.35">
      <c r="A321" s="164" t="str">
        <f>+IF(B316&lt;A317,"alejamiento medio menor a límites",IF(B316&gt;C317,"alejamiento medio mayor a límites","alejamiento medio cumple con límites"))</f>
        <v>alejamiento medio mayor a límites</v>
      </c>
      <c r="B321" s="165"/>
      <c r="C321" s="166"/>
      <c r="E321" s="164" t="str">
        <f>+IF(F316&lt;E317,"alejamiento medio menor a límites",IF(F316&gt;G317,"alejamiento medio mayor a límites","alejamiento medio cumple con límites"))</f>
        <v>alejamiento medio mayor a límites</v>
      </c>
      <c r="F321" s="165"/>
      <c r="G321" s="166"/>
    </row>
    <row r="322" spans="1:7" ht="16.2" thickBot="1" x14ac:dyDescent="0.35">
      <c r="A322" s="8" t="s">
        <v>131</v>
      </c>
      <c r="B322" s="8"/>
      <c r="C322" s="8"/>
      <c r="D322" s="8"/>
      <c r="E322" s="8"/>
      <c r="F322" s="8"/>
      <c r="G322" s="8"/>
    </row>
    <row r="323" spans="1:7" x14ac:dyDescent="0.3">
      <c r="A323" s="159" t="s">
        <v>48</v>
      </c>
      <c r="B323" s="173"/>
      <c r="C323" s="160"/>
      <c r="E323" s="159" t="s">
        <v>48</v>
      </c>
      <c r="F323" s="173"/>
      <c r="G323" s="160"/>
    </row>
    <row r="324" spans="1:7" x14ac:dyDescent="0.3">
      <c r="A324" s="7" t="s">
        <v>37</v>
      </c>
      <c r="B324" s="174">
        <f>+B292</f>
        <v>8.4499999999999993</v>
      </c>
      <c r="C324" s="168"/>
      <c r="E324" s="7" t="s">
        <v>37</v>
      </c>
      <c r="F324" s="174">
        <f>+F292</f>
        <v>12.4</v>
      </c>
      <c r="G324" s="168"/>
    </row>
    <row r="325" spans="1:7" x14ac:dyDescent="0.3">
      <c r="A325" s="7" t="s">
        <v>29</v>
      </c>
      <c r="B325" s="175">
        <f>+B291</f>
        <v>3.56</v>
      </c>
      <c r="C325" s="168"/>
      <c r="E325" s="7" t="s">
        <v>29</v>
      </c>
      <c r="F325" s="175">
        <f>+F291</f>
        <v>3.76</v>
      </c>
      <c r="G325" s="168"/>
    </row>
    <row r="326" spans="1:7" x14ac:dyDescent="0.3">
      <c r="A326" s="7" t="s">
        <v>38</v>
      </c>
      <c r="B326" s="167">
        <f>+B294</f>
        <v>606</v>
      </c>
      <c r="C326" s="168"/>
      <c r="E326" s="7" t="s">
        <v>38</v>
      </c>
      <c r="F326" s="167">
        <f>+F294</f>
        <v>477</v>
      </c>
      <c r="G326" s="168"/>
    </row>
    <row r="327" spans="1:7" x14ac:dyDescent="0.3">
      <c r="A327" s="32">
        <f>+B325/3600</f>
        <v>9.8888888888888898E-4</v>
      </c>
      <c r="B327" s="8" t="s">
        <v>49</v>
      </c>
      <c r="C327" s="33">
        <f>+(B325/3600)+1.5</f>
        <v>1.5009888888888889</v>
      </c>
      <c r="E327" s="32">
        <f>+F325/3600</f>
        <v>1.0444444444444444E-3</v>
      </c>
      <c r="F327" s="8" t="s">
        <v>49</v>
      </c>
      <c r="G327" s="33">
        <f>+(F325/3600)+1.5</f>
        <v>1.5010444444444444</v>
      </c>
    </row>
    <row r="328" spans="1:7" x14ac:dyDescent="0.3">
      <c r="A328" s="7" t="s">
        <v>40</v>
      </c>
      <c r="B328" s="169">
        <f>+(4*(B324^0.5)+1.5*B325)/(0.8*(B326^0.5))</f>
        <v>0.86157468061478892</v>
      </c>
      <c r="C328" s="170"/>
      <c r="E328" s="7" t="s">
        <v>40</v>
      </c>
      <c r="F328" s="169">
        <f>+(4*(F324^0.5)+1.5*F325)/(0.8*(F326^0.5))</f>
        <v>1.1289580897656755</v>
      </c>
      <c r="G328" s="170"/>
    </row>
    <row r="329" spans="1:7" x14ac:dyDescent="0.3">
      <c r="A329" s="7" t="s">
        <v>40</v>
      </c>
      <c r="B329" s="171">
        <f>+B328*60</f>
        <v>51.694480836887337</v>
      </c>
      <c r="C329" s="172"/>
      <c r="E329" s="7" t="s">
        <v>40</v>
      </c>
      <c r="F329" s="171">
        <f>+F328*60</f>
        <v>67.737485385940531</v>
      </c>
      <c r="G329" s="172"/>
    </row>
    <row r="330" spans="1:7" ht="16.2" thickBot="1" x14ac:dyDescent="0.35">
      <c r="A330" s="164" t="str">
        <f>+IF(B328&lt;A327,"tiempo de cosncentración menor a límites",IF(B328&gt;C327,"tiempo de cosncentración mayor a límites","tiempo de cosncentración cumple con límites"))</f>
        <v>tiempo de cosncentración cumple con límites</v>
      </c>
      <c r="B330" s="165"/>
      <c r="C330" s="166"/>
      <c r="E330" s="164" t="str">
        <f>+IF(F328&lt;E327,"tiempo de cosncentración menor a límites",IF(F328&gt;G327,"tiempo de cosncentración mayor a límites","tiempo de cosncentración cumple con límites"))</f>
        <v>tiempo de cosncentración cumple con límites</v>
      </c>
      <c r="F330" s="165"/>
      <c r="G330" s="166"/>
    </row>
    <row r="331" spans="1:7" ht="16.2" thickBot="1" x14ac:dyDescent="0.35"/>
    <row r="332" spans="1:7" x14ac:dyDescent="0.3">
      <c r="A332" s="161" t="s">
        <v>50</v>
      </c>
      <c r="B332" s="162"/>
      <c r="C332" s="162"/>
      <c r="D332" s="162"/>
      <c r="E332" s="163"/>
    </row>
    <row r="333" spans="1:7" x14ac:dyDescent="0.3">
      <c r="A333" s="140" t="s">
        <v>54</v>
      </c>
      <c r="B333" s="141" t="s">
        <v>51</v>
      </c>
      <c r="C333" s="141"/>
      <c r="D333" s="141"/>
      <c r="E333" s="142"/>
    </row>
    <row r="334" spans="1:7" x14ac:dyDescent="0.3">
      <c r="A334" s="140"/>
      <c r="B334" s="3" t="str">
        <f>+$A$11</f>
        <v>Kirpich</v>
      </c>
      <c r="C334" s="3" t="str">
        <f>+$A$16</f>
        <v>Ventura-Heras</v>
      </c>
      <c r="D334" s="3" t="str">
        <f>+$A$27</f>
        <v>Passini</v>
      </c>
      <c r="E334" s="4" t="str">
        <f>+$A$43</f>
        <v>Giandotti</v>
      </c>
    </row>
    <row r="335" spans="1:7" x14ac:dyDescent="0.3">
      <c r="A335" s="2" t="str">
        <f>+CONCATENATE("TC ",A289)</f>
        <v>TC Cuenca 10</v>
      </c>
      <c r="B335" s="40">
        <f>+B299</f>
        <v>21.463610718561739</v>
      </c>
      <c r="C335" s="40">
        <f>+B309</f>
        <v>5.1230309900341711</v>
      </c>
      <c r="D335" s="40">
        <f>+B320</f>
        <v>5.8796597132181754</v>
      </c>
      <c r="E335" s="41">
        <f>+B329</f>
        <v>51.694480836887337</v>
      </c>
    </row>
    <row r="336" spans="1:7" ht="16.2" thickBot="1" x14ac:dyDescent="0.35">
      <c r="A336" s="11" t="str">
        <f>+CONCATENATE("TC ",E289)</f>
        <v>TC Cuenca 11</v>
      </c>
      <c r="B336" s="36">
        <f>+F299</f>
        <v>25.069309993673382</v>
      </c>
      <c r="C336" s="36">
        <f>+F309</f>
        <v>8.3272492326840091</v>
      </c>
      <c r="D336" s="36">
        <f>+F320</f>
        <v>7.8819288890278072</v>
      </c>
      <c r="E336" s="37">
        <f>+F329</f>
        <v>67.737485385940531</v>
      </c>
    </row>
    <row r="337" spans="1:5" x14ac:dyDescent="0.3">
      <c r="A337" s="8"/>
      <c r="B337" s="42"/>
      <c r="C337" s="42"/>
      <c r="D337" s="42"/>
      <c r="E337" s="42"/>
    </row>
    <row r="338" spans="1:5" ht="16.2" thickBot="1" x14ac:dyDescent="0.35">
      <c r="A338" s="8"/>
      <c r="B338" s="42"/>
      <c r="C338" s="42"/>
      <c r="D338" s="42"/>
      <c r="E338" s="42"/>
    </row>
    <row r="339" spans="1:5" x14ac:dyDescent="0.3">
      <c r="A339" s="161" t="s">
        <v>56</v>
      </c>
      <c r="B339" s="162"/>
      <c r="C339" s="162"/>
      <c r="D339" s="163"/>
    </row>
    <row r="340" spans="1:5" x14ac:dyDescent="0.3">
      <c r="A340" s="2" t="s">
        <v>55</v>
      </c>
      <c r="B340" s="141" t="s">
        <v>52</v>
      </c>
      <c r="C340" s="141"/>
      <c r="D340" s="142"/>
    </row>
    <row r="341" spans="1:5" x14ac:dyDescent="0.3">
      <c r="A341" s="2" t="str">
        <f>+A335</f>
        <v>TC Cuenca 10</v>
      </c>
      <c r="B341" s="141" t="s">
        <v>41</v>
      </c>
      <c r="C341" s="141"/>
      <c r="D341" s="41">
        <f>+IF(B341="Kirpich",B335,IF(B341="Ventura-Heras",C335,IF(B341="Passini",D335,IF(B341="Giandotti",E335,"Dato invalido"))))</f>
        <v>5.1230309900341711</v>
      </c>
    </row>
    <row r="342" spans="1:5" ht="16.2" thickBot="1" x14ac:dyDescent="0.35">
      <c r="A342" s="11" t="str">
        <f>+A336</f>
        <v>TC Cuenca 11</v>
      </c>
      <c r="B342" s="152" t="str">
        <f>+B341</f>
        <v>Ventura-Heras</v>
      </c>
      <c r="C342" s="152"/>
      <c r="D342" s="37">
        <f>+IF(B342="Kirpich",B336,IF(B342="Ventura-Heras",C336,IF(B342="Passini",D336,IF(B342="Giandotti",E336,"Dato invalido"))))</f>
        <v>8.3272492326840091</v>
      </c>
    </row>
  </sheetData>
  <mergeCells count="375">
    <mergeCell ref="A1:G1"/>
    <mergeCell ref="B8:C8"/>
    <mergeCell ref="B9:C9"/>
    <mergeCell ref="A3:C3"/>
    <mergeCell ref="A4:C4"/>
    <mergeCell ref="A27:C27"/>
    <mergeCell ref="B44:C44"/>
    <mergeCell ref="B33:C33"/>
    <mergeCell ref="A25:C25"/>
    <mergeCell ref="B28:C28"/>
    <mergeCell ref="B29:C29"/>
    <mergeCell ref="B30:C30"/>
    <mergeCell ref="B31:C31"/>
    <mergeCell ref="A11:B11"/>
    <mergeCell ref="A16:C16"/>
    <mergeCell ref="B23:C23"/>
    <mergeCell ref="B24:C24"/>
    <mergeCell ref="B17:C17"/>
    <mergeCell ref="B18:C18"/>
    <mergeCell ref="B19:C19"/>
    <mergeCell ref="B20:C20"/>
    <mergeCell ref="B22:C22"/>
    <mergeCell ref="A53:D53"/>
    <mergeCell ref="A52:D52"/>
    <mergeCell ref="B46:C46"/>
    <mergeCell ref="B49:C49"/>
    <mergeCell ref="B48:C48"/>
    <mergeCell ref="A50:C50"/>
    <mergeCell ref="A43:C43"/>
    <mergeCell ref="B45:C45"/>
    <mergeCell ref="B34:C34"/>
    <mergeCell ref="B35:C35"/>
    <mergeCell ref="A36:C36"/>
    <mergeCell ref="B66:C66"/>
    <mergeCell ref="B67:C67"/>
    <mergeCell ref="A69:B69"/>
    <mergeCell ref="A74:C74"/>
    <mergeCell ref="B75:C75"/>
    <mergeCell ref="A57:B57"/>
    <mergeCell ref="A56:C56"/>
    <mergeCell ref="A59:G59"/>
    <mergeCell ref="A61:C61"/>
    <mergeCell ref="A62:C62"/>
    <mergeCell ref="B82:C82"/>
    <mergeCell ref="A83:C83"/>
    <mergeCell ref="A85:C85"/>
    <mergeCell ref="B86:C86"/>
    <mergeCell ref="B87:C87"/>
    <mergeCell ref="B76:C76"/>
    <mergeCell ref="B77:C77"/>
    <mergeCell ref="B78:C78"/>
    <mergeCell ref="B80:C80"/>
    <mergeCell ref="B81:C81"/>
    <mergeCell ref="A94:C94"/>
    <mergeCell ref="A96:C96"/>
    <mergeCell ref="B97:C97"/>
    <mergeCell ref="B98:C98"/>
    <mergeCell ref="B99:C99"/>
    <mergeCell ref="B88:C88"/>
    <mergeCell ref="B89:C89"/>
    <mergeCell ref="B91:C91"/>
    <mergeCell ref="B92:C92"/>
    <mergeCell ref="B93:C93"/>
    <mergeCell ref="E85:G85"/>
    <mergeCell ref="F86:G86"/>
    <mergeCell ref="F87:G87"/>
    <mergeCell ref="F88:G88"/>
    <mergeCell ref="F89:G89"/>
    <mergeCell ref="B111:D111"/>
    <mergeCell ref="E61:G61"/>
    <mergeCell ref="E62:G62"/>
    <mergeCell ref="F66:G66"/>
    <mergeCell ref="F67:G67"/>
    <mergeCell ref="E69:F69"/>
    <mergeCell ref="E74:G74"/>
    <mergeCell ref="F75:G75"/>
    <mergeCell ref="F76:G76"/>
    <mergeCell ref="F77:G77"/>
    <mergeCell ref="F78:G78"/>
    <mergeCell ref="F80:G80"/>
    <mergeCell ref="F81:G81"/>
    <mergeCell ref="F82:G82"/>
    <mergeCell ref="E83:G83"/>
    <mergeCell ref="B101:C101"/>
    <mergeCell ref="B102:C102"/>
    <mergeCell ref="A103:C103"/>
    <mergeCell ref="B106:E106"/>
    <mergeCell ref="F97:G97"/>
    <mergeCell ref="F98:G98"/>
    <mergeCell ref="F99:G99"/>
    <mergeCell ref="F101:G101"/>
    <mergeCell ref="F102:G102"/>
    <mergeCell ref="F91:G91"/>
    <mergeCell ref="F92:G92"/>
    <mergeCell ref="F93:G93"/>
    <mergeCell ref="E94:G94"/>
    <mergeCell ref="E96:G96"/>
    <mergeCell ref="A115:G115"/>
    <mergeCell ref="A117:C117"/>
    <mergeCell ref="E117:G117"/>
    <mergeCell ref="A118:C118"/>
    <mergeCell ref="E118:G118"/>
    <mergeCell ref="E103:G103"/>
    <mergeCell ref="A105:E105"/>
    <mergeCell ref="B112:C112"/>
    <mergeCell ref="A106:A107"/>
    <mergeCell ref="B113:C113"/>
    <mergeCell ref="A110:D110"/>
    <mergeCell ref="A132:C132"/>
    <mergeCell ref="E132:G132"/>
    <mergeCell ref="B133:C133"/>
    <mergeCell ref="F133:G133"/>
    <mergeCell ref="B134:C134"/>
    <mergeCell ref="F134:G134"/>
    <mergeCell ref="B122:C122"/>
    <mergeCell ref="F122:G122"/>
    <mergeCell ref="B123:C123"/>
    <mergeCell ref="F123:G123"/>
    <mergeCell ref="A127:B127"/>
    <mergeCell ref="E127:F127"/>
    <mergeCell ref="B139:C139"/>
    <mergeCell ref="F139:G139"/>
    <mergeCell ref="B140:C140"/>
    <mergeCell ref="F140:G140"/>
    <mergeCell ref="A141:C141"/>
    <mergeCell ref="E141:G141"/>
    <mergeCell ref="B135:C135"/>
    <mergeCell ref="F135:G135"/>
    <mergeCell ref="B136:C136"/>
    <mergeCell ref="F136:G136"/>
    <mergeCell ref="B138:C138"/>
    <mergeCell ref="F138:G138"/>
    <mergeCell ref="B146:C146"/>
    <mergeCell ref="F146:G146"/>
    <mergeCell ref="B147:C147"/>
    <mergeCell ref="F147:G147"/>
    <mergeCell ref="B149:C149"/>
    <mergeCell ref="F149:G149"/>
    <mergeCell ref="A143:C143"/>
    <mergeCell ref="E143:G143"/>
    <mergeCell ref="B144:C144"/>
    <mergeCell ref="F144:G144"/>
    <mergeCell ref="B145:C145"/>
    <mergeCell ref="F145:G145"/>
    <mergeCell ref="A154:C154"/>
    <mergeCell ref="E154:G154"/>
    <mergeCell ref="B155:C155"/>
    <mergeCell ref="F155:G155"/>
    <mergeCell ref="B156:C156"/>
    <mergeCell ref="F156:G156"/>
    <mergeCell ref="B150:C150"/>
    <mergeCell ref="F150:G150"/>
    <mergeCell ref="B151:C151"/>
    <mergeCell ref="F151:G151"/>
    <mergeCell ref="A152:C152"/>
    <mergeCell ref="E152:G152"/>
    <mergeCell ref="A161:C161"/>
    <mergeCell ref="E161:G161"/>
    <mergeCell ref="A163:E163"/>
    <mergeCell ref="A164:A165"/>
    <mergeCell ref="B164:E164"/>
    <mergeCell ref="B157:C157"/>
    <mergeCell ref="F157:G157"/>
    <mergeCell ref="B159:C159"/>
    <mergeCell ref="F159:G159"/>
    <mergeCell ref="B160:C160"/>
    <mergeCell ref="F160:G160"/>
    <mergeCell ref="A177:C177"/>
    <mergeCell ref="E177:G177"/>
    <mergeCell ref="A178:C178"/>
    <mergeCell ref="E178:G178"/>
    <mergeCell ref="B182:C182"/>
    <mergeCell ref="F182:G182"/>
    <mergeCell ref="A170:D170"/>
    <mergeCell ref="B171:D171"/>
    <mergeCell ref="B172:C172"/>
    <mergeCell ref="B173:C173"/>
    <mergeCell ref="A175:G175"/>
    <mergeCell ref="B191:C191"/>
    <mergeCell ref="F191:G191"/>
    <mergeCell ref="B192:C192"/>
    <mergeCell ref="F192:G192"/>
    <mergeCell ref="B193:C193"/>
    <mergeCell ref="F193:G193"/>
    <mergeCell ref="B183:C183"/>
    <mergeCell ref="F183:G183"/>
    <mergeCell ref="A185:B185"/>
    <mergeCell ref="E185:F185"/>
    <mergeCell ref="A190:C190"/>
    <mergeCell ref="E190:G190"/>
    <mergeCell ref="B198:C198"/>
    <mergeCell ref="F198:G198"/>
    <mergeCell ref="A199:C199"/>
    <mergeCell ref="E199:G199"/>
    <mergeCell ref="A201:C201"/>
    <mergeCell ref="E201:G201"/>
    <mergeCell ref="B194:C194"/>
    <mergeCell ref="F194:G194"/>
    <mergeCell ref="B196:C196"/>
    <mergeCell ref="F196:G196"/>
    <mergeCell ref="B197:C197"/>
    <mergeCell ref="F197:G197"/>
    <mergeCell ref="B205:C205"/>
    <mergeCell ref="F205:G205"/>
    <mergeCell ref="B207:C207"/>
    <mergeCell ref="F207:G207"/>
    <mergeCell ref="B208:C208"/>
    <mergeCell ref="F208:G208"/>
    <mergeCell ref="B202:C202"/>
    <mergeCell ref="F202:G202"/>
    <mergeCell ref="B203:C203"/>
    <mergeCell ref="F203:G203"/>
    <mergeCell ref="B204:C204"/>
    <mergeCell ref="F204:G204"/>
    <mergeCell ref="B213:C213"/>
    <mergeCell ref="F213:G213"/>
    <mergeCell ref="B214:C214"/>
    <mergeCell ref="F214:G214"/>
    <mergeCell ref="B215:C215"/>
    <mergeCell ref="F215:G215"/>
    <mergeCell ref="B209:C209"/>
    <mergeCell ref="F209:G209"/>
    <mergeCell ref="A210:C210"/>
    <mergeCell ref="E210:G210"/>
    <mergeCell ref="A212:C212"/>
    <mergeCell ref="E212:G212"/>
    <mergeCell ref="A221:E221"/>
    <mergeCell ref="A222:A223"/>
    <mergeCell ref="B222:E222"/>
    <mergeCell ref="A226:D226"/>
    <mergeCell ref="B227:D227"/>
    <mergeCell ref="B217:C217"/>
    <mergeCell ref="F217:G217"/>
    <mergeCell ref="B218:C218"/>
    <mergeCell ref="F218:G218"/>
    <mergeCell ref="A219:C219"/>
    <mergeCell ref="E219:G219"/>
    <mergeCell ref="A234:C234"/>
    <mergeCell ref="E234:G234"/>
    <mergeCell ref="B238:C238"/>
    <mergeCell ref="F238:G238"/>
    <mergeCell ref="B239:C239"/>
    <mergeCell ref="F239:G239"/>
    <mergeCell ref="B228:C228"/>
    <mergeCell ref="B229:C229"/>
    <mergeCell ref="A231:G231"/>
    <mergeCell ref="A233:C233"/>
    <mergeCell ref="E233:G233"/>
    <mergeCell ref="B248:C248"/>
    <mergeCell ref="F248:G248"/>
    <mergeCell ref="B249:C249"/>
    <mergeCell ref="F249:G249"/>
    <mergeCell ref="B250:C250"/>
    <mergeCell ref="F250:G250"/>
    <mergeCell ref="A241:B241"/>
    <mergeCell ref="E241:F241"/>
    <mergeCell ref="A246:C246"/>
    <mergeCell ref="E246:G246"/>
    <mergeCell ref="B247:C247"/>
    <mergeCell ref="F247:G247"/>
    <mergeCell ref="A255:C255"/>
    <mergeCell ref="E255:G255"/>
    <mergeCell ref="A257:C257"/>
    <mergeCell ref="E257:G257"/>
    <mergeCell ref="B258:C258"/>
    <mergeCell ref="F258:G258"/>
    <mergeCell ref="B252:C252"/>
    <mergeCell ref="F252:G252"/>
    <mergeCell ref="B253:C253"/>
    <mergeCell ref="F253:G253"/>
    <mergeCell ref="B254:C254"/>
    <mergeCell ref="F254:G254"/>
    <mergeCell ref="B263:C263"/>
    <mergeCell ref="F263:G263"/>
    <mergeCell ref="B264:C264"/>
    <mergeCell ref="F264:G264"/>
    <mergeCell ref="B265:C265"/>
    <mergeCell ref="F265:G265"/>
    <mergeCell ref="B259:C259"/>
    <mergeCell ref="F259:G259"/>
    <mergeCell ref="B260:C260"/>
    <mergeCell ref="F260:G260"/>
    <mergeCell ref="B261:C261"/>
    <mergeCell ref="F261:G261"/>
    <mergeCell ref="B270:C270"/>
    <mergeCell ref="F270:G270"/>
    <mergeCell ref="B271:C271"/>
    <mergeCell ref="F271:G271"/>
    <mergeCell ref="B273:C273"/>
    <mergeCell ref="F273:G273"/>
    <mergeCell ref="A266:C266"/>
    <mergeCell ref="E266:G266"/>
    <mergeCell ref="A268:C268"/>
    <mergeCell ref="E268:G268"/>
    <mergeCell ref="B269:C269"/>
    <mergeCell ref="F269:G269"/>
    <mergeCell ref="A278:A279"/>
    <mergeCell ref="B278:E278"/>
    <mergeCell ref="A282:D282"/>
    <mergeCell ref="B283:D283"/>
    <mergeCell ref="B284:C284"/>
    <mergeCell ref="B274:C274"/>
    <mergeCell ref="F274:G274"/>
    <mergeCell ref="A275:C275"/>
    <mergeCell ref="E275:G275"/>
    <mergeCell ref="A277:E277"/>
    <mergeCell ref="B294:C294"/>
    <mergeCell ref="F294:G294"/>
    <mergeCell ref="B295:C295"/>
    <mergeCell ref="F295:G295"/>
    <mergeCell ref="A296:B296"/>
    <mergeCell ref="E296:F296"/>
    <mergeCell ref="B285:C285"/>
    <mergeCell ref="A287:G287"/>
    <mergeCell ref="A289:C289"/>
    <mergeCell ref="E289:G289"/>
    <mergeCell ref="A290:C290"/>
    <mergeCell ref="E290:G290"/>
    <mergeCell ref="B304:C304"/>
    <mergeCell ref="F304:G304"/>
    <mergeCell ref="B305:C305"/>
    <mergeCell ref="F305:G305"/>
    <mergeCell ref="B307:C307"/>
    <mergeCell ref="F307:G307"/>
    <mergeCell ref="A301:C301"/>
    <mergeCell ref="E301:G301"/>
    <mergeCell ref="B302:C302"/>
    <mergeCell ref="F302:G302"/>
    <mergeCell ref="B303:C303"/>
    <mergeCell ref="F303:G303"/>
    <mergeCell ref="A312:C312"/>
    <mergeCell ref="E312:G312"/>
    <mergeCell ref="B313:C313"/>
    <mergeCell ref="F313:G313"/>
    <mergeCell ref="B314:C314"/>
    <mergeCell ref="F314:G314"/>
    <mergeCell ref="B308:C308"/>
    <mergeCell ref="F308:G308"/>
    <mergeCell ref="B309:C309"/>
    <mergeCell ref="F309:G309"/>
    <mergeCell ref="A310:C310"/>
    <mergeCell ref="E310:G310"/>
    <mergeCell ref="B319:C319"/>
    <mergeCell ref="F319:G319"/>
    <mergeCell ref="B320:C320"/>
    <mergeCell ref="F320:G320"/>
    <mergeCell ref="A321:C321"/>
    <mergeCell ref="E321:G321"/>
    <mergeCell ref="B315:C315"/>
    <mergeCell ref="F315:G315"/>
    <mergeCell ref="B316:C316"/>
    <mergeCell ref="F316:G316"/>
    <mergeCell ref="B318:C318"/>
    <mergeCell ref="F318:G318"/>
    <mergeCell ref="B326:C326"/>
    <mergeCell ref="F326:G326"/>
    <mergeCell ref="B328:C328"/>
    <mergeCell ref="F328:G328"/>
    <mergeCell ref="B329:C329"/>
    <mergeCell ref="F329:G329"/>
    <mergeCell ref="A323:C323"/>
    <mergeCell ref="E323:G323"/>
    <mergeCell ref="B324:C324"/>
    <mergeCell ref="F324:G324"/>
    <mergeCell ref="B325:C325"/>
    <mergeCell ref="F325:G325"/>
    <mergeCell ref="A339:D339"/>
    <mergeCell ref="B340:D340"/>
    <mergeCell ref="B341:C341"/>
    <mergeCell ref="B342:C342"/>
    <mergeCell ref="A330:C330"/>
    <mergeCell ref="E330:G330"/>
    <mergeCell ref="A332:E332"/>
    <mergeCell ref="A333:A334"/>
    <mergeCell ref="B333:E333"/>
  </mergeCells>
  <dataValidations count="1">
    <dataValidation type="list" allowBlank="1" showInputMessage="1" showErrorMessage="1" sqref="A57 B112 B172 B228 B284 B341">
      <formula1>$A$54:$D$54</formula1>
    </dataValidation>
  </dataValidations>
  <pageMargins left="0.7" right="0.7" top="0.75" bottom="0.75" header="0.3" footer="0.3"/>
  <pageSetup orientation="portrait" r:id="rId1"/>
  <headerFooter>
    <oddHeader>&amp;LCentro Universitario de Occidente&amp;CHidrología &amp;RTiempo de Concentración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view="pageLayout" topLeftCell="A44" zoomScaleNormal="100" workbookViewId="0">
      <selection activeCell="D62" sqref="D62"/>
    </sheetView>
  </sheetViews>
  <sheetFormatPr baseColWidth="10" defaultRowHeight="15.6" x14ac:dyDescent="0.3"/>
  <cols>
    <col min="1" max="2" width="12.5546875" style="20" bestFit="1" customWidth="1"/>
    <col min="3" max="3" width="13.109375" style="20" bestFit="1" customWidth="1"/>
    <col min="4" max="16384" width="11.5546875" style="20"/>
  </cols>
  <sheetData>
    <row r="1" spans="1:7" ht="18.600000000000001" thickBot="1" x14ac:dyDescent="0.35">
      <c r="A1" s="184" t="s">
        <v>140</v>
      </c>
      <c r="B1" s="185"/>
      <c r="C1" s="185"/>
      <c r="D1" s="185"/>
      <c r="E1" s="185"/>
      <c r="F1" s="185"/>
      <c r="G1" s="186"/>
    </row>
    <row r="3" spans="1:7" x14ac:dyDescent="0.3">
      <c r="A3" s="20" t="s">
        <v>141</v>
      </c>
      <c r="B3" s="89">
        <f>+Caudales!U22</f>
        <v>124.07421747577875</v>
      </c>
    </row>
    <row r="4" spans="1:7" x14ac:dyDescent="0.3">
      <c r="A4" s="20" t="s">
        <v>142</v>
      </c>
      <c r="B4" s="90">
        <v>30</v>
      </c>
    </row>
    <row r="5" spans="1:7" x14ac:dyDescent="0.3">
      <c r="A5" s="20" t="s">
        <v>145</v>
      </c>
      <c r="B5" s="91">
        <f>+'Carac. Geomorf.'!E63</f>
        <v>13200</v>
      </c>
    </row>
    <row r="7" spans="1:7" x14ac:dyDescent="0.3">
      <c r="A7" s="20" t="s">
        <v>143</v>
      </c>
      <c r="B7" s="92">
        <f>+B3/B4</f>
        <v>4.1358072491926254</v>
      </c>
    </row>
    <row r="9" spans="1:7" x14ac:dyDescent="0.3">
      <c r="A9" s="187" t="s">
        <v>144</v>
      </c>
      <c r="B9" s="187"/>
      <c r="C9" s="93">
        <f>+B5/B7</f>
        <v>3191.6381022294613</v>
      </c>
    </row>
    <row r="10" spans="1:7" ht="16.2" thickBot="1" x14ac:dyDescent="0.35">
      <c r="A10" s="187" t="s">
        <v>144</v>
      </c>
      <c r="B10" s="187"/>
      <c r="C10" s="94">
        <f>+C9/60</f>
        <v>53.193968370491021</v>
      </c>
    </row>
    <row r="11" spans="1:7" ht="18.600000000000001" thickBot="1" x14ac:dyDescent="0.35">
      <c r="A11" s="184" t="s">
        <v>157</v>
      </c>
      <c r="B11" s="185"/>
      <c r="C11" s="185"/>
      <c r="D11" s="185"/>
      <c r="E11" s="185"/>
      <c r="F11" s="185"/>
      <c r="G11" s="186"/>
    </row>
    <row r="13" spans="1:7" x14ac:dyDescent="0.3">
      <c r="A13" s="20" t="s">
        <v>160</v>
      </c>
      <c r="B13" s="89">
        <f>+Caudales!U60</f>
        <v>338.1776329265997</v>
      </c>
    </row>
    <row r="14" spans="1:7" x14ac:dyDescent="0.3">
      <c r="A14" s="20" t="s">
        <v>178</v>
      </c>
      <c r="B14" s="90">
        <v>123</v>
      </c>
    </row>
    <row r="15" spans="1:7" x14ac:dyDescent="0.3">
      <c r="A15" s="20" t="s">
        <v>179</v>
      </c>
      <c r="B15" s="91">
        <f>+'Carac. Geomorf.'!E30</f>
        <v>5270</v>
      </c>
    </row>
    <row r="17" spans="1:7" x14ac:dyDescent="0.3">
      <c r="A17" s="20" t="s">
        <v>143</v>
      </c>
      <c r="B17" s="92">
        <f>+B13/B14</f>
        <v>2.7494116498097538</v>
      </c>
    </row>
    <row r="19" spans="1:7" x14ac:dyDescent="0.3">
      <c r="A19" s="187" t="s">
        <v>144</v>
      </c>
      <c r="B19" s="187"/>
      <c r="C19" s="93">
        <f>+B15/B17</f>
        <v>1916.7737215213513</v>
      </c>
    </row>
    <row r="20" spans="1:7" ht="16.2" thickBot="1" x14ac:dyDescent="0.35">
      <c r="A20" s="187" t="s">
        <v>144</v>
      </c>
      <c r="B20" s="187"/>
      <c r="C20" s="94">
        <f>+C19/60</f>
        <v>31.946228692022522</v>
      </c>
    </row>
    <row r="21" spans="1:7" ht="18.600000000000001" thickBot="1" x14ac:dyDescent="0.35">
      <c r="A21" s="184" t="s">
        <v>158</v>
      </c>
      <c r="B21" s="185"/>
      <c r="C21" s="185"/>
      <c r="D21" s="185"/>
      <c r="E21" s="185"/>
      <c r="F21" s="185"/>
      <c r="G21" s="186"/>
    </row>
    <row r="23" spans="1:7" x14ac:dyDescent="0.3">
      <c r="A23" s="20" t="s">
        <v>161</v>
      </c>
      <c r="B23" s="89">
        <f>+Caudales!U103</f>
        <v>209.36029467090285</v>
      </c>
    </row>
    <row r="24" spans="1:7" x14ac:dyDescent="0.3">
      <c r="A24" s="20" t="s">
        <v>180</v>
      </c>
      <c r="B24" s="90">
        <v>221</v>
      </c>
    </row>
    <row r="25" spans="1:7" x14ac:dyDescent="0.3">
      <c r="A25" s="20" t="s">
        <v>181</v>
      </c>
      <c r="B25" s="91">
        <f>+'Carac. Geomorf.'!E45</f>
        <v>2000</v>
      </c>
    </row>
    <row r="27" spans="1:7" x14ac:dyDescent="0.3">
      <c r="A27" s="20" t="s">
        <v>143</v>
      </c>
      <c r="B27" s="92">
        <f>+B23/B24</f>
        <v>0.94733165009458298</v>
      </c>
    </row>
    <row r="29" spans="1:7" x14ac:dyDescent="0.3">
      <c r="A29" s="187" t="s">
        <v>144</v>
      </c>
      <c r="B29" s="187"/>
      <c r="C29" s="93">
        <f>+B25/B27</f>
        <v>2111.1930545129758</v>
      </c>
    </row>
    <row r="30" spans="1:7" ht="16.2" thickBot="1" x14ac:dyDescent="0.35">
      <c r="A30" s="187" t="s">
        <v>144</v>
      </c>
      <c r="B30" s="187"/>
      <c r="C30" s="94">
        <f>+C29/60</f>
        <v>35.186550908549599</v>
      </c>
    </row>
    <row r="31" spans="1:7" ht="18.600000000000001" thickBot="1" x14ac:dyDescent="0.35">
      <c r="A31" s="184" t="s">
        <v>162</v>
      </c>
      <c r="B31" s="185"/>
      <c r="C31" s="185"/>
      <c r="D31" s="185"/>
      <c r="E31" s="185"/>
      <c r="F31" s="185"/>
      <c r="G31" s="186"/>
    </row>
    <row r="33" spans="1:7" x14ac:dyDescent="0.3">
      <c r="A33" s="20" t="s">
        <v>159</v>
      </c>
      <c r="B33" s="89">
        <f>+Caudales!X172</f>
        <v>526.17847788768972</v>
      </c>
    </row>
    <row r="34" spans="1:7" x14ac:dyDescent="0.3">
      <c r="A34" s="20" t="s">
        <v>182</v>
      </c>
      <c r="B34" s="90">
        <v>152</v>
      </c>
    </row>
    <row r="35" spans="1:7" x14ac:dyDescent="0.3">
      <c r="A35" s="20" t="s">
        <v>183</v>
      </c>
      <c r="B35" s="91">
        <f>+'Carac. Geomorf.'!E21</f>
        <v>710</v>
      </c>
    </row>
    <row r="37" spans="1:7" x14ac:dyDescent="0.3">
      <c r="A37" s="20" t="s">
        <v>143</v>
      </c>
      <c r="B37" s="92">
        <f>+B33/B34</f>
        <v>3.4617005124190112</v>
      </c>
    </row>
    <row r="39" spans="1:7" x14ac:dyDescent="0.3">
      <c r="A39" s="187" t="s">
        <v>144</v>
      </c>
      <c r="B39" s="187"/>
      <c r="C39" s="93">
        <f>+B35/B37</f>
        <v>205.10150934572243</v>
      </c>
    </row>
    <row r="40" spans="1:7" x14ac:dyDescent="0.3">
      <c r="A40" s="187" t="s">
        <v>144</v>
      </c>
      <c r="B40" s="187"/>
      <c r="C40" s="94">
        <f>+C39/60</f>
        <v>3.418358489095374</v>
      </c>
    </row>
    <row r="41" spans="1:7" x14ac:dyDescent="0.3">
      <c r="C41" s="94"/>
    </row>
    <row r="42" spans="1:7" ht="16.2" thickBot="1" x14ac:dyDescent="0.35"/>
    <row r="43" spans="1:7" ht="18.600000000000001" thickBot="1" x14ac:dyDescent="0.35">
      <c r="A43" s="184" t="s">
        <v>163</v>
      </c>
      <c r="B43" s="185"/>
      <c r="C43" s="185"/>
      <c r="D43" s="185"/>
      <c r="E43" s="185"/>
      <c r="F43" s="185"/>
      <c r="G43" s="186"/>
    </row>
    <row r="45" spans="1:7" x14ac:dyDescent="0.3">
      <c r="A45" s="20" t="s">
        <v>164</v>
      </c>
      <c r="B45" s="89">
        <f>+Caudales!AR261</f>
        <v>526.17847788768972</v>
      </c>
    </row>
    <row r="46" spans="1:7" x14ac:dyDescent="0.3">
      <c r="A46" s="20" t="s">
        <v>184</v>
      </c>
      <c r="B46" s="90">
        <v>575</v>
      </c>
    </row>
    <row r="47" spans="1:7" x14ac:dyDescent="0.3">
      <c r="A47" s="20" t="s">
        <v>185</v>
      </c>
      <c r="B47" s="91">
        <f>+'Carac. Geomorf.'!E3</f>
        <v>2500</v>
      </c>
    </row>
    <row r="49" spans="1:3" x14ac:dyDescent="0.3">
      <c r="A49" s="20" t="s">
        <v>143</v>
      </c>
      <c r="B49" s="92">
        <f>+B45/B46</f>
        <v>0.91509300502206914</v>
      </c>
    </row>
    <row r="51" spans="1:3" x14ac:dyDescent="0.3">
      <c r="A51" s="187" t="s">
        <v>144</v>
      </c>
      <c r="B51" s="187"/>
      <c r="C51" s="93">
        <f>+B47/B49</f>
        <v>2731.962747261638</v>
      </c>
    </row>
    <row r="52" spans="1:3" x14ac:dyDescent="0.3">
      <c r="A52" s="187" t="s">
        <v>144</v>
      </c>
      <c r="B52" s="187"/>
      <c r="C52" s="94">
        <f>+C51/60</f>
        <v>45.532712454360635</v>
      </c>
    </row>
  </sheetData>
  <mergeCells count="15">
    <mergeCell ref="A20:B20"/>
    <mergeCell ref="A1:G1"/>
    <mergeCell ref="A9:B9"/>
    <mergeCell ref="A10:B10"/>
    <mergeCell ref="A11:G11"/>
    <mergeCell ref="A19:B19"/>
    <mergeCell ref="A43:G43"/>
    <mergeCell ref="A51:B51"/>
    <mergeCell ref="A52:B52"/>
    <mergeCell ref="A21:G21"/>
    <mergeCell ref="A29:B29"/>
    <mergeCell ref="A30:B30"/>
    <mergeCell ref="A31:G31"/>
    <mergeCell ref="A39:B39"/>
    <mergeCell ref="A40:B40"/>
  </mergeCells>
  <pageMargins left="0.7" right="0.7" top="0.75" bottom="0.75" header="0.3" footer="0.3"/>
  <pageSetup orientation="portrait" r:id="rId1"/>
  <headerFooter>
    <oddHeader>&amp;LCentro Universitario de Occidente&amp;CHidrología&amp;RTiempo de Transporte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306"/>
  <sheetViews>
    <sheetView view="pageLayout" topLeftCell="R3" zoomScale="70" zoomScaleNormal="100" zoomScalePageLayoutView="70" workbookViewId="0">
      <selection activeCell="AI22" sqref="AI22"/>
    </sheetView>
  </sheetViews>
  <sheetFormatPr baseColWidth="10" defaultColWidth="11.5546875" defaultRowHeight="15.6" x14ac:dyDescent="0.3"/>
  <cols>
    <col min="1" max="1" width="11.5546875" style="1" customWidth="1"/>
    <col min="2" max="2" width="11.6640625" style="1" bestFit="1" customWidth="1"/>
    <col min="3" max="3" width="16.6640625" style="1" bestFit="1" customWidth="1"/>
    <col min="4" max="4" width="9" style="1" customWidth="1"/>
    <col min="5" max="5" width="11.5546875" style="1" customWidth="1"/>
    <col min="6" max="6" width="11.6640625" style="1" bestFit="1" customWidth="1"/>
    <col min="7" max="7" width="15.77734375" style="1" bestFit="1" customWidth="1"/>
    <col min="8" max="9" width="15.77734375" style="1" customWidth="1"/>
    <col min="10" max="11" width="11.6640625" style="1" bestFit="1" customWidth="1"/>
    <col min="12" max="12" width="17.88671875" style="1" bestFit="1" customWidth="1"/>
    <col min="13" max="13" width="11.6640625" style="1" bestFit="1" customWidth="1"/>
    <col min="14" max="14" width="17.6640625" style="1" bestFit="1" customWidth="1"/>
    <col min="15" max="15" width="15.109375" style="1" bestFit="1" customWidth="1"/>
    <col min="16" max="16" width="12" style="1" bestFit="1" customWidth="1"/>
    <col min="17" max="17" width="13.33203125" style="1" bestFit="1" customWidth="1"/>
    <col min="18" max="18" width="16.6640625" style="1" bestFit="1" customWidth="1"/>
    <col min="19" max="19" width="16.33203125" style="1" bestFit="1" customWidth="1"/>
    <col min="20" max="21" width="12.5546875" style="1" bestFit="1" customWidth="1"/>
    <col min="22" max="23" width="12" style="1" bestFit="1" customWidth="1"/>
    <col min="24" max="24" width="12" style="20" customWidth="1"/>
    <col min="25" max="27" width="11.5546875" style="1"/>
    <col min="28" max="28" width="12.88671875" style="1" bestFit="1" customWidth="1"/>
    <col min="29" max="29" width="11.5546875" style="1"/>
    <col min="30" max="30" width="14.33203125" style="1" bestFit="1" customWidth="1"/>
    <col min="31" max="32" width="11.5546875" style="1"/>
    <col min="33" max="33" width="12.88671875" style="1" bestFit="1" customWidth="1"/>
    <col min="34" max="34" width="11.6640625" style="1" bestFit="1" customWidth="1"/>
    <col min="35" max="35" width="13.21875" style="1" bestFit="1" customWidth="1"/>
    <col min="36" max="41" width="11.6640625" style="1" bestFit="1" customWidth="1"/>
    <col min="42" max="16384" width="11.5546875" style="1"/>
  </cols>
  <sheetData>
    <row r="1" spans="1:38" ht="16.2" thickBot="1" x14ac:dyDescent="0.35"/>
    <row r="2" spans="1:38" ht="18.600000000000001" thickBot="1" x14ac:dyDescent="0.35">
      <c r="A2" s="195" t="s">
        <v>96</v>
      </c>
      <c r="B2" s="196"/>
      <c r="C2" s="196"/>
      <c r="D2" s="196"/>
      <c r="E2" s="196"/>
      <c r="F2" s="196"/>
      <c r="G2" s="197"/>
      <c r="H2" s="56"/>
      <c r="I2" s="56"/>
      <c r="J2" s="195" t="s">
        <v>96</v>
      </c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7"/>
      <c r="AG2" s="187" t="s">
        <v>103</v>
      </c>
      <c r="AH2" s="187"/>
      <c r="AI2" s="187"/>
      <c r="AJ2" s="187"/>
    </row>
    <row r="3" spans="1:38" x14ac:dyDescent="0.3">
      <c r="A3" s="198" t="s">
        <v>60</v>
      </c>
      <c r="B3" s="199"/>
      <c r="C3" s="200"/>
      <c r="E3" s="198" t="s">
        <v>63</v>
      </c>
      <c r="F3" s="199"/>
      <c r="G3" s="200"/>
      <c r="H3" s="8"/>
      <c r="I3" s="8"/>
      <c r="J3" s="161" t="s">
        <v>60</v>
      </c>
      <c r="K3" s="162"/>
      <c r="L3" s="163"/>
      <c r="M3" s="20"/>
      <c r="P3" s="161" t="s">
        <v>63</v>
      </c>
      <c r="Q3" s="162"/>
      <c r="R3" s="163"/>
      <c r="AG3" s="187" t="s">
        <v>104</v>
      </c>
      <c r="AH3" s="187"/>
      <c r="AI3" s="187"/>
      <c r="AJ3" s="187"/>
    </row>
    <row r="4" spans="1:38" x14ac:dyDescent="0.3">
      <c r="A4" s="140" t="s">
        <v>34</v>
      </c>
      <c r="B4" s="141"/>
      <c r="C4" s="142"/>
      <c r="E4" s="140" t="s">
        <v>112</v>
      </c>
      <c r="F4" s="141"/>
      <c r="G4" s="142"/>
      <c r="H4" s="57"/>
      <c r="I4" s="57"/>
      <c r="J4" s="140" t="s">
        <v>34</v>
      </c>
      <c r="K4" s="141"/>
      <c r="L4" s="142"/>
      <c r="M4" s="20"/>
      <c r="P4" s="140" t="s">
        <v>112</v>
      </c>
      <c r="Q4" s="141"/>
      <c r="R4" s="142"/>
      <c r="AH4" s="187" t="s">
        <v>101</v>
      </c>
      <c r="AI4" s="187"/>
      <c r="AJ4" s="187"/>
    </row>
    <row r="5" spans="1:38" x14ac:dyDescent="0.3">
      <c r="A5" s="2" t="s">
        <v>97</v>
      </c>
      <c r="B5" s="21">
        <f>+'Carac. Geomorf.'!C96</f>
        <v>3.56</v>
      </c>
      <c r="C5" s="22">
        <f>+'Carac. Geomorf.'!E96</f>
        <v>3560</v>
      </c>
      <c r="E5" s="2" t="s">
        <v>97</v>
      </c>
      <c r="F5" s="21">
        <f>+'Carac. Geomorf.'!C105</f>
        <v>3.76</v>
      </c>
      <c r="G5" s="22">
        <f>+'Carac. Geomorf.'!E105</f>
        <v>3760</v>
      </c>
      <c r="H5" s="58"/>
      <c r="I5" s="58"/>
      <c r="J5" s="2" t="s">
        <v>97</v>
      </c>
      <c r="K5" s="111">
        <f>+B5</f>
        <v>3.56</v>
      </c>
      <c r="L5" s="110">
        <f>+C5</f>
        <v>3560</v>
      </c>
      <c r="M5" s="20"/>
      <c r="P5" s="2" t="s">
        <v>97</v>
      </c>
      <c r="Q5" s="111">
        <f>+F5</f>
        <v>3.76</v>
      </c>
      <c r="R5" s="110">
        <f>+G5</f>
        <v>3760</v>
      </c>
      <c r="AG5" s="187" t="s">
        <v>102</v>
      </c>
      <c r="AH5" s="187"/>
      <c r="AI5" s="187" t="s">
        <v>105</v>
      </c>
      <c r="AJ5" s="187"/>
      <c r="AK5" s="187" t="s">
        <v>107</v>
      </c>
      <c r="AL5" s="187"/>
    </row>
    <row r="6" spans="1:38" x14ac:dyDescent="0.3">
      <c r="A6" s="2" t="s">
        <v>98</v>
      </c>
      <c r="B6" s="23">
        <f>+'Carac. Geomorf.'!C97</f>
        <v>8.4499999999999993</v>
      </c>
      <c r="C6" s="24">
        <f>+'Carac. Geomorf.'!E97</f>
        <v>8450000</v>
      </c>
      <c r="E6" s="2" t="s">
        <v>98</v>
      </c>
      <c r="F6" s="23">
        <f>+'Carac. Geomorf.'!C106</f>
        <v>12.4</v>
      </c>
      <c r="G6" s="24">
        <f>+'Carac. Geomorf.'!E106</f>
        <v>12400000</v>
      </c>
      <c r="H6" s="59"/>
      <c r="I6" s="59"/>
      <c r="J6" s="2" t="s">
        <v>98</v>
      </c>
      <c r="K6" s="107">
        <f t="shared" ref="K6:K7" si="0">+B6</f>
        <v>8.4499999999999993</v>
      </c>
      <c r="L6" s="109">
        <f t="shared" ref="L6:L7" si="1">+C6</f>
        <v>8450000</v>
      </c>
      <c r="M6" s="20"/>
      <c r="P6" s="2" t="s">
        <v>98</v>
      </c>
      <c r="Q6" s="107">
        <f t="shared" ref="Q6:Q7" si="2">+F6</f>
        <v>12.4</v>
      </c>
      <c r="R6" s="109">
        <f t="shared" ref="R6:R7" si="3">+G6</f>
        <v>12400000</v>
      </c>
      <c r="AG6" s="187" t="s">
        <v>106</v>
      </c>
      <c r="AH6" s="187"/>
      <c r="AI6" s="187" t="s">
        <v>106</v>
      </c>
      <c r="AJ6" s="187"/>
      <c r="AK6" s="187" t="s">
        <v>108</v>
      </c>
      <c r="AL6" s="187"/>
    </row>
    <row r="7" spans="1:38" x14ac:dyDescent="0.3">
      <c r="A7" s="2" t="s">
        <v>37</v>
      </c>
      <c r="B7" s="25">
        <f>+'Carac. Geomorf.'!C100</f>
        <v>17.022471910112362</v>
      </c>
      <c r="C7" s="26">
        <f>+'Carac. Geomorf.'!E100</f>
        <v>0.17022471910112361</v>
      </c>
      <c r="E7" s="2" t="s">
        <v>37</v>
      </c>
      <c r="F7" s="25">
        <f>+'Carac. Geomorf.'!C109</f>
        <v>12.686170212765957</v>
      </c>
      <c r="G7" s="26">
        <f>+'Carac. Geomorf.'!E109</f>
        <v>0.12686170212765957</v>
      </c>
      <c r="H7" s="60"/>
      <c r="I7" s="60"/>
      <c r="J7" s="2" t="s">
        <v>37</v>
      </c>
      <c r="K7" s="103">
        <f t="shared" si="0"/>
        <v>17.022471910112362</v>
      </c>
      <c r="L7" s="104">
        <f t="shared" si="1"/>
        <v>0.17022471910112361</v>
      </c>
      <c r="M7" s="20"/>
      <c r="P7" s="2" t="s">
        <v>37</v>
      </c>
      <c r="Q7" s="103">
        <f t="shared" si="2"/>
        <v>12.686170212765957</v>
      </c>
      <c r="R7" s="104">
        <f t="shared" si="3"/>
        <v>0.12686170212765957</v>
      </c>
      <c r="AG7" s="187" t="s">
        <v>109</v>
      </c>
      <c r="AH7" s="187"/>
      <c r="AI7" s="187" t="s">
        <v>109</v>
      </c>
      <c r="AJ7" s="187"/>
      <c r="AK7" s="187" t="s">
        <v>110</v>
      </c>
      <c r="AL7" s="187"/>
    </row>
    <row r="8" spans="1:38" x14ac:dyDescent="0.3">
      <c r="A8" s="2" t="s">
        <v>38</v>
      </c>
      <c r="B8" s="146">
        <f>+'Carac. Geomorf.'!C101</f>
        <v>606</v>
      </c>
      <c r="C8" s="147"/>
      <c r="E8" s="2" t="s">
        <v>38</v>
      </c>
      <c r="F8" s="146">
        <f>+'Carac. Geomorf.'!C110</f>
        <v>477</v>
      </c>
      <c r="G8" s="147"/>
      <c r="H8" s="58"/>
      <c r="I8" s="58"/>
      <c r="J8" s="2" t="s">
        <v>38</v>
      </c>
      <c r="K8" s="146">
        <f>+B8</f>
        <v>606</v>
      </c>
      <c r="L8" s="147"/>
      <c r="M8" s="20"/>
      <c r="P8" s="2" t="s">
        <v>38</v>
      </c>
      <c r="Q8" s="146">
        <f>+F8</f>
        <v>477</v>
      </c>
      <c r="R8" s="147"/>
    </row>
    <row r="9" spans="1:38" x14ac:dyDescent="0.3">
      <c r="A9" s="2" t="s">
        <v>4</v>
      </c>
      <c r="B9" s="190">
        <f>+T.C.!B295</f>
        <v>0.10591715976331362</v>
      </c>
      <c r="C9" s="142"/>
      <c r="E9" s="2" t="s">
        <v>4</v>
      </c>
      <c r="F9" s="190">
        <f>+'Uso de Suelo'!D83</f>
        <v>0.10833333333333335</v>
      </c>
      <c r="G9" s="142"/>
      <c r="H9" s="61"/>
      <c r="I9" s="61"/>
      <c r="J9" s="2" t="s">
        <v>4</v>
      </c>
      <c r="K9" s="190">
        <f t="shared" ref="K9:K14" si="4">+B9</f>
        <v>0.10591715976331362</v>
      </c>
      <c r="L9" s="142"/>
      <c r="M9" s="20"/>
      <c r="P9" s="2" t="s">
        <v>4</v>
      </c>
      <c r="Q9" s="190">
        <f t="shared" ref="Q9:Q14" si="5">+F9</f>
        <v>0.10833333333333335</v>
      </c>
      <c r="R9" s="142"/>
      <c r="AI9" s="1" t="s">
        <v>111</v>
      </c>
      <c r="AJ9" s="1" t="s">
        <v>30</v>
      </c>
      <c r="AK9" s="1" t="s">
        <v>99</v>
      </c>
      <c r="AL9" s="1" t="s">
        <v>100</v>
      </c>
    </row>
    <row r="10" spans="1:38" x14ac:dyDescent="0.3">
      <c r="A10" s="2" t="s">
        <v>40</v>
      </c>
      <c r="B10" s="191">
        <f>+T.C.!D341</f>
        <v>5.1230309900341711</v>
      </c>
      <c r="C10" s="192"/>
      <c r="E10" s="2" t="s">
        <v>40</v>
      </c>
      <c r="F10" s="191">
        <f>+T.C.!D342</f>
        <v>8.3272492326840091</v>
      </c>
      <c r="G10" s="192"/>
      <c r="H10" s="62"/>
      <c r="I10" s="62"/>
      <c r="J10" s="2" t="s">
        <v>40</v>
      </c>
      <c r="K10" s="191">
        <f t="shared" si="4"/>
        <v>5.1230309900341711</v>
      </c>
      <c r="L10" s="192"/>
      <c r="M10" s="20"/>
      <c r="P10" s="2" t="s">
        <v>40</v>
      </c>
      <c r="Q10" s="191">
        <f t="shared" si="5"/>
        <v>8.3272492326840091</v>
      </c>
      <c r="R10" s="192"/>
      <c r="AG10" s="187" t="str">
        <f>+AK5</f>
        <v>LABOR OVALLE</v>
      </c>
      <c r="AH10" s="187"/>
      <c r="AI10" s="1">
        <v>25</v>
      </c>
      <c r="AJ10" s="1">
        <f>+IF($AI$10=$AH$23,AH24,IF($AI$10=$AI$23,AI24,IF($AI$10=$AJ$23,AJ24,IF($AI$10=$AK$23,AK24,IF($AI$10=$AL$23,AL24,IF($AI$10=$AM$23,AM24,IF($AI$10=$AN$23,AN24,IF($AI$10=$AO$23,AO24,"TR invalido"))))))))</f>
        <v>24690</v>
      </c>
      <c r="AK10" s="1">
        <f>+IF($AI$10=$AH$23,AH25,IF($AI$10=$AI$23,AI25,IF($AI$10=$AJ$23,AJ25,IF($AI$10=$AK$23,AK25,IF($AI$10=$AL$23,AL25,IF($AI$10=$AM$23,AM25,IF($AI$10=$AN$23,AN25,IF($AI$10=$AO$23,AO25,"TR invalido"))))))))</f>
        <v>30</v>
      </c>
      <c r="AL10" s="1">
        <f>+IF($AI$10=$AH$23,AH26,IF($AI$10=$AI$23,AI26,IF($AI$10=$AJ$23,AJ26,IF($AI$10=$AK$23,AK26,IF($AI$10=$AL$23,AL26,IF($AI$10=$AM$23,AM26,IF($AI$10=$AN$23,AN26,IF($AI$10=$AO$23,AO26,"TR invalido"))))))))</f>
        <v>1.43</v>
      </c>
    </row>
    <row r="11" spans="1:38" x14ac:dyDescent="0.3">
      <c r="A11" s="2" t="s">
        <v>30</v>
      </c>
      <c r="B11" s="141">
        <f>+$AJ$11</f>
        <v>1315</v>
      </c>
      <c r="C11" s="142"/>
      <c r="E11" s="2" t="s">
        <v>30</v>
      </c>
      <c r="F11" s="141">
        <f>+$AJ$11</f>
        <v>1315</v>
      </c>
      <c r="G11" s="142"/>
      <c r="H11" s="61"/>
      <c r="I11" s="61"/>
      <c r="J11" s="2" t="s">
        <v>30</v>
      </c>
      <c r="K11" s="141">
        <f t="shared" si="4"/>
        <v>1315</v>
      </c>
      <c r="L11" s="142"/>
      <c r="M11" s="20"/>
      <c r="P11" s="2" t="s">
        <v>30</v>
      </c>
      <c r="Q11" s="141">
        <f t="shared" si="5"/>
        <v>1315</v>
      </c>
      <c r="R11" s="142"/>
      <c r="AG11" s="187" t="str">
        <f>+AK6</f>
        <v>RETALHULEU</v>
      </c>
      <c r="AH11" s="187"/>
      <c r="AI11" s="1">
        <f>+AI10</f>
        <v>25</v>
      </c>
      <c r="AJ11" s="1">
        <f>+IF($AI$11=$AH$29,AH30,IF($AI$11=$AI$29,AI30,IF($AI$11=$AJ$29,AJ30,IF($AI$11=$AK$29,AK30,IF($AI$11=$AL$29,AL30,IF($AI$11=$AM$29,AM30,IF($AI$11=$AN$29,AN30,IF($AI$11=$AO$29,AO30,"TR invalido"))))))))</f>
        <v>1315</v>
      </c>
      <c r="AK11" s="1">
        <f>+IF($AI$11=$AH$29,AH31,IF($AI$11=$AI$29,AI31,IF($AI$11=$AJ$29,AJ31,IF($AI$11=$AK$29,AK31,IF($AI$11=$AL$29,AL31,IF($AI$11=$AM$29,AM31,IF($AI$11=$AN$29,AN31,IF($AI$11=$AO$29,AO31,"TR invalido"))))))))</f>
        <v>13</v>
      </c>
      <c r="AL11" s="1">
        <f>+IF($AI$11=$AH$29,AH32,IF($AI$11=$AI$29,AI32,IF($AI$11=$AJ$29,AJ32,IF($AI$11=$AK$29,AK32,IF($AI$11=$AL$29,AL32,IF($AI$11=$AM$29,AM32,IF($AI$11=$AN$29,AN32,IF($AI$11=$AO$29,AO32,"TR invalido"))))))))</f>
        <v>0.63</v>
      </c>
    </row>
    <row r="12" spans="1:38" x14ac:dyDescent="0.3">
      <c r="A12" s="2" t="s">
        <v>99</v>
      </c>
      <c r="B12" s="141">
        <f>+$AK$11</f>
        <v>13</v>
      </c>
      <c r="C12" s="142"/>
      <c r="E12" s="2" t="s">
        <v>99</v>
      </c>
      <c r="F12" s="141">
        <f>+$AK$11</f>
        <v>13</v>
      </c>
      <c r="G12" s="142"/>
      <c r="H12" s="61"/>
      <c r="I12" s="61"/>
      <c r="J12" s="2" t="s">
        <v>99</v>
      </c>
      <c r="K12" s="141">
        <f t="shared" si="4"/>
        <v>13</v>
      </c>
      <c r="L12" s="142"/>
      <c r="M12" s="20"/>
      <c r="P12" s="2" t="s">
        <v>99</v>
      </c>
      <c r="Q12" s="141">
        <f t="shared" si="5"/>
        <v>13</v>
      </c>
      <c r="R12" s="142"/>
      <c r="AG12" s="187" t="str">
        <f>+AK7</f>
        <v>HUEHUETENANGO</v>
      </c>
      <c r="AH12" s="187"/>
      <c r="AI12" s="1">
        <f>+AI10</f>
        <v>25</v>
      </c>
      <c r="AJ12" s="1">
        <f>+IF($AI$12=$AH$17,AH18,IF($AI$12=$AI$17,AI18,IF($AI$12=$AJ$17,AJ18,IF($AI$12=$AK$17,AK18,IF($AI$12=$AL$17,AL18,IF($AI$12=$AM$17,AM18,IF($AI$12=$AN$17,AN18,IF($AI$12=$AO$17,AO18,"TR invalido"))))))))</f>
        <v>5410</v>
      </c>
      <c r="AK12" s="1">
        <f>+IF($AI$12=$AH$17,AH19,IF($AI$12=$AI$17,AI19,IF($AI$12=$AJ$17,AJ19,IF($AI$12=$AK$17,AK19,IF($AI$12=$AL$17,AL19,IF($AI$12=$AM$17,AM19,IF($AI$12=$AN$17,AN19,IF($AI$12=$AO$17,AO19,"TR invalido"))))))))</f>
        <v>17</v>
      </c>
      <c r="AL12" s="1">
        <f>+IF($AI$12=$AH$17,AH20,IF($AI$12=$AI$17,AI20,IF($AI$12=$AJ$17,AJ20,IF($AI$12=$AK$17,AK20,IF($AI$12=$AL$17,AL20,IF($AI$12=$AM$17,AM20,IF($AI$12=$AN$17,AN20,IF($AI$12=$AO$17,AO20,"TR invalido"))))))))</f>
        <v>1.097</v>
      </c>
    </row>
    <row r="13" spans="1:38" x14ac:dyDescent="0.3">
      <c r="A13" s="2" t="s">
        <v>100</v>
      </c>
      <c r="B13" s="141">
        <f>+$AL$11</f>
        <v>0.63</v>
      </c>
      <c r="C13" s="142"/>
      <c r="E13" s="2" t="s">
        <v>100</v>
      </c>
      <c r="F13" s="141">
        <f>+$AL$11</f>
        <v>0.63</v>
      </c>
      <c r="G13" s="142"/>
      <c r="H13" s="61"/>
      <c r="I13" s="61"/>
      <c r="J13" s="2" t="s">
        <v>100</v>
      </c>
      <c r="K13" s="141">
        <f t="shared" si="4"/>
        <v>0.63</v>
      </c>
      <c r="L13" s="142"/>
      <c r="M13" s="20"/>
      <c r="P13" s="2" t="s">
        <v>100</v>
      </c>
      <c r="Q13" s="141">
        <f t="shared" si="5"/>
        <v>0.63</v>
      </c>
      <c r="R13" s="142"/>
    </row>
    <row r="14" spans="1:38" x14ac:dyDescent="0.3">
      <c r="A14" s="2" t="s">
        <v>42</v>
      </c>
      <c r="B14" s="188">
        <f>+B11/((B12+B10)^B13)</f>
        <v>211.95337090818791</v>
      </c>
      <c r="C14" s="189"/>
      <c r="E14" s="2" t="s">
        <v>42</v>
      </c>
      <c r="F14" s="188">
        <f>+F11/((F12+F10)^F13)</f>
        <v>191.29199698509325</v>
      </c>
      <c r="G14" s="189"/>
      <c r="H14" s="63"/>
      <c r="I14" s="63"/>
      <c r="J14" s="2" t="s">
        <v>42</v>
      </c>
      <c r="K14" s="188">
        <f t="shared" si="4"/>
        <v>211.95337090818791</v>
      </c>
      <c r="L14" s="189"/>
      <c r="M14" s="20"/>
      <c r="P14" s="2" t="s">
        <v>42</v>
      </c>
      <c r="Q14" s="188">
        <f t="shared" si="5"/>
        <v>191.29199698509325</v>
      </c>
      <c r="R14" s="189"/>
    </row>
    <row r="15" spans="1:38" ht="16.2" thickBot="1" x14ac:dyDescent="0.35">
      <c r="A15" s="11" t="s">
        <v>42</v>
      </c>
      <c r="B15" s="193">
        <f>+B14*(1/1000)*(1/3600)</f>
        <v>5.8875936363385532E-5</v>
      </c>
      <c r="C15" s="194"/>
      <c r="E15" s="11" t="s">
        <v>42</v>
      </c>
      <c r="F15" s="193">
        <f>+F14*(1/1000)*(1/3600)</f>
        <v>5.313666582919257E-5</v>
      </c>
      <c r="G15" s="194"/>
      <c r="H15" s="64"/>
      <c r="I15" s="64"/>
      <c r="J15" s="16" t="s">
        <v>42</v>
      </c>
      <c r="K15" s="193">
        <f>+K14*(1/1000)*(1/3600)</f>
        <v>5.8875936363385532E-5</v>
      </c>
      <c r="L15" s="194"/>
      <c r="M15" s="20"/>
      <c r="P15" s="16" t="s">
        <v>42</v>
      </c>
      <c r="Q15" s="193">
        <f>+Q14*(1/1000)*(1/3600)</f>
        <v>5.313666582919257E-5</v>
      </c>
      <c r="R15" s="194"/>
    </row>
    <row r="16" spans="1:38" ht="18.600000000000001" thickBot="1" x14ac:dyDescent="0.35">
      <c r="J16" s="184" t="str">
        <f>+A2</f>
        <v>Estudio de caudales en Punto E</v>
      </c>
      <c r="K16" s="185"/>
      <c r="L16" s="185"/>
      <c r="M16" s="185"/>
      <c r="N16" s="185"/>
      <c r="O16" s="185"/>
      <c r="P16" s="185"/>
      <c r="Q16" s="185"/>
      <c r="R16" s="185"/>
      <c r="S16" s="185"/>
      <c r="T16" s="185"/>
      <c r="U16" s="186"/>
      <c r="AG16" s="187" t="str">
        <f>+AG12</f>
        <v>HUEHUETENANGO</v>
      </c>
      <c r="AH16" s="187"/>
    </row>
    <row r="17" spans="1:41" ht="18.600000000000001" thickBot="1" x14ac:dyDescent="0.35">
      <c r="A17" s="184" t="s">
        <v>119</v>
      </c>
      <c r="B17" s="185"/>
      <c r="C17" s="185"/>
      <c r="D17" s="185"/>
      <c r="E17" s="185"/>
      <c r="F17" s="185"/>
      <c r="G17" s="185"/>
      <c r="H17" s="56"/>
      <c r="I17" s="56"/>
      <c r="K17" s="161" t="str">
        <f>+CONCATENATE("Tiempo total de lluvia en ",A3)</f>
        <v>Tiempo total de lluvia en Cuenca 10</v>
      </c>
      <c r="L17" s="162"/>
      <c r="M17" s="163"/>
      <c r="P17" s="161" t="str">
        <f>+CONCATENATE("Tiempo total de lluvia en ",E3)</f>
        <v>Tiempo total de lluvia en Cuenca 11</v>
      </c>
      <c r="Q17" s="162"/>
      <c r="R17" s="163"/>
      <c r="AG17" s="1" t="s">
        <v>111</v>
      </c>
      <c r="AH17" s="1">
        <v>2</v>
      </c>
      <c r="AI17" s="1">
        <v>5</v>
      </c>
      <c r="AJ17" s="1">
        <v>10</v>
      </c>
      <c r="AK17" s="1">
        <v>20</v>
      </c>
      <c r="AL17" s="1">
        <v>25</v>
      </c>
      <c r="AM17" s="1">
        <v>30</v>
      </c>
      <c r="AN17" s="1">
        <v>50</v>
      </c>
      <c r="AO17" s="1">
        <v>100</v>
      </c>
    </row>
    <row r="18" spans="1:41" ht="16.2" thickBot="1" x14ac:dyDescent="0.35">
      <c r="A18" s="161" t="s">
        <v>19</v>
      </c>
      <c r="B18" s="162"/>
      <c r="C18" s="163"/>
      <c r="E18" s="161" t="s">
        <v>20</v>
      </c>
      <c r="F18" s="162"/>
      <c r="G18" s="163"/>
      <c r="H18" s="57"/>
      <c r="I18" s="57"/>
      <c r="K18" s="201">
        <f>+B10+20+B10</f>
        <v>30.24606198006834</v>
      </c>
      <c r="L18" s="202"/>
      <c r="M18" s="203"/>
      <c r="P18" s="201">
        <f>+F10+20+F10</f>
        <v>36.654498465368022</v>
      </c>
      <c r="Q18" s="202"/>
      <c r="R18" s="203"/>
      <c r="AG18" s="1" t="s">
        <v>30</v>
      </c>
      <c r="AH18" s="1">
        <v>1215</v>
      </c>
      <c r="AI18" s="1">
        <v>4935</v>
      </c>
      <c r="AJ18" s="1">
        <v>15870</v>
      </c>
      <c r="AK18" s="1">
        <v>5464</v>
      </c>
      <c r="AL18" s="1">
        <v>5410</v>
      </c>
      <c r="AM18" s="1">
        <v>5395</v>
      </c>
      <c r="AN18" s="1">
        <v>5320</v>
      </c>
      <c r="AO18" s="1">
        <v>5270</v>
      </c>
    </row>
    <row r="19" spans="1:41" ht="16.2" thickBot="1" x14ac:dyDescent="0.35">
      <c r="A19" s="140" t="s">
        <v>34</v>
      </c>
      <c r="B19" s="141"/>
      <c r="C19" s="142"/>
      <c r="E19" s="140" t="s">
        <v>112</v>
      </c>
      <c r="F19" s="141"/>
      <c r="G19" s="142"/>
      <c r="H19" s="61"/>
      <c r="I19" s="61"/>
      <c r="J19" s="76" t="s">
        <v>113</v>
      </c>
      <c r="K19" s="77" t="s">
        <v>117</v>
      </c>
      <c r="L19" s="77" t="s">
        <v>118</v>
      </c>
      <c r="M19" s="77" t="s">
        <v>116</v>
      </c>
      <c r="N19" s="77" t="s">
        <v>45</v>
      </c>
      <c r="O19" s="78">
        <v>10</v>
      </c>
      <c r="P19" s="77" t="s">
        <v>114</v>
      </c>
      <c r="Q19" s="77" t="s">
        <v>115</v>
      </c>
      <c r="R19" s="77" t="s">
        <v>116</v>
      </c>
      <c r="S19" s="77" t="s">
        <v>45</v>
      </c>
      <c r="T19" s="79">
        <v>11</v>
      </c>
      <c r="U19" s="80" t="s">
        <v>167</v>
      </c>
      <c r="AG19" s="1" t="s">
        <v>99</v>
      </c>
      <c r="AH19" s="1">
        <v>11</v>
      </c>
      <c r="AI19" s="1">
        <v>25</v>
      </c>
      <c r="AJ19" s="1">
        <v>35</v>
      </c>
      <c r="AK19" s="1">
        <v>17</v>
      </c>
      <c r="AL19" s="1">
        <v>17</v>
      </c>
      <c r="AM19" s="1">
        <v>17</v>
      </c>
      <c r="AN19" s="1">
        <v>17</v>
      </c>
      <c r="AO19" s="1">
        <v>17</v>
      </c>
    </row>
    <row r="20" spans="1:41" ht="16.2" thickBot="1" x14ac:dyDescent="0.35">
      <c r="A20" s="2" t="s">
        <v>97</v>
      </c>
      <c r="B20" s="21">
        <f>+'Carac. Geomorf.'!C72</f>
        <v>23.5</v>
      </c>
      <c r="C20" s="22">
        <f>+'Carac. Geomorf.'!E72</f>
        <v>23500</v>
      </c>
      <c r="E20" s="2" t="s">
        <v>97</v>
      </c>
      <c r="F20" s="21">
        <f>+'Carac. Geomorf.'!C87</f>
        <v>8.34</v>
      </c>
      <c r="G20" s="22">
        <f>+'Carac. Geomorf.'!E87</f>
        <v>8340</v>
      </c>
      <c r="H20" s="58"/>
      <c r="I20" s="58"/>
      <c r="J20" s="44">
        <v>0</v>
      </c>
      <c r="K20" s="81">
        <f t="shared" ref="K20:K29" si="6">+$B$9</f>
        <v>0.10591715976331362</v>
      </c>
      <c r="L20" s="82">
        <f t="shared" ref="L20:L29" si="7">+$B$15</f>
        <v>5.8875936363385532E-5</v>
      </c>
      <c r="M20" s="81">
        <f t="shared" ref="M20:M29" si="8">+IF(J20&lt;$B$10,J20/$B$10,IF(AND(J20&gt;=$B$10,J20&lt;=$B$10+20),1,IF(J20&lt;=$K$18,(1-((J20-($B$10+20))/$B$10)),0)))</f>
        <v>0</v>
      </c>
      <c r="N20" s="83">
        <f t="shared" ref="N20:N29" si="9">+M20*$C$6</f>
        <v>0</v>
      </c>
      <c r="O20" s="84">
        <f>+K20*L20*N20</f>
        <v>0</v>
      </c>
      <c r="P20" s="51">
        <f t="shared" ref="P20:P29" si="10">+$F$9</f>
        <v>0.10833333333333335</v>
      </c>
      <c r="Q20" s="82">
        <f t="shared" ref="Q20:Q29" si="11">+$F$15</f>
        <v>5.313666582919257E-5</v>
      </c>
      <c r="R20" s="81">
        <f t="shared" ref="R20:R29" si="12">+IF(J20&lt;$F$10,J20/$F$10,IF(AND(J20&gt;=$F$10,J20&lt;=$F$10+20),1,IF(J20&lt;=$P$18,(1-(J20-($F$10+20))/$F$10),0)))</f>
        <v>0</v>
      </c>
      <c r="S20" s="83">
        <f>+R20*$G$6</f>
        <v>0</v>
      </c>
      <c r="T20" s="85">
        <f>+P20*Q20*S20</f>
        <v>0</v>
      </c>
      <c r="U20" s="86">
        <f>+O20+T20</f>
        <v>0</v>
      </c>
      <c r="AG20" s="1" t="s">
        <v>100</v>
      </c>
      <c r="AH20" s="1">
        <v>0.874</v>
      </c>
      <c r="AI20" s="1">
        <v>1.0900000000000001</v>
      </c>
      <c r="AJ20" s="1">
        <v>1.292</v>
      </c>
      <c r="AK20" s="1">
        <v>1.1020000000000001</v>
      </c>
      <c r="AL20" s="1">
        <v>1.097</v>
      </c>
      <c r="AM20" s="1">
        <v>1.095</v>
      </c>
      <c r="AN20" s="1">
        <v>1.089</v>
      </c>
      <c r="AO20" s="1">
        <v>1.0840000000000001</v>
      </c>
    </row>
    <row r="21" spans="1:41" ht="16.2" thickBot="1" x14ac:dyDescent="0.35">
      <c r="A21" s="2" t="s">
        <v>98</v>
      </c>
      <c r="B21" s="23">
        <f>+'Carac. Geomorf.'!C73</f>
        <v>109</v>
      </c>
      <c r="C21" s="24">
        <f>+'Carac. Geomorf.'!E73</f>
        <v>109000000</v>
      </c>
      <c r="E21" s="2" t="s">
        <v>98</v>
      </c>
      <c r="F21" s="23">
        <f>+'Carac. Geomorf.'!C88</f>
        <v>23.2</v>
      </c>
      <c r="G21" s="24">
        <f>+'Carac. Geomorf.'!E88</f>
        <v>23200000</v>
      </c>
      <c r="H21" s="59"/>
      <c r="I21" s="59"/>
      <c r="J21" s="2">
        <v>5</v>
      </c>
      <c r="K21" s="51">
        <f t="shared" si="6"/>
        <v>0.10591715976331362</v>
      </c>
      <c r="L21" s="48">
        <f t="shared" si="7"/>
        <v>5.8875936363385532E-5</v>
      </c>
      <c r="M21" s="51">
        <f t="shared" si="8"/>
        <v>0.97598472656645974</v>
      </c>
      <c r="N21" s="49">
        <f t="shared" si="9"/>
        <v>8247070.9394865846</v>
      </c>
      <c r="O21" s="84">
        <f t="shared" ref="O21:O29" si="13">+K21*L21*N21</f>
        <v>51.428503114401984</v>
      </c>
      <c r="P21" s="51">
        <f t="shared" si="10"/>
        <v>0.10833333333333335</v>
      </c>
      <c r="Q21" s="48">
        <f t="shared" si="11"/>
        <v>5.313666582919257E-5</v>
      </c>
      <c r="R21" s="51">
        <f t="shared" si="12"/>
        <v>0.60043837530108579</v>
      </c>
      <c r="S21" s="49">
        <f t="shared" ref="S21:S29" si="14">+R21*$G$6</f>
        <v>7445435.8537334641</v>
      </c>
      <c r="T21" s="85">
        <f t="shared" ref="T21:T28" si="15">+P21*Q21*S21</f>
        <v>42.859443998856797</v>
      </c>
      <c r="U21" s="72">
        <f t="shared" ref="U21:U29" si="16">+O21+T21</f>
        <v>94.287947113258781</v>
      </c>
    </row>
    <row r="22" spans="1:41" ht="16.2" thickBot="1" x14ac:dyDescent="0.35">
      <c r="A22" s="2" t="s">
        <v>37</v>
      </c>
      <c r="B22" s="25">
        <f>+'Carac. Geomorf.'!C76</f>
        <v>6.7148936170212767</v>
      </c>
      <c r="C22" s="26">
        <f>+'Carac. Geomorf.'!E76</f>
        <v>6.7148936170212767E-2</v>
      </c>
      <c r="E22" s="2" t="s">
        <v>37</v>
      </c>
      <c r="F22" s="25">
        <f>+'Carac. Geomorf.'!C91</f>
        <v>10.035971223021582</v>
      </c>
      <c r="G22" s="26">
        <f>+'Carac. Geomorf.'!E91</f>
        <v>0.10035971223021582</v>
      </c>
      <c r="H22" s="60"/>
      <c r="I22" s="60"/>
      <c r="J22" s="2">
        <v>10</v>
      </c>
      <c r="K22" s="51">
        <f t="shared" si="6"/>
        <v>0.10591715976331362</v>
      </c>
      <c r="L22" s="48">
        <f t="shared" si="7"/>
        <v>5.8875936363385532E-5</v>
      </c>
      <c r="M22" s="51">
        <f t="shared" si="8"/>
        <v>1</v>
      </c>
      <c r="N22" s="49">
        <f t="shared" si="9"/>
        <v>8450000</v>
      </c>
      <c r="O22" s="84">
        <f t="shared" si="13"/>
        <v>52.693963045230049</v>
      </c>
      <c r="P22" s="51">
        <f t="shared" si="10"/>
        <v>0.10833333333333335</v>
      </c>
      <c r="Q22" s="48">
        <f t="shared" si="11"/>
        <v>5.313666582919257E-5</v>
      </c>
      <c r="R22" s="51">
        <f t="shared" si="12"/>
        <v>1</v>
      </c>
      <c r="S22" s="49">
        <f t="shared" si="14"/>
        <v>12400000</v>
      </c>
      <c r="T22" s="85">
        <f t="shared" si="15"/>
        <v>71.380254430548703</v>
      </c>
      <c r="U22" s="72">
        <f t="shared" si="16"/>
        <v>124.07421747577875</v>
      </c>
      <c r="AG22" s="187" t="str">
        <f>+AG10</f>
        <v>LABOR OVALLE</v>
      </c>
      <c r="AH22" s="187"/>
    </row>
    <row r="23" spans="1:41" ht="16.2" thickBot="1" x14ac:dyDescent="0.35">
      <c r="A23" s="2" t="s">
        <v>38</v>
      </c>
      <c r="B23" s="146">
        <f>+'Carac. Geomorf.'!C77</f>
        <v>1578</v>
      </c>
      <c r="C23" s="147"/>
      <c r="E23" s="2" t="s">
        <v>38</v>
      </c>
      <c r="F23" s="146">
        <f>+'Carac. Geomorf.'!C92</f>
        <v>837</v>
      </c>
      <c r="G23" s="147"/>
      <c r="H23" s="58"/>
      <c r="I23" s="58"/>
      <c r="J23" s="2">
        <v>15</v>
      </c>
      <c r="K23" s="51">
        <f t="shared" si="6"/>
        <v>0.10591715976331362</v>
      </c>
      <c r="L23" s="48">
        <f t="shared" si="7"/>
        <v>5.8875936363385532E-5</v>
      </c>
      <c r="M23" s="51">
        <f t="shared" si="8"/>
        <v>1</v>
      </c>
      <c r="N23" s="49">
        <f t="shared" si="9"/>
        <v>8450000</v>
      </c>
      <c r="O23" s="84">
        <f t="shared" si="13"/>
        <v>52.693963045230049</v>
      </c>
      <c r="P23" s="51">
        <f t="shared" si="10"/>
        <v>0.10833333333333335</v>
      </c>
      <c r="Q23" s="48">
        <f t="shared" si="11"/>
        <v>5.313666582919257E-5</v>
      </c>
      <c r="R23" s="51">
        <f t="shared" si="12"/>
        <v>1</v>
      </c>
      <c r="S23" s="49">
        <f t="shared" si="14"/>
        <v>12400000</v>
      </c>
      <c r="T23" s="85">
        <f t="shared" si="15"/>
        <v>71.380254430548703</v>
      </c>
      <c r="U23" s="72">
        <f t="shared" si="16"/>
        <v>124.07421747577875</v>
      </c>
      <c r="AG23" s="1" t="s">
        <v>111</v>
      </c>
      <c r="AH23" s="1">
        <v>2</v>
      </c>
      <c r="AI23" s="1">
        <v>5</v>
      </c>
      <c r="AJ23" s="1">
        <v>10</v>
      </c>
      <c r="AK23" s="1">
        <v>20</v>
      </c>
      <c r="AL23" s="1">
        <v>25</v>
      </c>
      <c r="AM23" s="1">
        <v>30</v>
      </c>
      <c r="AN23" s="1">
        <v>50</v>
      </c>
      <c r="AO23" s="1">
        <v>100</v>
      </c>
    </row>
    <row r="24" spans="1:41" ht="16.2" thickBot="1" x14ac:dyDescent="0.35">
      <c r="A24" s="2" t="s">
        <v>4</v>
      </c>
      <c r="B24" s="190">
        <f>+'Uso de Suelo'!F55</f>
        <v>0.10389908256880734</v>
      </c>
      <c r="C24" s="142"/>
      <c r="E24" s="2" t="s">
        <v>4</v>
      </c>
      <c r="F24" s="190">
        <f>+'Uso de Suelo'!B69</f>
        <v>0.12413793103448276</v>
      </c>
      <c r="G24" s="142"/>
      <c r="H24" s="61"/>
      <c r="I24" s="61"/>
      <c r="J24" s="2">
        <v>20</v>
      </c>
      <c r="K24" s="51">
        <f t="shared" si="6"/>
        <v>0.10591715976331362</v>
      </c>
      <c r="L24" s="48">
        <f t="shared" si="7"/>
        <v>5.8875936363385532E-5</v>
      </c>
      <c r="M24" s="51">
        <f t="shared" si="8"/>
        <v>1</v>
      </c>
      <c r="N24" s="49">
        <f t="shared" si="9"/>
        <v>8450000</v>
      </c>
      <c r="O24" s="84">
        <f t="shared" si="13"/>
        <v>52.693963045230049</v>
      </c>
      <c r="P24" s="51">
        <f t="shared" si="10"/>
        <v>0.10833333333333335</v>
      </c>
      <c r="Q24" s="48">
        <f t="shared" si="11"/>
        <v>5.313666582919257E-5</v>
      </c>
      <c r="R24" s="51">
        <f t="shared" si="12"/>
        <v>1</v>
      </c>
      <c r="S24" s="49">
        <f t="shared" si="14"/>
        <v>12400000</v>
      </c>
      <c r="T24" s="85">
        <f t="shared" si="15"/>
        <v>71.380254430548703</v>
      </c>
      <c r="U24" s="72">
        <f t="shared" si="16"/>
        <v>124.07421747577875</v>
      </c>
      <c r="AG24" s="1" t="s">
        <v>30</v>
      </c>
      <c r="AH24" s="1">
        <v>550</v>
      </c>
      <c r="AI24" s="1">
        <v>6810</v>
      </c>
      <c r="AJ24" s="1">
        <v>12930</v>
      </c>
      <c r="AK24" s="1">
        <v>26890</v>
      </c>
      <c r="AL24" s="1">
        <v>24690</v>
      </c>
      <c r="AM24" s="1">
        <v>23370</v>
      </c>
      <c r="AN24" s="1">
        <v>15860</v>
      </c>
      <c r="AO24" s="1">
        <v>13320</v>
      </c>
    </row>
    <row r="25" spans="1:41" ht="16.2" thickBot="1" x14ac:dyDescent="0.35">
      <c r="A25" s="2" t="s">
        <v>40</v>
      </c>
      <c r="B25" s="191">
        <f>+T.C.!D284</f>
        <v>46.643954935246754</v>
      </c>
      <c r="C25" s="192"/>
      <c r="E25" s="2" t="s">
        <v>40</v>
      </c>
      <c r="F25" s="191">
        <f>+T.C.!D285</f>
        <v>14.39812168991079</v>
      </c>
      <c r="G25" s="192"/>
      <c r="H25" s="62"/>
      <c r="I25" s="62"/>
      <c r="J25" s="2">
        <v>25</v>
      </c>
      <c r="K25" s="51">
        <f t="shared" si="6"/>
        <v>0.10591715976331362</v>
      </c>
      <c r="L25" s="48">
        <f t="shared" si="7"/>
        <v>5.8875936363385532E-5</v>
      </c>
      <c r="M25" s="51">
        <f t="shared" si="8"/>
        <v>1</v>
      </c>
      <c r="N25" s="49">
        <f t="shared" si="9"/>
        <v>8450000</v>
      </c>
      <c r="O25" s="84">
        <f t="shared" si="13"/>
        <v>52.693963045230049</v>
      </c>
      <c r="P25" s="51">
        <f t="shared" si="10"/>
        <v>0.10833333333333335</v>
      </c>
      <c r="Q25" s="48">
        <f t="shared" si="11"/>
        <v>5.313666582919257E-5</v>
      </c>
      <c r="R25" s="51">
        <f t="shared" si="12"/>
        <v>1</v>
      </c>
      <c r="S25" s="49">
        <f t="shared" si="14"/>
        <v>12400000</v>
      </c>
      <c r="T25" s="85">
        <f t="shared" si="15"/>
        <v>71.380254430548703</v>
      </c>
      <c r="U25" s="72">
        <f t="shared" si="16"/>
        <v>124.07421747577875</v>
      </c>
      <c r="AG25" s="1" t="s">
        <v>99</v>
      </c>
      <c r="AH25" s="1">
        <v>5</v>
      </c>
      <c r="AI25" s="1">
        <v>20</v>
      </c>
      <c r="AJ25" s="1">
        <v>25</v>
      </c>
      <c r="AK25" s="1">
        <v>30</v>
      </c>
      <c r="AL25" s="1">
        <v>30</v>
      </c>
      <c r="AM25" s="1">
        <v>30</v>
      </c>
      <c r="AN25" s="1">
        <v>30</v>
      </c>
      <c r="AO25" s="1">
        <v>30</v>
      </c>
    </row>
    <row r="26" spans="1:41" ht="16.2" thickBot="1" x14ac:dyDescent="0.35">
      <c r="A26" s="2" t="s">
        <v>30</v>
      </c>
      <c r="B26" s="141">
        <f>+$AJ$11</f>
        <v>1315</v>
      </c>
      <c r="C26" s="142"/>
      <c r="E26" s="2" t="s">
        <v>30</v>
      </c>
      <c r="F26" s="141">
        <f>+$AJ$11</f>
        <v>1315</v>
      </c>
      <c r="G26" s="142"/>
      <c r="H26" s="61"/>
      <c r="I26" s="61"/>
      <c r="J26" s="2">
        <v>30</v>
      </c>
      <c r="K26" s="51">
        <f t="shared" si="6"/>
        <v>0.10591715976331362</v>
      </c>
      <c r="L26" s="48">
        <f t="shared" si="7"/>
        <v>5.8875936363385532E-5</v>
      </c>
      <c r="M26" s="51">
        <f t="shared" si="8"/>
        <v>4.8030546867080304E-2</v>
      </c>
      <c r="N26" s="49">
        <f t="shared" si="9"/>
        <v>405858.12102682859</v>
      </c>
      <c r="O26" s="84">
        <f t="shared" si="13"/>
        <v>2.5309198616561197</v>
      </c>
      <c r="P26" s="51">
        <f t="shared" si="10"/>
        <v>0.10833333333333335</v>
      </c>
      <c r="Q26" s="48">
        <f t="shared" si="11"/>
        <v>5.313666582919257E-5</v>
      </c>
      <c r="R26" s="51">
        <f t="shared" si="12"/>
        <v>0.79912324939782853</v>
      </c>
      <c r="S26" s="49">
        <f t="shared" si="14"/>
        <v>9909128.2925330736</v>
      </c>
      <c r="T26" s="85">
        <f t="shared" si="15"/>
        <v>57.04162086338382</v>
      </c>
      <c r="U26" s="72">
        <f t="shared" si="16"/>
        <v>59.572540725039943</v>
      </c>
      <c r="AG26" s="1" t="s">
        <v>100</v>
      </c>
      <c r="AH26" s="1">
        <v>0.81299999999999994</v>
      </c>
      <c r="AI26" s="1">
        <v>1.262</v>
      </c>
      <c r="AJ26" s="1">
        <v>1.357</v>
      </c>
      <c r="AK26" s="1">
        <v>1.458</v>
      </c>
      <c r="AL26" s="1">
        <v>1.43</v>
      </c>
      <c r="AM26" s="1">
        <v>1.4119999999999999</v>
      </c>
      <c r="AN26" s="1">
        <v>1.294</v>
      </c>
      <c r="AO26" s="1">
        <v>1.244</v>
      </c>
    </row>
    <row r="27" spans="1:41" ht="16.2" thickBot="1" x14ac:dyDescent="0.35">
      <c r="A27" s="2" t="s">
        <v>99</v>
      </c>
      <c r="B27" s="141">
        <f>+$AK$11</f>
        <v>13</v>
      </c>
      <c r="C27" s="142"/>
      <c r="E27" s="2" t="s">
        <v>99</v>
      </c>
      <c r="F27" s="141">
        <f>+$AK$11</f>
        <v>13</v>
      </c>
      <c r="G27" s="142"/>
      <c r="H27" s="61"/>
      <c r="I27" s="61"/>
      <c r="J27" s="2">
        <v>35</v>
      </c>
      <c r="K27" s="51">
        <f t="shared" si="6"/>
        <v>0.10591715976331362</v>
      </c>
      <c r="L27" s="48">
        <f t="shared" si="7"/>
        <v>5.8875936363385532E-5</v>
      </c>
      <c r="M27" s="51">
        <f t="shared" si="8"/>
        <v>0</v>
      </c>
      <c r="N27" s="49">
        <f t="shared" si="9"/>
        <v>0</v>
      </c>
      <c r="O27" s="84">
        <f t="shared" si="13"/>
        <v>0</v>
      </c>
      <c r="P27" s="51">
        <f t="shared" si="10"/>
        <v>0.10833333333333335</v>
      </c>
      <c r="Q27" s="48">
        <f t="shared" si="11"/>
        <v>5.313666582919257E-5</v>
      </c>
      <c r="R27" s="51">
        <f t="shared" si="12"/>
        <v>0.19868487409674274</v>
      </c>
      <c r="S27" s="49">
        <f t="shared" si="14"/>
        <v>2463692.4387996099</v>
      </c>
      <c r="T27" s="85">
        <f t="shared" si="15"/>
        <v>14.182176864527031</v>
      </c>
      <c r="U27" s="72">
        <f t="shared" si="16"/>
        <v>14.182176864527031</v>
      </c>
    </row>
    <row r="28" spans="1:41" ht="16.2" thickBot="1" x14ac:dyDescent="0.35">
      <c r="A28" s="2" t="s">
        <v>100</v>
      </c>
      <c r="B28" s="141">
        <f>+$AL$11</f>
        <v>0.63</v>
      </c>
      <c r="C28" s="142"/>
      <c r="E28" s="2" t="s">
        <v>100</v>
      </c>
      <c r="F28" s="141">
        <f>+$AL$11</f>
        <v>0.63</v>
      </c>
      <c r="G28" s="142"/>
      <c r="H28" s="61"/>
      <c r="I28" s="61"/>
      <c r="J28" s="2">
        <v>40</v>
      </c>
      <c r="K28" s="51">
        <f t="shared" si="6"/>
        <v>0.10591715976331362</v>
      </c>
      <c r="L28" s="48">
        <f t="shared" si="7"/>
        <v>5.8875936363385532E-5</v>
      </c>
      <c r="M28" s="51">
        <f t="shared" si="8"/>
        <v>0</v>
      </c>
      <c r="N28" s="49">
        <f t="shared" si="9"/>
        <v>0</v>
      </c>
      <c r="O28" s="84">
        <f t="shared" si="13"/>
        <v>0</v>
      </c>
      <c r="P28" s="51">
        <f t="shared" si="10"/>
        <v>0.10833333333333335</v>
      </c>
      <c r="Q28" s="48">
        <f t="shared" si="11"/>
        <v>5.313666582919257E-5</v>
      </c>
      <c r="R28" s="51">
        <f t="shared" si="12"/>
        <v>0</v>
      </c>
      <c r="S28" s="49">
        <f t="shared" si="14"/>
        <v>0</v>
      </c>
      <c r="T28" s="85">
        <f t="shared" si="15"/>
        <v>0</v>
      </c>
      <c r="U28" s="72">
        <f t="shared" si="16"/>
        <v>0</v>
      </c>
      <c r="AG28" s="187" t="str">
        <f>+AG11</f>
        <v>RETALHULEU</v>
      </c>
      <c r="AH28" s="187"/>
    </row>
    <row r="29" spans="1:41" ht="16.2" thickBot="1" x14ac:dyDescent="0.35">
      <c r="A29" s="2" t="s">
        <v>42</v>
      </c>
      <c r="B29" s="188">
        <f>+B26/((B27+B25)^B28)</f>
        <v>100.07345635488545</v>
      </c>
      <c r="C29" s="189"/>
      <c r="E29" s="2" t="s">
        <v>42</v>
      </c>
      <c r="F29" s="188">
        <f>+F26/((F27+F25)^F28)</f>
        <v>163.365992262416</v>
      </c>
      <c r="G29" s="189"/>
      <c r="H29" s="63"/>
      <c r="I29" s="63"/>
      <c r="J29" s="16">
        <v>45</v>
      </c>
      <c r="K29" s="52">
        <f t="shared" si="6"/>
        <v>0.10591715976331362</v>
      </c>
      <c r="L29" s="53">
        <f t="shared" si="7"/>
        <v>5.8875936363385532E-5</v>
      </c>
      <c r="M29" s="52">
        <f t="shared" si="8"/>
        <v>0</v>
      </c>
      <c r="N29" s="54">
        <f t="shared" si="9"/>
        <v>0</v>
      </c>
      <c r="O29" s="88">
        <f t="shared" si="13"/>
        <v>0</v>
      </c>
      <c r="P29" s="52">
        <f t="shared" si="10"/>
        <v>0.10833333333333335</v>
      </c>
      <c r="Q29" s="53">
        <f t="shared" si="11"/>
        <v>5.313666582919257E-5</v>
      </c>
      <c r="R29" s="52">
        <f t="shared" si="12"/>
        <v>0</v>
      </c>
      <c r="S29" s="54">
        <f t="shared" si="14"/>
        <v>0</v>
      </c>
      <c r="T29" s="70">
        <f t="shared" ref="T29" si="17">+P29*Q29*S29</f>
        <v>0</v>
      </c>
      <c r="U29" s="73">
        <f t="shared" si="16"/>
        <v>0</v>
      </c>
      <c r="AG29" s="1" t="s">
        <v>111</v>
      </c>
      <c r="AH29" s="1">
        <v>2</v>
      </c>
      <c r="AI29" s="1">
        <v>5</v>
      </c>
      <c r="AJ29" s="1">
        <v>10</v>
      </c>
      <c r="AK29" s="1">
        <v>20</v>
      </c>
      <c r="AL29" s="1">
        <v>25</v>
      </c>
      <c r="AM29" s="1">
        <v>30</v>
      </c>
      <c r="AN29" s="1">
        <v>50</v>
      </c>
      <c r="AO29" s="1">
        <v>100</v>
      </c>
    </row>
    <row r="30" spans="1:41" ht="16.2" thickBot="1" x14ac:dyDescent="0.35">
      <c r="A30" s="11" t="s">
        <v>42</v>
      </c>
      <c r="B30" s="193">
        <f>+B29*(1/1000)*(1/3600)</f>
        <v>2.7798182320801516E-5</v>
      </c>
      <c r="C30" s="194"/>
      <c r="E30" s="11" t="s">
        <v>42</v>
      </c>
      <c r="F30" s="193">
        <f>+F29*(1/1000)*(1/3600)</f>
        <v>4.5379442295115552E-5</v>
      </c>
      <c r="G30" s="194"/>
      <c r="H30" s="64"/>
      <c r="I30" s="64"/>
      <c r="J30" s="8"/>
      <c r="K30" s="13"/>
      <c r="L30" s="67"/>
      <c r="M30" s="13"/>
      <c r="N30" s="74"/>
      <c r="O30" s="75"/>
      <c r="P30" s="13"/>
      <c r="Q30" s="67"/>
      <c r="R30" s="13"/>
      <c r="S30" s="74"/>
      <c r="T30" s="75"/>
      <c r="U30" s="75"/>
      <c r="AG30" s="1" t="s">
        <v>30</v>
      </c>
      <c r="AH30" s="1">
        <v>5843</v>
      </c>
      <c r="AI30" s="1">
        <v>1991</v>
      </c>
      <c r="AJ30" s="1">
        <v>1150</v>
      </c>
      <c r="AK30" s="1">
        <v>1321</v>
      </c>
      <c r="AL30" s="1">
        <v>1315</v>
      </c>
      <c r="AM30" s="1">
        <v>1221</v>
      </c>
      <c r="AN30" s="1">
        <v>1215</v>
      </c>
      <c r="AO30" s="1">
        <v>1217</v>
      </c>
    </row>
    <row r="31" spans="1:41" ht="16.2" thickBot="1" x14ac:dyDescent="0.35">
      <c r="J31" s="8"/>
      <c r="K31" s="13"/>
      <c r="L31" s="67"/>
      <c r="M31" s="13"/>
      <c r="N31" s="8"/>
      <c r="O31" s="8"/>
      <c r="P31" s="13"/>
      <c r="Q31" s="67"/>
      <c r="R31" s="13"/>
      <c r="S31" s="74"/>
      <c r="T31" s="75"/>
      <c r="U31" s="75"/>
      <c r="AG31" s="1" t="s">
        <v>99</v>
      </c>
      <c r="AH31" s="1">
        <v>25</v>
      </c>
      <c r="AI31" s="1">
        <v>14</v>
      </c>
      <c r="AJ31" s="1">
        <v>11</v>
      </c>
      <c r="AK31" s="1">
        <v>13</v>
      </c>
      <c r="AL31" s="1">
        <v>13</v>
      </c>
      <c r="AM31" s="1">
        <v>12</v>
      </c>
      <c r="AN31" s="1">
        <v>12</v>
      </c>
      <c r="AO31" s="1">
        <v>12</v>
      </c>
    </row>
    <row r="32" spans="1:41" ht="18.600000000000001" thickBot="1" x14ac:dyDescent="0.35">
      <c r="A32" s="184" t="s">
        <v>124</v>
      </c>
      <c r="B32" s="185"/>
      <c r="C32" s="185"/>
      <c r="D32" s="185"/>
      <c r="E32" s="185"/>
      <c r="F32" s="185"/>
      <c r="G32" s="185"/>
      <c r="H32" s="56"/>
      <c r="I32" s="56"/>
      <c r="J32" s="8"/>
      <c r="K32" s="8"/>
      <c r="L32" s="8"/>
      <c r="M32" s="8"/>
      <c r="N32" s="8"/>
      <c r="O32" s="8"/>
      <c r="P32" s="13"/>
      <c r="Q32" s="67"/>
      <c r="R32" s="13"/>
      <c r="S32" s="74"/>
      <c r="T32" s="75"/>
      <c r="U32" s="75"/>
      <c r="AG32" s="1" t="s">
        <v>100</v>
      </c>
      <c r="AH32" s="1">
        <v>1.0369999999999999</v>
      </c>
      <c r="AI32" s="1">
        <v>0.76900000000000002</v>
      </c>
      <c r="AJ32" s="1">
        <v>0.61599999999999999</v>
      </c>
      <c r="AK32" s="1">
        <v>0.63300000000000001</v>
      </c>
      <c r="AL32" s="1">
        <v>0.63</v>
      </c>
      <c r="AM32" s="1">
        <v>0.61299999999999999</v>
      </c>
      <c r="AN32" s="1">
        <v>0.61</v>
      </c>
      <c r="AO32" s="1">
        <v>0.60899999999999999</v>
      </c>
    </row>
    <row r="33" spans="1:21" ht="18.600000000000001" thickBot="1" x14ac:dyDescent="0.35">
      <c r="A33" s="161" t="s">
        <v>17</v>
      </c>
      <c r="B33" s="162"/>
      <c r="C33" s="163"/>
      <c r="E33" s="161" t="s">
        <v>18</v>
      </c>
      <c r="F33" s="162"/>
      <c r="G33" s="163"/>
      <c r="H33" s="57"/>
      <c r="I33" s="57"/>
      <c r="J33" s="184" t="s">
        <v>119</v>
      </c>
      <c r="K33" s="185"/>
      <c r="L33" s="185"/>
      <c r="M33" s="185"/>
      <c r="N33" s="185"/>
      <c r="O33" s="185"/>
      <c r="P33" s="185"/>
      <c r="Q33" s="185"/>
      <c r="R33" s="185"/>
      <c r="S33" s="185"/>
      <c r="T33" s="185"/>
      <c r="U33" s="186"/>
    </row>
    <row r="34" spans="1:21" x14ac:dyDescent="0.3">
      <c r="A34" s="140" t="s">
        <v>34</v>
      </c>
      <c r="B34" s="141"/>
      <c r="C34" s="142"/>
      <c r="E34" s="140" t="s">
        <v>112</v>
      </c>
      <c r="F34" s="141"/>
      <c r="G34" s="142"/>
      <c r="H34" s="61"/>
      <c r="I34" s="61"/>
      <c r="J34" s="161" t="s">
        <v>19</v>
      </c>
      <c r="K34" s="162"/>
      <c r="L34" s="163"/>
      <c r="M34" s="20"/>
      <c r="P34" s="161" t="s">
        <v>20</v>
      </c>
      <c r="Q34" s="162"/>
      <c r="R34" s="163"/>
    </row>
    <row r="35" spans="1:21" x14ac:dyDescent="0.3">
      <c r="A35" s="2" t="s">
        <v>97</v>
      </c>
      <c r="B35" s="21">
        <f>+'Carac. Geomorf.'!C54</f>
        <v>5.75</v>
      </c>
      <c r="C35" s="22">
        <f>+'Carac. Geomorf.'!E54</f>
        <v>5750</v>
      </c>
      <c r="E35" s="2" t="s">
        <v>97</v>
      </c>
      <c r="F35" s="21">
        <f>+'Carac. Geomorf.'!C63</f>
        <v>13.2</v>
      </c>
      <c r="G35" s="22">
        <f>+'Carac. Geomorf.'!E63</f>
        <v>13200</v>
      </c>
      <c r="H35" s="58"/>
      <c r="I35" s="58"/>
      <c r="J35" s="140" t="s">
        <v>34</v>
      </c>
      <c r="K35" s="141"/>
      <c r="L35" s="142"/>
      <c r="M35" s="20"/>
      <c r="P35" s="140" t="s">
        <v>112</v>
      </c>
      <c r="Q35" s="141"/>
      <c r="R35" s="142"/>
    </row>
    <row r="36" spans="1:21" x14ac:dyDescent="0.3">
      <c r="A36" s="2" t="s">
        <v>98</v>
      </c>
      <c r="B36" s="23">
        <f>+'Carac. Geomorf.'!C55</f>
        <v>13.6</v>
      </c>
      <c r="C36" s="24">
        <f>+'Carac. Geomorf.'!E55</f>
        <v>13600000</v>
      </c>
      <c r="E36" s="2" t="s">
        <v>98</v>
      </c>
      <c r="F36" s="21">
        <f>+'Carac. Geomorf.'!C64</f>
        <v>30.6</v>
      </c>
      <c r="G36" s="22">
        <f>+'Carac. Geomorf.'!E64</f>
        <v>30600000</v>
      </c>
      <c r="H36" s="58"/>
      <c r="I36" s="58"/>
      <c r="J36" s="2" t="s">
        <v>97</v>
      </c>
      <c r="K36" s="111">
        <f>+B20</f>
        <v>23.5</v>
      </c>
      <c r="L36" s="110">
        <f>+C20</f>
        <v>23500</v>
      </c>
      <c r="M36" s="20"/>
      <c r="P36" s="2" t="s">
        <v>97</v>
      </c>
      <c r="Q36" s="111">
        <f>+F20</f>
        <v>8.34</v>
      </c>
      <c r="R36" s="110">
        <f>+G20</f>
        <v>8340</v>
      </c>
    </row>
    <row r="37" spans="1:21" x14ac:dyDescent="0.3">
      <c r="A37" s="2" t="s">
        <v>37</v>
      </c>
      <c r="B37" s="25">
        <f>+'Carac. Geomorf.'!C58</f>
        <v>9.7391304347826093</v>
      </c>
      <c r="C37" s="26">
        <f>+'Carac. Geomorf.'!E58</f>
        <v>9.7391304347826085E-2</v>
      </c>
      <c r="E37" s="2" t="s">
        <v>37</v>
      </c>
      <c r="F37" s="25">
        <f>+'Carac. Geomorf.'!C67</f>
        <v>6.1439393939393936</v>
      </c>
      <c r="G37" s="26">
        <f>+'Carac. Geomorf.'!E67</f>
        <v>6.143939393939394E-2</v>
      </c>
      <c r="H37" s="60"/>
      <c r="I37" s="60"/>
      <c r="J37" s="2" t="s">
        <v>98</v>
      </c>
      <c r="K37" s="107">
        <f t="shared" ref="K37:L37" si="18">+B21</f>
        <v>109</v>
      </c>
      <c r="L37" s="109">
        <f t="shared" si="18"/>
        <v>109000000</v>
      </c>
      <c r="M37" s="20"/>
      <c r="P37" s="2" t="s">
        <v>98</v>
      </c>
      <c r="Q37" s="107">
        <f t="shared" ref="Q37:R37" si="19">+F21</f>
        <v>23.2</v>
      </c>
      <c r="R37" s="109">
        <f t="shared" si="19"/>
        <v>23200000</v>
      </c>
    </row>
    <row r="38" spans="1:21" x14ac:dyDescent="0.3">
      <c r="A38" s="2" t="s">
        <v>38</v>
      </c>
      <c r="B38" s="146">
        <f>+'Carac. Geomorf.'!C59</f>
        <v>560</v>
      </c>
      <c r="C38" s="147"/>
      <c r="E38" s="2" t="s">
        <v>38</v>
      </c>
      <c r="F38" s="146">
        <f>+'Carac. Geomorf.'!C68</f>
        <v>811</v>
      </c>
      <c r="G38" s="147"/>
      <c r="H38" s="65"/>
      <c r="I38" s="65"/>
      <c r="J38" s="2" t="s">
        <v>37</v>
      </c>
      <c r="K38" s="103">
        <f t="shared" ref="K38:L38" si="20">+B22</f>
        <v>6.7148936170212767</v>
      </c>
      <c r="L38" s="104">
        <f t="shared" si="20"/>
        <v>6.7148936170212767E-2</v>
      </c>
      <c r="M38" s="20"/>
      <c r="P38" s="2" t="s">
        <v>37</v>
      </c>
      <c r="Q38" s="103">
        <f t="shared" ref="Q38:R38" si="21">+F22</f>
        <v>10.035971223021582</v>
      </c>
      <c r="R38" s="104">
        <f t="shared" si="21"/>
        <v>0.10035971223021582</v>
      </c>
    </row>
    <row r="39" spans="1:21" x14ac:dyDescent="0.3">
      <c r="A39" s="2" t="s">
        <v>4</v>
      </c>
      <c r="B39" s="190">
        <f>+'Uso de Suelo'!F41</f>
        <v>0.12352941176470589</v>
      </c>
      <c r="C39" s="142"/>
      <c r="E39" s="2" t="s">
        <v>4</v>
      </c>
      <c r="F39" s="190">
        <f>+'Uso de Suelo'!B55</f>
        <v>0.11633986928104577</v>
      </c>
      <c r="G39" s="142"/>
      <c r="H39" s="8"/>
      <c r="I39" s="8"/>
      <c r="J39" s="2" t="s">
        <v>38</v>
      </c>
      <c r="K39" s="146">
        <f>+B23</f>
        <v>1578</v>
      </c>
      <c r="L39" s="147"/>
      <c r="M39" s="20"/>
      <c r="P39" s="2" t="s">
        <v>38</v>
      </c>
      <c r="Q39" s="146">
        <f>+F23</f>
        <v>837</v>
      </c>
      <c r="R39" s="147"/>
    </row>
    <row r="40" spans="1:21" x14ac:dyDescent="0.3">
      <c r="A40" s="2" t="s">
        <v>40</v>
      </c>
      <c r="B40" s="191">
        <f>+T.C.!D228</f>
        <v>11.359795849164449</v>
      </c>
      <c r="C40" s="192"/>
      <c r="E40" s="2" t="s">
        <v>40</v>
      </c>
      <c r="F40" s="191">
        <f>+T.C.!D229</f>
        <v>27.010650592512828</v>
      </c>
      <c r="G40" s="192"/>
      <c r="H40" s="42"/>
      <c r="I40" s="42"/>
      <c r="J40" s="2" t="s">
        <v>4</v>
      </c>
      <c r="K40" s="190">
        <f t="shared" ref="K40:K45" si="22">+B24</f>
        <v>0.10389908256880734</v>
      </c>
      <c r="L40" s="142"/>
      <c r="M40" s="20"/>
      <c r="P40" s="2" t="s">
        <v>4</v>
      </c>
      <c r="Q40" s="190">
        <f t="shared" ref="Q40:Q45" si="23">+F24</f>
        <v>0.12413793103448276</v>
      </c>
      <c r="R40" s="142"/>
    </row>
    <row r="41" spans="1:21" x14ac:dyDescent="0.3">
      <c r="A41" s="2" t="s">
        <v>30</v>
      </c>
      <c r="B41" s="141">
        <f>+$AJ$11</f>
        <v>1315</v>
      </c>
      <c r="C41" s="142"/>
      <c r="E41" s="2" t="s">
        <v>30</v>
      </c>
      <c r="F41" s="141">
        <f>+$AJ$11</f>
        <v>1315</v>
      </c>
      <c r="G41" s="142"/>
      <c r="H41" s="8"/>
      <c r="I41" s="8"/>
      <c r="J41" s="2" t="s">
        <v>40</v>
      </c>
      <c r="K41" s="191">
        <f t="shared" si="22"/>
        <v>46.643954935246754</v>
      </c>
      <c r="L41" s="192"/>
      <c r="M41" s="20"/>
      <c r="P41" s="2" t="s">
        <v>40</v>
      </c>
      <c r="Q41" s="191">
        <f t="shared" si="23"/>
        <v>14.39812168991079</v>
      </c>
      <c r="R41" s="192"/>
    </row>
    <row r="42" spans="1:21" x14ac:dyDescent="0.3">
      <c r="A42" s="2" t="s">
        <v>99</v>
      </c>
      <c r="B42" s="141">
        <f>+$AK$11</f>
        <v>13</v>
      </c>
      <c r="C42" s="142"/>
      <c r="E42" s="2" t="s">
        <v>99</v>
      </c>
      <c r="F42" s="141">
        <f>+$AK$11</f>
        <v>13</v>
      </c>
      <c r="G42" s="142"/>
      <c r="H42" s="8"/>
      <c r="I42" s="8"/>
      <c r="J42" s="2" t="s">
        <v>30</v>
      </c>
      <c r="K42" s="141">
        <f t="shared" si="22"/>
        <v>1315</v>
      </c>
      <c r="L42" s="142"/>
      <c r="M42" s="20"/>
      <c r="P42" s="2" t="s">
        <v>30</v>
      </c>
      <c r="Q42" s="141">
        <f t="shared" si="23"/>
        <v>1315</v>
      </c>
      <c r="R42" s="142"/>
    </row>
    <row r="43" spans="1:21" x14ac:dyDescent="0.3">
      <c r="A43" s="2" t="s">
        <v>100</v>
      </c>
      <c r="B43" s="141">
        <f>+$AL$11</f>
        <v>0.63</v>
      </c>
      <c r="C43" s="142"/>
      <c r="E43" s="2" t="s">
        <v>100</v>
      </c>
      <c r="F43" s="141">
        <f>+$AL$11</f>
        <v>0.63</v>
      </c>
      <c r="G43" s="142"/>
      <c r="H43" s="8"/>
      <c r="I43" s="8"/>
      <c r="J43" s="2" t="s">
        <v>99</v>
      </c>
      <c r="K43" s="141">
        <f t="shared" si="22"/>
        <v>13</v>
      </c>
      <c r="L43" s="142"/>
      <c r="M43" s="20"/>
      <c r="P43" s="2" t="s">
        <v>99</v>
      </c>
      <c r="Q43" s="141">
        <f t="shared" si="23"/>
        <v>13</v>
      </c>
      <c r="R43" s="142"/>
    </row>
    <row r="44" spans="1:21" x14ac:dyDescent="0.3">
      <c r="A44" s="2" t="s">
        <v>42</v>
      </c>
      <c r="B44" s="188">
        <f>+B41/((B42+B40)^B43)</f>
        <v>175.92248737864753</v>
      </c>
      <c r="C44" s="189"/>
      <c r="E44" s="2" t="s">
        <v>42</v>
      </c>
      <c r="F44" s="188">
        <f>+F41/((F42+F40)^F43)</f>
        <v>128.69305674694448</v>
      </c>
      <c r="G44" s="189"/>
      <c r="H44" s="66"/>
      <c r="I44" s="66"/>
      <c r="J44" s="2" t="s">
        <v>100</v>
      </c>
      <c r="K44" s="141">
        <f t="shared" si="22"/>
        <v>0.63</v>
      </c>
      <c r="L44" s="142"/>
      <c r="M44" s="20"/>
      <c r="P44" s="2" t="s">
        <v>100</v>
      </c>
      <c r="Q44" s="141">
        <f t="shared" si="23"/>
        <v>0.63</v>
      </c>
      <c r="R44" s="142"/>
    </row>
    <row r="45" spans="1:21" ht="16.2" thickBot="1" x14ac:dyDescent="0.35">
      <c r="A45" s="11" t="s">
        <v>42</v>
      </c>
      <c r="B45" s="193">
        <f>+B44*(1/1000)*(1/3600)</f>
        <v>4.8867357605179875E-5</v>
      </c>
      <c r="C45" s="194"/>
      <c r="E45" s="11" t="s">
        <v>42</v>
      </c>
      <c r="F45" s="193">
        <f>+F44*(1/1000)*(1/3600)</f>
        <v>3.5748071318595686E-5</v>
      </c>
      <c r="G45" s="194"/>
      <c r="H45" s="67"/>
      <c r="I45" s="67"/>
      <c r="J45" s="2" t="s">
        <v>42</v>
      </c>
      <c r="K45" s="188">
        <f t="shared" si="22"/>
        <v>100.07345635488545</v>
      </c>
      <c r="L45" s="189"/>
      <c r="M45" s="20"/>
      <c r="P45" s="2" t="s">
        <v>42</v>
      </c>
      <c r="Q45" s="188">
        <f t="shared" si="23"/>
        <v>163.365992262416</v>
      </c>
      <c r="R45" s="189"/>
    </row>
    <row r="46" spans="1:21" ht="16.2" thickBot="1" x14ac:dyDescent="0.35">
      <c r="J46" s="16" t="s">
        <v>42</v>
      </c>
      <c r="K46" s="193">
        <f>+K45*(1/1000)*(1/3600)</f>
        <v>2.7798182320801516E-5</v>
      </c>
      <c r="L46" s="194"/>
      <c r="M46" s="20"/>
      <c r="P46" s="16" t="s">
        <v>42</v>
      </c>
      <c r="Q46" s="193">
        <f>+Q45*(1/1000)*(1/3600)</f>
        <v>4.5379442295115552E-5</v>
      </c>
      <c r="R46" s="194"/>
    </row>
    <row r="47" spans="1:21" ht="18.600000000000001" thickBot="1" x14ac:dyDescent="0.35">
      <c r="J47" s="184" t="str">
        <f>+A17</f>
        <v>Estudio de caudales en Punto D</v>
      </c>
      <c r="K47" s="185"/>
      <c r="L47" s="185"/>
      <c r="M47" s="185"/>
      <c r="N47" s="185"/>
      <c r="O47" s="185"/>
      <c r="P47" s="185"/>
      <c r="Q47" s="185"/>
      <c r="R47" s="185"/>
      <c r="S47" s="185"/>
      <c r="T47" s="185"/>
      <c r="U47" s="186"/>
    </row>
    <row r="48" spans="1:21" ht="18.600000000000001" thickBot="1" x14ac:dyDescent="0.35">
      <c r="A48" s="184" t="s">
        <v>125</v>
      </c>
      <c r="B48" s="185"/>
      <c r="C48" s="185"/>
      <c r="D48" s="185"/>
      <c r="E48" s="185"/>
      <c r="F48" s="185"/>
      <c r="G48" s="186"/>
      <c r="H48" s="68"/>
      <c r="I48" s="68"/>
      <c r="K48" s="161" t="str">
        <f>+CONCATENATE("Tiempo total de lluvia en ",A18)</f>
        <v>Tiempo total de lluvia en Cuenca 8</v>
      </c>
      <c r="L48" s="162"/>
      <c r="M48" s="163"/>
      <c r="P48" s="161" t="str">
        <f>+CONCATENATE("Tiempo total de lluvia en ",E18)</f>
        <v>Tiempo total de lluvia en Cuenca 9</v>
      </c>
      <c r="Q48" s="162"/>
      <c r="R48" s="163"/>
    </row>
    <row r="49" spans="1:21" ht="16.2" thickBot="1" x14ac:dyDescent="0.35">
      <c r="A49" s="161" t="s">
        <v>15</v>
      </c>
      <c r="B49" s="162"/>
      <c r="C49" s="163"/>
      <c r="E49" s="161" t="s">
        <v>16</v>
      </c>
      <c r="F49" s="162"/>
      <c r="G49" s="163"/>
      <c r="H49" s="8"/>
      <c r="I49" s="8"/>
      <c r="K49" s="204">
        <f>+B25+20+B25</f>
        <v>113.28790987049351</v>
      </c>
      <c r="L49" s="205"/>
      <c r="M49" s="206"/>
      <c r="P49" s="204">
        <f>+F25+20+F25</f>
        <v>48.796243379821576</v>
      </c>
      <c r="Q49" s="205"/>
      <c r="R49" s="206"/>
    </row>
    <row r="50" spans="1:21" ht="16.2" thickBot="1" x14ac:dyDescent="0.35">
      <c r="A50" s="140" t="s">
        <v>34</v>
      </c>
      <c r="B50" s="141"/>
      <c r="C50" s="142"/>
      <c r="E50" s="140" t="s">
        <v>112</v>
      </c>
      <c r="F50" s="141"/>
      <c r="G50" s="142"/>
      <c r="H50" s="57"/>
      <c r="I50" s="57"/>
      <c r="J50" s="44" t="s">
        <v>113</v>
      </c>
      <c r="K50" s="45" t="s">
        <v>120</v>
      </c>
      <c r="L50" s="45" t="s">
        <v>121</v>
      </c>
      <c r="M50" s="45" t="s">
        <v>116</v>
      </c>
      <c r="N50" s="45" t="s">
        <v>45</v>
      </c>
      <c r="O50" s="46">
        <v>8</v>
      </c>
      <c r="P50" s="45" t="s">
        <v>122</v>
      </c>
      <c r="Q50" s="45" t="s">
        <v>123</v>
      </c>
      <c r="R50" s="45" t="s">
        <v>116</v>
      </c>
      <c r="S50" s="45" t="s">
        <v>45</v>
      </c>
      <c r="T50" s="46">
        <v>9</v>
      </c>
      <c r="U50" s="87" t="s">
        <v>168</v>
      </c>
    </row>
    <row r="51" spans="1:21" x14ac:dyDescent="0.3">
      <c r="A51" s="2" t="s">
        <v>97</v>
      </c>
      <c r="B51" s="21">
        <f>+'Carac. Geomorf.'!C30</f>
        <v>5.27</v>
      </c>
      <c r="C51" s="22">
        <f>+'Carac. Geomorf.'!E30</f>
        <v>5270</v>
      </c>
      <c r="E51" s="2" t="s">
        <v>97</v>
      </c>
      <c r="F51" s="21">
        <f>+'Carac. Geomorf.'!C45</f>
        <v>2</v>
      </c>
      <c r="G51" s="22">
        <f>+'Carac. Geomorf.'!E45</f>
        <v>2000</v>
      </c>
      <c r="H51" s="58"/>
      <c r="I51" s="58"/>
      <c r="J51" s="2">
        <v>0</v>
      </c>
      <c r="K51" s="47">
        <f>+$B$24</f>
        <v>0.10389908256880734</v>
      </c>
      <c r="L51" s="48">
        <f>+$B$30</f>
        <v>2.7798182320801516E-5</v>
      </c>
      <c r="M51" s="47">
        <f t="shared" ref="M51:M74" si="24">+IF(J51&lt;$B$25,J51/$B$25,IF(AND(J51&gt;=$B$25,J51&lt;=$B$25+20),1,IF(J51&lt;=$K$49,(1-(J51-($B$25+20))/$B$25),0)))</f>
        <v>0</v>
      </c>
      <c r="N51" s="49">
        <f t="shared" ref="N51:N74" si="25">+M51*$C$21</f>
        <v>0</v>
      </c>
      <c r="O51" s="50">
        <f t="shared" ref="O51:O74" si="26">+K51*L51*N51</f>
        <v>0</v>
      </c>
      <c r="P51" s="47">
        <f>+$F$24</f>
        <v>0.12413793103448276</v>
      </c>
      <c r="Q51" s="48">
        <f>+$F$30</f>
        <v>4.5379442295115552E-5</v>
      </c>
      <c r="R51" s="47">
        <f t="shared" ref="R51:R61" si="27">+IF(J51&lt;$F$25,J51/$F$25,IF(AND(J51&gt;=$F$25,J51&lt;=$F$25+20),1,IF(J51&lt;=$P$49,(1-(J51-($F$25+20))/$F$25),0)))</f>
        <v>0</v>
      </c>
      <c r="S51" s="49">
        <f t="shared" ref="S51:S61" si="28">+R51*$G$21</f>
        <v>0</v>
      </c>
      <c r="T51" s="69">
        <f t="shared" ref="T51:T61" si="29">+P51*Q51*S51</f>
        <v>0</v>
      </c>
      <c r="U51" s="86">
        <f t="shared" ref="U51:U74" si="30">+O51+T51</f>
        <v>0</v>
      </c>
    </row>
    <row r="52" spans="1:21" x14ac:dyDescent="0.3">
      <c r="A52" s="2" t="s">
        <v>98</v>
      </c>
      <c r="B52" s="21">
        <f>+'Carac. Geomorf.'!C31</f>
        <v>6.24</v>
      </c>
      <c r="C52" s="22">
        <f>+'Carac. Geomorf.'!E31</f>
        <v>6240000</v>
      </c>
      <c r="E52" s="2" t="s">
        <v>98</v>
      </c>
      <c r="F52" s="21">
        <f>+'Carac. Geomorf.'!C46</f>
        <v>2.13</v>
      </c>
      <c r="G52" s="22">
        <f>+'Carac. Geomorf.'!E46</f>
        <v>2130000</v>
      </c>
      <c r="H52" s="58"/>
      <c r="I52" s="58"/>
      <c r="J52" s="2">
        <v>5</v>
      </c>
      <c r="K52" s="47">
        <f t="shared" ref="K52:K74" si="31">+$B$24</f>
        <v>0.10389908256880734</v>
      </c>
      <c r="L52" s="48">
        <f t="shared" ref="L52:L74" si="32">+$B$30</f>
        <v>2.7798182320801516E-5</v>
      </c>
      <c r="M52" s="47">
        <f t="shared" si="24"/>
        <v>0.10719502681411183</v>
      </c>
      <c r="N52" s="49">
        <f t="shared" si="25"/>
        <v>11684257.922738189</v>
      </c>
      <c r="O52" s="50">
        <f t="shared" si="26"/>
        <v>33.746539634140881</v>
      </c>
      <c r="P52" s="47">
        <f t="shared" ref="P52:P60" si="33">+$F$24</f>
        <v>0.12413793103448276</v>
      </c>
      <c r="Q52" s="48">
        <f t="shared" ref="Q52:Q61" si="34">+$F$30</f>
        <v>4.5379442295115552E-5</v>
      </c>
      <c r="R52" s="47">
        <f t="shared" si="27"/>
        <v>0.34726751917256365</v>
      </c>
      <c r="S52" s="49">
        <f t="shared" si="28"/>
        <v>8056606.4448034763</v>
      </c>
      <c r="T52" s="69">
        <f t="shared" si="29"/>
        <v>45.38536228010674</v>
      </c>
      <c r="U52" s="72">
        <f t="shared" si="30"/>
        <v>79.131901914247621</v>
      </c>
    </row>
    <row r="53" spans="1:21" x14ac:dyDescent="0.3">
      <c r="A53" s="2" t="s">
        <v>37</v>
      </c>
      <c r="B53" s="25">
        <f>+'Carac. Geomorf.'!C34</f>
        <v>3.6053130929791273</v>
      </c>
      <c r="C53" s="26">
        <f>+'Carac. Geomorf.'!E34</f>
        <v>3.6053130929791274E-2</v>
      </c>
      <c r="E53" s="2" t="s">
        <v>37</v>
      </c>
      <c r="F53" s="25">
        <f>+'Carac. Geomorf.'!C49</f>
        <v>2.65</v>
      </c>
      <c r="G53" s="26">
        <f>+'Carac. Geomorf.'!E49</f>
        <v>2.6499999999999999E-2</v>
      </c>
      <c r="H53" s="60"/>
      <c r="I53" s="60"/>
      <c r="J53" s="2">
        <v>10</v>
      </c>
      <c r="K53" s="47">
        <f t="shared" si="31"/>
        <v>0.10389908256880734</v>
      </c>
      <c r="L53" s="48">
        <f t="shared" si="32"/>
        <v>2.7798182320801516E-5</v>
      </c>
      <c r="M53" s="47">
        <f t="shared" si="24"/>
        <v>0.21439005362822366</v>
      </c>
      <c r="N53" s="49">
        <f t="shared" si="25"/>
        <v>23368515.845476378</v>
      </c>
      <c r="O53" s="50">
        <f t="shared" si="26"/>
        <v>67.493079268281761</v>
      </c>
      <c r="P53" s="47">
        <f t="shared" si="33"/>
        <v>0.12413793103448276</v>
      </c>
      <c r="Q53" s="48">
        <f t="shared" si="34"/>
        <v>4.5379442295115552E-5</v>
      </c>
      <c r="R53" s="47">
        <f t="shared" si="27"/>
        <v>0.69453503834512731</v>
      </c>
      <c r="S53" s="49">
        <f t="shared" si="28"/>
        <v>16113212.889606953</v>
      </c>
      <c r="T53" s="69">
        <f t="shared" si="29"/>
        <v>90.77072456021348</v>
      </c>
      <c r="U53" s="72">
        <f t="shared" si="30"/>
        <v>158.26380382849524</v>
      </c>
    </row>
    <row r="54" spans="1:21" x14ac:dyDescent="0.3">
      <c r="A54" s="2" t="s">
        <v>38</v>
      </c>
      <c r="B54" s="146">
        <f>+'Carac. Geomorf.'!C35</f>
        <v>190</v>
      </c>
      <c r="C54" s="147"/>
      <c r="E54" s="2" t="s">
        <v>38</v>
      </c>
      <c r="F54" s="146">
        <f>+'Carac. Geomorf.'!C50</f>
        <v>53</v>
      </c>
      <c r="G54" s="147"/>
      <c r="H54" s="58"/>
      <c r="I54" s="58"/>
      <c r="J54" s="2">
        <v>15</v>
      </c>
      <c r="K54" s="47">
        <f t="shared" si="31"/>
        <v>0.10389908256880734</v>
      </c>
      <c r="L54" s="48">
        <f t="shared" si="32"/>
        <v>2.7798182320801516E-5</v>
      </c>
      <c r="M54" s="47">
        <f t="shared" si="24"/>
        <v>0.32158508044233552</v>
      </c>
      <c r="N54" s="49">
        <f t="shared" si="25"/>
        <v>35052773.768214568</v>
      </c>
      <c r="O54" s="50">
        <f t="shared" si="26"/>
        <v>101.23961890242263</v>
      </c>
      <c r="P54" s="47">
        <f t="shared" si="33"/>
        <v>0.12413793103448276</v>
      </c>
      <c r="Q54" s="48">
        <f t="shared" si="34"/>
        <v>4.5379442295115552E-5</v>
      </c>
      <c r="R54" s="47">
        <f t="shared" si="27"/>
        <v>1</v>
      </c>
      <c r="S54" s="49">
        <f t="shared" si="28"/>
        <v>23200000</v>
      </c>
      <c r="T54" s="69">
        <f t="shared" si="29"/>
        <v>130.69279380993277</v>
      </c>
      <c r="U54" s="72">
        <f t="shared" si="30"/>
        <v>231.93241271235541</v>
      </c>
    </row>
    <row r="55" spans="1:21" x14ac:dyDescent="0.3">
      <c r="A55" s="2" t="s">
        <v>4</v>
      </c>
      <c r="B55" s="190">
        <f>+'Uso de Suelo'!F27</f>
        <v>0.18894230769230769</v>
      </c>
      <c r="C55" s="142"/>
      <c r="E55" s="2" t="s">
        <v>4</v>
      </c>
      <c r="F55" s="190">
        <f>+'Uso de Suelo'!B41</f>
        <v>0.15868544600938966</v>
      </c>
      <c r="G55" s="142"/>
      <c r="H55" s="61"/>
      <c r="I55" s="61"/>
      <c r="J55" s="2">
        <v>20</v>
      </c>
      <c r="K55" s="47">
        <f t="shared" si="31"/>
        <v>0.10389908256880734</v>
      </c>
      <c r="L55" s="48">
        <f t="shared" si="32"/>
        <v>2.7798182320801516E-5</v>
      </c>
      <c r="M55" s="47">
        <f t="shared" si="24"/>
        <v>0.42878010725644733</v>
      </c>
      <c r="N55" s="49">
        <f t="shared" si="25"/>
        <v>46737031.690952756</v>
      </c>
      <c r="O55" s="50">
        <f t="shared" si="26"/>
        <v>134.98615853656352</v>
      </c>
      <c r="P55" s="47">
        <f t="shared" si="33"/>
        <v>0.12413793103448276</v>
      </c>
      <c r="Q55" s="48">
        <f t="shared" si="34"/>
        <v>4.5379442295115552E-5</v>
      </c>
      <c r="R55" s="47">
        <f t="shared" si="27"/>
        <v>1</v>
      </c>
      <c r="S55" s="49">
        <f t="shared" si="28"/>
        <v>23200000</v>
      </c>
      <c r="T55" s="69">
        <f t="shared" si="29"/>
        <v>130.69279380993277</v>
      </c>
      <c r="U55" s="72">
        <f t="shared" si="30"/>
        <v>265.67895234649632</v>
      </c>
    </row>
    <row r="56" spans="1:21" x14ac:dyDescent="0.3">
      <c r="A56" s="2" t="s">
        <v>40</v>
      </c>
      <c r="B56" s="191">
        <f>+T.C.!D172</f>
        <v>20.7859828115113</v>
      </c>
      <c r="C56" s="192"/>
      <c r="E56" s="2" t="s">
        <v>40</v>
      </c>
      <c r="F56" s="191">
        <f>+T.C.!D173</f>
        <v>16.522097569048782</v>
      </c>
      <c r="G56" s="192"/>
      <c r="H56" s="62"/>
      <c r="I56" s="62"/>
      <c r="J56" s="2">
        <v>25</v>
      </c>
      <c r="K56" s="47">
        <f t="shared" si="31"/>
        <v>0.10389908256880734</v>
      </c>
      <c r="L56" s="48">
        <f t="shared" si="32"/>
        <v>2.7798182320801516E-5</v>
      </c>
      <c r="M56" s="47">
        <f t="shared" si="24"/>
        <v>0.53597513407055919</v>
      </c>
      <c r="N56" s="49">
        <f t="shared" si="25"/>
        <v>58421289.61369095</v>
      </c>
      <c r="O56" s="50">
        <f t="shared" si="26"/>
        <v>168.7326981707044</v>
      </c>
      <c r="P56" s="47">
        <f t="shared" si="33"/>
        <v>0.12413793103448276</v>
      </c>
      <c r="Q56" s="48">
        <f t="shared" si="34"/>
        <v>4.5379442295115552E-5</v>
      </c>
      <c r="R56" s="47">
        <f t="shared" si="27"/>
        <v>1</v>
      </c>
      <c r="S56" s="49">
        <f t="shared" si="28"/>
        <v>23200000</v>
      </c>
      <c r="T56" s="69">
        <f t="shared" si="29"/>
        <v>130.69279380993277</v>
      </c>
      <c r="U56" s="72">
        <f t="shared" si="30"/>
        <v>299.42549198063716</v>
      </c>
    </row>
    <row r="57" spans="1:21" x14ac:dyDescent="0.3">
      <c r="A57" s="2" t="s">
        <v>30</v>
      </c>
      <c r="B57" s="141">
        <f>+$AJ$11</f>
        <v>1315</v>
      </c>
      <c r="C57" s="142"/>
      <c r="E57" s="2" t="s">
        <v>30</v>
      </c>
      <c r="F57" s="141">
        <f>+$AJ$11</f>
        <v>1315</v>
      </c>
      <c r="G57" s="142"/>
      <c r="H57" s="61"/>
      <c r="I57" s="61"/>
      <c r="J57" s="2">
        <v>30</v>
      </c>
      <c r="K57" s="47">
        <f t="shared" si="31"/>
        <v>0.10389908256880734</v>
      </c>
      <c r="L57" s="48">
        <f t="shared" si="32"/>
        <v>2.7798182320801516E-5</v>
      </c>
      <c r="M57" s="47">
        <f t="shared" si="24"/>
        <v>0.64317016088467105</v>
      </c>
      <c r="N57" s="49">
        <f t="shared" si="25"/>
        <v>70105547.536429137</v>
      </c>
      <c r="O57" s="50">
        <f t="shared" si="26"/>
        <v>202.47923780484527</v>
      </c>
      <c r="P57" s="47">
        <f t="shared" si="33"/>
        <v>0.12413793103448276</v>
      </c>
      <c r="Q57" s="48">
        <f t="shared" si="34"/>
        <v>4.5379442295115552E-5</v>
      </c>
      <c r="R57" s="47">
        <f t="shared" si="27"/>
        <v>1</v>
      </c>
      <c r="S57" s="49">
        <f t="shared" si="28"/>
        <v>23200000</v>
      </c>
      <c r="T57" s="69">
        <f t="shared" si="29"/>
        <v>130.69279380993277</v>
      </c>
      <c r="U57" s="72">
        <f t="shared" si="30"/>
        <v>333.17203161477801</v>
      </c>
    </row>
    <row r="58" spans="1:21" x14ac:dyDescent="0.3">
      <c r="A58" s="2" t="s">
        <v>99</v>
      </c>
      <c r="B58" s="190">
        <f>+AK11</f>
        <v>13</v>
      </c>
      <c r="C58" s="142"/>
      <c r="E58" s="2" t="s">
        <v>99</v>
      </c>
      <c r="F58" s="141">
        <f>+$AK$11</f>
        <v>13</v>
      </c>
      <c r="G58" s="142"/>
      <c r="H58" s="61"/>
      <c r="I58" s="61"/>
      <c r="J58" s="2">
        <v>35</v>
      </c>
      <c r="K58" s="47">
        <f t="shared" si="31"/>
        <v>0.10389908256880734</v>
      </c>
      <c r="L58" s="48">
        <f t="shared" si="32"/>
        <v>2.7798182320801516E-5</v>
      </c>
      <c r="M58" s="47">
        <f t="shared" si="24"/>
        <v>0.75036518769878291</v>
      </c>
      <c r="N58" s="49">
        <f t="shared" si="25"/>
        <v>81789805.459167331</v>
      </c>
      <c r="O58" s="50">
        <f t="shared" si="26"/>
        <v>236.22577743898617</v>
      </c>
      <c r="P58" s="47">
        <f t="shared" si="33"/>
        <v>0.12413793103448276</v>
      </c>
      <c r="Q58" s="48">
        <f t="shared" si="34"/>
        <v>4.5379442295115552E-5</v>
      </c>
      <c r="R58" s="47">
        <f t="shared" si="27"/>
        <v>0.95819744248230887</v>
      </c>
      <c r="S58" s="49">
        <f t="shared" si="28"/>
        <v>22230180.665589567</v>
      </c>
      <c r="T58" s="69">
        <f t="shared" si="29"/>
        <v>125.22950077954532</v>
      </c>
      <c r="U58" s="72">
        <f t="shared" si="30"/>
        <v>361.45527821853148</v>
      </c>
    </row>
    <row r="59" spans="1:21" x14ac:dyDescent="0.3">
      <c r="A59" s="2" t="s">
        <v>100</v>
      </c>
      <c r="B59" s="141">
        <f>+$AL$11</f>
        <v>0.63</v>
      </c>
      <c r="C59" s="142"/>
      <c r="E59" s="2" t="s">
        <v>100</v>
      </c>
      <c r="F59" s="141">
        <f>+$AL$11</f>
        <v>0.63</v>
      </c>
      <c r="G59" s="142"/>
      <c r="H59" s="61"/>
      <c r="I59" s="61"/>
      <c r="J59" s="2">
        <v>40</v>
      </c>
      <c r="K59" s="47">
        <f t="shared" si="31"/>
        <v>0.10389908256880734</v>
      </c>
      <c r="L59" s="48">
        <f t="shared" si="32"/>
        <v>2.7798182320801516E-5</v>
      </c>
      <c r="M59" s="47">
        <f t="shared" si="24"/>
        <v>0.85756021451289466</v>
      </c>
      <c r="N59" s="49">
        <f t="shared" si="25"/>
        <v>93474063.381905511</v>
      </c>
      <c r="O59" s="50">
        <f t="shared" si="26"/>
        <v>269.97231707312704</v>
      </c>
      <c r="P59" s="47">
        <f t="shared" si="33"/>
        <v>0.12413793103448276</v>
      </c>
      <c r="Q59" s="48">
        <f t="shared" si="34"/>
        <v>4.5379442295115552E-5</v>
      </c>
      <c r="R59" s="47">
        <f t="shared" si="27"/>
        <v>0.61092992330974516</v>
      </c>
      <c r="S59" s="49">
        <f t="shared" si="28"/>
        <v>14173574.220786087</v>
      </c>
      <c r="T59" s="69">
        <f t="shared" si="29"/>
        <v>79.844138499438571</v>
      </c>
      <c r="U59" s="72">
        <f t="shared" si="30"/>
        <v>349.81645557256559</v>
      </c>
    </row>
    <row r="60" spans="1:21" x14ac:dyDescent="0.3">
      <c r="A60" s="2" t="s">
        <v>42</v>
      </c>
      <c r="B60" s="188">
        <f>+B57/((B58+B56)^B59)</f>
        <v>143.16001065950718</v>
      </c>
      <c r="C60" s="189"/>
      <c r="E60" s="2" t="s">
        <v>42</v>
      </c>
      <c r="F60" s="188">
        <f>+F57/((F58+F56)^F59)</f>
        <v>155.85940348788043</v>
      </c>
      <c r="G60" s="189"/>
      <c r="H60" s="63"/>
      <c r="I60" s="63"/>
      <c r="J60" s="2">
        <v>45</v>
      </c>
      <c r="K60" s="47">
        <f t="shared" si="31"/>
        <v>0.10389908256880734</v>
      </c>
      <c r="L60" s="48">
        <f t="shared" si="32"/>
        <v>2.7798182320801516E-5</v>
      </c>
      <c r="M60" s="47">
        <f t="shared" si="24"/>
        <v>0.96475524132700652</v>
      </c>
      <c r="N60" s="49">
        <f t="shared" si="25"/>
        <v>105158321.30464371</v>
      </c>
      <c r="O60" s="50">
        <f t="shared" si="26"/>
        <v>303.71885670726789</v>
      </c>
      <c r="P60" s="47">
        <f t="shared" si="33"/>
        <v>0.12413793103448276</v>
      </c>
      <c r="Q60" s="48">
        <f t="shared" si="34"/>
        <v>4.5379442295115552E-5</v>
      </c>
      <c r="R60" s="47">
        <f t="shared" si="27"/>
        <v>0.26366240413718156</v>
      </c>
      <c r="S60" s="49">
        <f t="shared" si="28"/>
        <v>6116967.7759826118</v>
      </c>
      <c r="T60" s="69">
        <f t="shared" si="29"/>
        <v>34.458776219331838</v>
      </c>
      <c r="U60" s="72">
        <f t="shared" si="30"/>
        <v>338.1776329265997</v>
      </c>
    </row>
    <row r="61" spans="1:21" ht="16.2" thickBot="1" x14ac:dyDescent="0.35">
      <c r="A61" s="11" t="s">
        <v>42</v>
      </c>
      <c r="B61" s="193">
        <f>+B60*(1/1000)*(1/3600)</f>
        <v>3.9766669627640879E-5</v>
      </c>
      <c r="C61" s="194"/>
      <c r="E61" s="11" t="s">
        <v>42</v>
      </c>
      <c r="F61" s="193">
        <f>+F60*(1/1000)*(1/3600)</f>
        <v>4.3294278746633457E-5</v>
      </c>
      <c r="G61" s="194"/>
      <c r="H61" s="64"/>
      <c r="I61" s="64"/>
      <c r="J61" s="2">
        <v>50</v>
      </c>
      <c r="K61" s="47">
        <f t="shared" si="31"/>
        <v>0.10389908256880734</v>
      </c>
      <c r="L61" s="48">
        <f t="shared" si="32"/>
        <v>2.7798182320801516E-5</v>
      </c>
      <c r="M61" s="47">
        <f t="shared" si="24"/>
        <v>1</v>
      </c>
      <c r="N61" s="49">
        <f t="shared" si="25"/>
        <v>109000000</v>
      </c>
      <c r="O61" s="50">
        <f t="shared" si="26"/>
        <v>314.81441478307715</v>
      </c>
      <c r="P61" s="47">
        <f>+$F$24</f>
        <v>0.12413793103448276</v>
      </c>
      <c r="Q61" s="48">
        <f t="shared" si="34"/>
        <v>4.5379442295115552E-5</v>
      </c>
      <c r="R61" s="47">
        <f t="shared" si="27"/>
        <v>0</v>
      </c>
      <c r="S61" s="49">
        <f t="shared" si="28"/>
        <v>0</v>
      </c>
      <c r="T61" s="69">
        <f t="shared" si="29"/>
        <v>0</v>
      </c>
      <c r="U61" s="72">
        <f t="shared" si="30"/>
        <v>314.81441478307715</v>
      </c>
    </row>
    <row r="62" spans="1:21" ht="16.2" thickBot="1" x14ac:dyDescent="0.35">
      <c r="J62" s="2">
        <v>55</v>
      </c>
      <c r="K62" s="47">
        <f t="shared" si="31"/>
        <v>0.10389908256880734</v>
      </c>
      <c r="L62" s="48">
        <f t="shared" si="32"/>
        <v>2.7798182320801516E-5</v>
      </c>
      <c r="M62" s="47">
        <f t="shared" si="24"/>
        <v>1</v>
      </c>
      <c r="N62" s="49">
        <f t="shared" si="25"/>
        <v>109000000</v>
      </c>
      <c r="O62" s="50">
        <f t="shared" si="26"/>
        <v>314.81441478307715</v>
      </c>
      <c r="P62" s="47"/>
      <c r="Q62" s="48"/>
      <c r="R62" s="47"/>
      <c r="S62" s="49"/>
      <c r="T62" s="69"/>
      <c r="U62" s="72">
        <f t="shared" si="30"/>
        <v>314.81441478307715</v>
      </c>
    </row>
    <row r="63" spans="1:21" ht="18.600000000000001" thickBot="1" x14ac:dyDescent="0.35">
      <c r="A63" s="184" t="s">
        <v>126</v>
      </c>
      <c r="B63" s="185"/>
      <c r="C63" s="185"/>
      <c r="D63" s="185"/>
      <c r="E63" s="185"/>
      <c r="F63" s="185"/>
      <c r="G63" s="186"/>
      <c r="H63" s="56"/>
      <c r="I63" s="56"/>
      <c r="J63" s="2">
        <v>60</v>
      </c>
      <c r="K63" s="47">
        <f t="shared" si="31"/>
        <v>0.10389908256880734</v>
      </c>
      <c r="L63" s="48">
        <f t="shared" si="32"/>
        <v>2.7798182320801516E-5</v>
      </c>
      <c r="M63" s="47">
        <f t="shared" si="24"/>
        <v>1</v>
      </c>
      <c r="N63" s="49">
        <f t="shared" si="25"/>
        <v>109000000</v>
      </c>
      <c r="O63" s="50">
        <f t="shared" si="26"/>
        <v>314.81441478307715</v>
      </c>
      <c r="P63" s="47"/>
      <c r="Q63" s="48"/>
      <c r="R63" s="47"/>
      <c r="S63" s="49"/>
      <c r="T63" s="69"/>
      <c r="U63" s="72">
        <f t="shared" si="30"/>
        <v>314.81441478307715</v>
      </c>
    </row>
    <row r="64" spans="1:21" x14ac:dyDescent="0.3">
      <c r="A64" s="161" t="s">
        <v>13</v>
      </c>
      <c r="B64" s="162"/>
      <c r="C64" s="163"/>
      <c r="E64" s="161" t="s">
        <v>14</v>
      </c>
      <c r="F64" s="162"/>
      <c r="G64" s="163"/>
      <c r="H64" s="57"/>
      <c r="I64" s="57"/>
      <c r="J64" s="2">
        <v>65</v>
      </c>
      <c r="K64" s="47">
        <f t="shared" si="31"/>
        <v>0.10389908256880734</v>
      </c>
      <c r="L64" s="48">
        <f t="shared" si="32"/>
        <v>2.7798182320801516E-5</v>
      </c>
      <c r="M64" s="47">
        <f t="shared" si="24"/>
        <v>1</v>
      </c>
      <c r="N64" s="49">
        <f t="shared" si="25"/>
        <v>109000000</v>
      </c>
      <c r="O64" s="50">
        <f t="shared" si="26"/>
        <v>314.81441478307715</v>
      </c>
      <c r="P64" s="47"/>
      <c r="Q64" s="48"/>
      <c r="R64" s="47"/>
      <c r="S64" s="49"/>
      <c r="T64" s="69"/>
      <c r="U64" s="72">
        <f t="shared" si="30"/>
        <v>314.81441478307715</v>
      </c>
    </row>
    <row r="65" spans="1:23" x14ac:dyDescent="0.3">
      <c r="A65" s="140" t="s">
        <v>34</v>
      </c>
      <c r="B65" s="141"/>
      <c r="C65" s="142"/>
      <c r="E65" s="140" t="s">
        <v>112</v>
      </c>
      <c r="F65" s="141"/>
      <c r="G65" s="142"/>
      <c r="H65" s="61"/>
      <c r="I65" s="61"/>
      <c r="J65" s="2">
        <v>70</v>
      </c>
      <c r="K65" s="47">
        <f t="shared" si="31"/>
        <v>0.10389908256880734</v>
      </c>
      <c r="L65" s="48">
        <f t="shared" si="32"/>
        <v>2.7798182320801516E-5</v>
      </c>
      <c r="M65" s="47">
        <f t="shared" si="24"/>
        <v>0.92804973185888162</v>
      </c>
      <c r="N65" s="49">
        <f t="shared" si="25"/>
        <v>101157420.7726181</v>
      </c>
      <c r="O65" s="50">
        <f t="shared" si="26"/>
        <v>292.16343322474552</v>
      </c>
      <c r="P65" s="47"/>
      <c r="Q65" s="48"/>
      <c r="R65" s="47"/>
      <c r="S65" s="49"/>
      <c r="T65" s="69"/>
      <c r="U65" s="72">
        <f t="shared" si="30"/>
        <v>292.16343322474552</v>
      </c>
    </row>
    <row r="66" spans="1:23" x14ac:dyDescent="0.3">
      <c r="A66" s="2" t="s">
        <v>97</v>
      </c>
      <c r="B66" s="21">
        <f>+'Carac. Geomorf.'!C12</f>
        <v>6.27</v>
      </c>
      <c r="C66" s="22">
        <f>+'Carac. Geomorf.'!E12</f>
        <v>6270</v>
      </c>
      <c r="E66" s="2" t="s">
        <v>97</v>
      </c>
      <c r="F66" s="21">
        <f>+'Carac. Geomorf.'!C21</f>
        <v>0.71</v>
      </c>
      <c r="G66" s="22">
        <f>+'Carac. Geomorf.'!E21</f>
        <v>710</v>
      </c>
      <c r="H66" s="58"/>
      <c r="I66" s="58"/>
      <c r="J66" s="2">
        <v>75</v>
      </c>
      <c r="K66" s="47">
        <f t="shared" si="31"/>
        <v>0.10389908256880734</v>
      </c>
      <c r="L66" s="48">
        <f t="shared" si="32"/>
        <v>2.7798182320801516E-5</v>
      </c>
      <c r="M66" s="47">
        <f t="shared" si="24"/>
        <v>0.82085470504476976</v>
      </c>
      <c r="N66" s="49">
        <f t="shared" si="25"/>
        <v>89473162.849879906</v>
      </c>
      <c r="O66" s="50">
        <f t="shared" si="26"/>
        <v>258.41689359060462</v>
      </c>
      <c r="P66" s="47"/>
      <c r="Q66" s="48"/>
      <c r="R66" s="47"/>
      <c r="S66" s="49"/>
      <c r="T66" s="69"/>
      <c r="U66" s="72">
        <f t="shared" si="30"/>
        <v>258.41689359060462</v>
      </c>
    </row>
    <row r="67" spans="1:23" x14ac:dyDescent="0.3">
      <c r="A67" s="2" t="s">
        <v>98</v>
      </c>
      <c r="B67" s="21">
        <f>+'Carac. Geomorf.'!C13</f>
        <v>8.8699999999999992</v>
      </c>
      <c r="C67" s="22">
        <f>+'Carac. Geomorf.'!E13</f>
        <v>8870000</v>
      </c>
      <c r="E67" s="2" t="s">
        <v>98</v>
      </c>
      <c r="F67" s="23">
        <f>+'Carac. Geomorf.'!C22</f>
        <v>0.5</v>
      </c>
      <c r="G67" s="24">
        <f>+'Carac. Geomorf.'!E22</f>
        <v>500000</v>
      </c>
      <c r="H67" s="59"/>
      <c r="I67" s="59"/>
      <c r="J67" s="2">
        <v>80</v>
      </c>
      <c r="K67" s="47">
        <f t="shared" si="31"/>
        <v>0.10389908256880734</v>
      </c>
      <c r="L67" s="48">
        <f t="shared" si="32"/>
        <v>2.7798182320801516E-5</v>
      </c>
      <c r="M67" s="47">
        <f t="shared" si="24"/>
        <v>0.7136596782306579</v>
      </c>
      <c r="N67" s="49">
        <f t="shared" si="25"/>
        <v>77788904.927141711</v>
      </c>
      <c r="O67" s="50">
        <f t="shared" si="26"/>
        <v>224.67035395646371</v>
      </c>
      <c r="P67" s="47"/>
      <c r="Q67" s="48"/>
      <c r="R67" s="47"/>
      <c r="S67" s="49"/>
      <c r="T67" s="69"/>
      <c r="U67" s="72">
        <f t="shared" si="30"/>
        <v>224.67035395646371</v>
      </c>
    </row>
    <row r="68" spans="1:23" x14ac:dyDescent="0.3">
      <c r="A68" s="2" t="s">
        <v>37</v>
      </c>
      <c r="B68" s="25">
        <f>+'Carac. Geomorf.'!C16</f>
        <v>5.6140350877192979</v>
      </c>
      <c r="C68" s="26">
        <f>+'Carac. Geomorf.'!E16</f>
        <v>5.6140350877192984E-2</v>
      </c>
      <c r="E68" s="2" t="s">
        <v>37</v>
      </c>
      <c r="F68" s="25">
        <f>+'Carac. Geomorf.'!C25</f>
        <v>4.647887323943662</v>
      </c>
      <c r="G68" s="26">
        <f>+'Carac. Geomorf.'!E25</f>
        <v>4.647887323943662E-2</v>
      </c>
      <c r="H68" s="60"/>
      <c r="I68" s="60"/>
      <c r="J68" s="2">
        <v>85</v>
      </c>
      <c r="K68" s="47">
        <f t="shared" si="31"/>
        <v>0.10389908256880734</v>
      </c>
      <c r="L68" s="48">
        <f t="shared" si="32"/>
        <v>2.7798182320801516E-5</v>
      </c>
      <c r="M68" s="47">
        <f t="shared" si="24"/>
        <v>0.60646465141654615</v>
      </c>
      <c r="N68" s="49">
        <f t="shared" si="25"/>
        <v>66104647.004403532</v>
      </c>
      <c r="O68" s="50">
        <f t="shared" si="26"/>
        <v>190.92381432232287</v>
      </c>
      <c r="P68" s="47"/>
      <c r="Q68" s="48"/>
      <c r="R68" s="47"/>
      <c r="S68" s="49"/>
      <c r="T68" s="69"/>
      <c r="U68" s="72">
        <f t="shared" si="30"/>
        <v>190.92381432232287</v>
      </c>
    </row>
    <row r="69" spans="1:23" x14ac:dyDescent="0.3">
      <c r="A69" s="2" t="s">
        <v>38</v>
      </c>
      <c r="B69" s="146">
        <f>+'Carac. Geomorf.'!C16</f>
        <v>5.6140350877192979</v>
      </c>
      <c r="C69" s="147"/>
      <c r="E69" s="2" t="s">
        <v>38</v>
      </c>
      <c r="F69" s="146">
        <f>+'Carac. Geomorf.'!C26</f>
        <v>33</v>
      </c>
      <c r="G69" s="147"/>
      <c r="H69" s="58"/>
      <c r="I69" s="58"/>
      <c r="J69" s="2">
        <v>90</v>
      </c>
      <c r="K69" s="47">
        <f t="shared" si="31"/>
        <v>0.10389908256880734</v>
      </c>
      <c r="L69" s="48">
        <f t="shared" si="32"/>
        <v>2.7798182320801516E-5</v>
      </c>
      <c r="M69" s="47">
        <f t="shared" si="24"/>
        <v>0.49926962460243429</v>
      </c>
      <c r="N69" s="49">
        <f t="shared" si="25"/>
        <v>54420389.081665337</v>
      </c>
      <c r="O69" s="50">
        <f t="shared" si="26"/>
        <v>157.17727468818197</v>
      </c>
      <c r="P69" s="47"/>
      <c r="Q69" s="48"/>
      <c r="R69" s="47"/>
      <c r="S69" s="49"/>
      <c r="T69" s="69"/>
      <c r="U69" s="72">
        <f t="shared" si="30"/>
        <v>157.17727468818197</v>
      </c>
    </row>
    <row r="70" spans="1:23" x14ac:dyDescent="0.3">
      <c r="A70" s="2" t="s">
        <v>4</v>
      </c>
      <c r="B70" s="190">
        <f>+'Uso de Suelo'!F13</f>
        <v>0.17102593010146563</v>
      </c>
      <c r="C70" s="142"/>
      <c r="E70" s="2" t="s">
        <v>4</v>
      </c>
      <c r="F70" s="190">
        <f>+'Uso de Suelo'!B27</f>
        <v>0.13</v>
      </c>
      <c r="G70" s="142"/>
      <c r="H70" s="61"/>
      <c r="I70" s="61"/>
      <c r="J70" s="2">
        <v>95</v>
      </c>
      <c r="K70" s="47">
        <f t="shared" si="31"/>
        <v>0.10389908256880734</v>
      </c>
      <c r="L70" s="48">
        <f t="shared" si="32"/>
        <v>2.7798182320801516E-5</v>
      </c>
      <c r="M70" s="47">
        <f t="shared" si="24"/>
        <v>0.39207459778832243</v>
      </c>
      <c r="N70" s="49">
        <f t="shared" si="25"/>
        <v>42736131.158927143</v>
      </c>
      <c r="O70" s="50">
        <f t="shared" si="26"/>
        <v>123.43073505404108</v>
      </c>
      <c r="P70" s="47"/>
      <c r="Q70" s="48"/>
      <c r="R70" s="47"/>
      <c r="S70" s="49"/>
      <c r="T70" s="69"/>
      <c r="U70" s="72">
        <f t="shared" si="30"/>
        <v>123.43073505404108</v>
      </c>
    </row>
    <row r="71" spans="1:23" x14ac:dyDescent="0.3">
      <c r="A71" s="2" t="s">
        <v>40</v>
      </c>
      <c r="B71" s="191">
        <f>+T.C.!D112</f>
        <v>15.915047603899115</v>
      </c>
      <c r="C71" s="192"/>
      <c r="E71" s="2" t="s">
        <v>40</v>
      </c>
      <c r="F71" s="191">
        <f>+T.C.!D113</f>
        <v>4.5640528603858979</v>
      </c>
      <c r="G71" s="192"/>
      <c r="H71" s="62"/>
      <c r="I71" s="62"/>
      <c r="J71" s="2">
        <v>100</v>
      </c>
      <c r="K71" s="47">
        <f t="shared" si="31"/>
        <v>0.10389908256880734</v>
      </c>
      <c r="L71" s="48">
        <f t="shared" si="32"/>
        <v>2.7798182320801516E-5</v>
      </c>
      <c r="M71" s="47">
        <f t="shared" si="24"/>
        <v>0.28487957097421057</v>
      </c>
      <c r="N71" s="49">
        <f t="shared" si="25"/>
        <v>31051873.236188952</v>
      </c>
      <c r="O71" s="50">
        <f t="shared" si="26"/>
        <v>89.684195419900192</v>
      </c>
      <c r="P71" s="47"/>
      <c r="Q71" s="48"/>
      <c r="R71" s="47"/>
      <c r="S71" s="49"/>
      <c r="T71" s="69"/>
      <c r="U71" s="72">
        <f t="shared" si="30"/>
        <v>89.684195419900192</v>
      </c>
    </row>
    <row r="72" spans="1:23" x14ac:dyDescent="0.3">
      <c r="A72" s="2" t="s">
        <v>30</v>
      </c>
      <c r="B72" s="141">
        <f>+$AJ$11</f>
        <v>1315</v>
      </c>
      <c r="C72" s="142"/>
      <c r="E72" s="2" t="s">
        <v>30</v>
      </c>
      <c r="F72" s="141">
        <f>+$AJ$11</f>
        <v>1315</v>
      </c>
      <c r="G72" s="142"/>
      <c r="H72" s="61"/>
      <c r="I72" s="61"/>
      <c r="J72" s="2">
        <v>105</v>
      </c>
      <c r="K72" s="47">
        <f t="shared" si="31"/>
        <v>0.10389908256880734</v>
      </c>
      <c r="L72" s="48">
        <f t="shared" si="32"/>
        <v>2.7798182320801516E-5</v>
      </c>
      <c r="M72" s="47">
        <f t="shared" si="24"/>
        <v>0.17768454416009871</v>
      </c>
      <c r="N72" s="49">
        <f t="shared" si="25"/>
        <v>19367615.313450761</v>
      </c>
      <c r="O72" s="50">
        <f t="shared" si="26"/>
        <v>55.937655785759311</v>
      </c>
      <c r="P72" s="47"/>
      <c r="Q72" s="48"/>
      <c r="R72" s="47"/>
      <c r="S72" s="49"/>
      <c r="T72" s="69"/>
      <c r="U72" s="72">
        <f t="shared" si="30"/>
        <v>55.937655785759311</v>
      </c>
    </row>
    <row r="73" spans="1:23" x14ac:dyDescent="0.3">
      <c r="A73" s="2" t="s">
        <v>99</v>
      </c>
      <c r="B73" s="141">
        <f>+$AK$11</f>
        <v>13</v>
      </c>
      <c r="C73" s="142"/>
      <c r="E73" s="2" t="s">
        <v>99</v>
      </c>
      <c r="F73" s="141">
        <f>+$AK$11</f>
        <v>13</v>
      </c>
      <c r="G73" s="142"/>
      <c r="H73" s="61"/>
      <c r="I73" s="61"/>
      <c r="J73" s="2">
        <v>110</v>
      </c>
      <c r="K73" s="47">
        <f t="shared" si="31"/>
        <v>0.10389908256880734</v>
      </c>
      <c r="L73" s="48">
        <f t="shared" si="32"/>
        <v>2.7798182320801516E-5</v>
      </c>
      <c r="M73" s="47">
        <f t="shared" si="24"/>
        <v>7.0489517345986852E-2</v>
      </c>
      <c r="N73" s="49">
        <f t="shared" si="25"/>
        <v>7683357.3907125667</v>
      </c>
      <c r="O73" s="50">
        <f t="shared" si="26"/>
        <v>22.191116151618417</v>
      </c>
      <c r="P73" s="47"/>
      <c r="Q73" s="48"/>
      <c r="R73" s="47"/>
      <c r="S73" s="49"/>
      <c r="T73" s="69"/>
      <c r="U73" s="72">
        <f t="shared" si="30"/>
        <v>22.191116151618417</v>
      </c>
    </row>
    <row r="74" spans="1:23" x14ac:dyDescent="0.3">
      <c r="A74" s="2" t="s">
        <v>100</v>
      </c>
      <c r="B74" s="141">
        <f>+$AL$11</f>
        <v>0.63</v>
      </c>
      <c r="C74" s="142"/>
      <c r="E74" s="2" t="s">
        <v>100</v>
      </c>
      <c r="F74" s="141">
        <f>+$AL$11</f>
        <v>0.63</v>
      </c>
      <c r="G74" s="142"/>
      <c r="H74" s="61"/>
      <c r="I74" s="61"/>
      <c r="J74" s="2">
        <v>115</v>
      </c>
      <c r="K74" s="47">
        <f t="shared" si="31"/>
        <v>0.10389908256880734</v>
      </c>
      <c r="L74" s="48">
        <f t="shared" si="32"/>
        <v>2.7798182320801516E-5</v>
      </c>
      <c r="M74" s="47">
        <f t="shared" si="24"/>
        <v>0</v>
      </c>
      <c r="N74" s="49">
        <f t="shared" si="25"/>
        <v>0</v>
      </c>
      <c r="O74" s="50">
        <f t="shared" si="26"/>
        <v>0</v>
      </c>
      <c r="P74" s="47"/>
      <c r="Q74" s="48"/>
      <c r="R74" s="47"/>
      <c r="S74" s="49"/>
      <c r="T74" s="69"/>
      <c r="U74" s="72">
        <f t="shared" si="30"/>
        <v>0</v>
      </c>
    </row>
    <row r="75" spans="1:23" x14ac:dyDescent="0.3">
      <c r="A75" s="2" t="s">
        <v>42</v>
      </c>
      <c r="B75" s="188">
        <f>+B72/((B73+B71)^B74)</f>
        <v>157.91292881962326</v>
      </c>
      <c r="C75" s="189"/>
      <c r="E75" s="2" t="s">
        <v>42</v>
      </c>
      <c r="F75" s="188">
        <f>+F72/((F73+F71)^F74)</f>
        <v>216.17833593625133</v>
      </c>
      <c r="G75" s="189"/>
      <c r="H75" s="63"/>
      <c r="I75" s="63"/>
      <c r="J75" s="2">
        <v>120</v>
      </c>
      <c r="K75" s="47"/>
      <c r="L75" s="48"/>
      <c r="M75" s="47"/>
      <c r="N75" s="49"/>
      <c r="O75" s="50"/>
      <c r="P75" s="47"/>
      <c r="Q75" s="48"/>
      <c r="R75" s="47"/>
      <c r="S75" s="49"/>
      <c r="T75" s="69"/>
      <c r="U75" s="72"/>
    </row>
    <row r="76" spans="1:23" ht="16.2" thickBot="1" x14ac:dyDescent="0.35">
      <c r="A76" s="11" t="s">
        <v>42</v>
      </c>
      <c r="B76" s="193">
        <f>+B75*(1/1000)*(1/3600)</f>
        <v>4.3864702449895349E-5</v>
      </c>
      <c r="C76" s="194"/>
      <c r="E76" s="11" t="s">
        <v>42</v>
      </c>
      <c r="F76" s="193">
        <f>+F75*(1/1000)*(1/3600)</f>
        <v>6.0049537760069812E-5</v>
      </c>
      <c r="G76" s="194"/>
      <c r="H76" s="64"/>
      <c r="I76" s="64"/>
      <c r="J76" s="11">
        <v>125</v>
      </c>
      <c r="K76" s="52"/>
      <c r="L76" s="53"/>
      <c r="M76" s="52"/>
      <c r="N76" s="54"/>
      <c r="O76" s="55"/>
      <c r="P76" s="52"/>
      <c r="Q76" s="53"/>
      <c r="R76" s="52"/>
      <c r="S76" s="54"/>
      <c r="T76" s="70"/>
      <c r="U76" s="73"/>
    </row>
    <row r="77" spans="1:23" x14ac:dyDescent="0.3">
      <c r="J77" s="8"/>
      <c r="K77" s="13"/>
      <c r="L77" s="67"/>
      <c r="M77" s="13"/>
      <c r="N77" s="74"/>
      <c r="O77" s="8"/>
      <c r="P77" s="13"/>
      <c r="Q77" s="67"/>
      <c r="R77" s="13"/>
      <c r="S77" s="74"/>
      <c r="T77" s="75"/>
      <c r="U77" s="75"/>
    </row>
    <row r="78" spans="1:23" ht="16.2" thickBot="1" x14ac:dyDescent="0.35">
      <c r="J78" s="8"/>
      <c r="K78" s="8"/>
      <c r="L78" s="8"/>
      <c r="M78" s="8"/>
      <c r="N78" s="8"/>
      <c r="O78" s="8"/>
      <c r="P78" s="13"/>
      <c r="Q78" s="67"/>
      <c r="R78" s="13"/>
      <c r="S78" s="74"/>
      <c r="T78" s="75"/>
      <c r="U78" s="75"/>
    </row>
    <row r="79" spans="1:23" ht="18.600000000000001" thickBot="1" x14ac:dyDescent="0.35">
      <c r="J79" s="184" t="s">
        <v>124</v>
      </c>
      <c r="K79" s="185"/>
      <c r="L79" s="185"/>
      <c r="M79" s="185"/>
      <c r="N79" s="185"/>
      <c r="O79" s="185"/>
      <c r="P79" s="185"/>
      <c r="Q79" s="185"/>
      <c r="R79" s="185"/>
      <c r="S79" s="185"/>
      <c r="T79" s="185"/>
      <c r="U79" s="185"/>
      <c r="V79" s="185"/>
      <c r="W79" s="186"/>
    </row>
    <row r="80" spans="1:23" x14ac:dyDescent="0.3">
      <c r="J80" s="161" t="s">
        <v>17</v>
      </c>
      <c r="K80" s="162"/>
      <c r="L80" s="163"/>
      <c r="M80" s="20"/>
      <c r="P80" s="161" t="s">
        <v>18</v>
      </c>
      <c r="Q80" s="162"/>
      <c r="R80" s="163"/>
      <c r="T80" s="75"/>
      <c r="U80" s="75"/>
    </row>
    <row r="81" spans="10:24" x14ac:dyDescent="0.3">
      <c r="J81" s="140" t="s">
        <v>34</v>
      </c>
      <c r="K81" s="141"/>
      <c r="L81" s="142"/>
      <c r="M81" s="20"/>
      <c r="P81" s="140" t="s">
        <v>112</v>
      </c>
      <c r="Q81" s="141"/>
      <c r="R81" s="142"/>
      <c r="T81" s="75"/>
      <c r="U81" s="75"/>
    </row>
    <row r="82" spans="10:24" x14ac:dyDescent="0.3">
      <c r="J82" s="2" t="s">
        <v>97</v>
      </c>
      <c r="K82" s="111">
        <f>+B35</f>
        <v>5.75</v>
      </c>
      <c r="L82" s="110">
        <f>+C35</f>
        <v>5750</v>
      </c>
      <c r="M82" s="20"/>
      <c r="P82" s="2" t="s">
        <v>97</v>
      </c>
      <c r="Q82" s="111">
        <f>+F35</f>
        <v>13.2</v>
      </c>
      <c r="R82" s="110">
        <f>+G35</f>
        <v>13200</v>
      </c>
      <c r="T82" s="75"/>
      <c r="U82" s="75"/>
    </row>
    <row r="83" spans="10:24" x14ac:dyDescent="0.3">
      <c r="J83" s="2" t="s">
        <v>98</v>
      </c>
      <c r="K83" s="107">
        <f t="shared" ref="K83:L83" si="35">+B36</f>
        <v>13.6</v>
      </c>
      <c r="L83" s="109">
        <f t="shared" si="35"/>
        <v>13600000</v>
      </c>
      <c r="M83" s="20"/>
      <c r="P83" s="2" t="s">
        <v>98</v>
      </c>
      <c r="Q83" s="107">
        <f t="shared" ref="Q83:R83" si="36">+F36</f>
        <v>30.6</v>
      </c>
      <c r="R83" s="109">
        <f t="shared" si="36"/>
        <v>30600000</v>
      </c>
      <c r="T83" s="75"/>
      <c r="U83" s="75"/>
    </row>
    <row r="84" spans="10:24" x14ac:dyDescent="0.3">
      <c r="J84" s="2" t="s">
        <v>37</v>
      </c>
      <c r="K84" s="103">
        <f t="shared" ref="K84:L84" si="37">+B37</f>
        <v>9.7391304347826093</v>
      </c>
      <c r="L84" s="104">
        <f t="shared" si="37"/>
        <v>9.7391304347826085E-2</v>
      </c>
      <c r="M84" s="20"/>
      <c r="P84" s="2" t="s">
        <v>37</v>
      </c>
      <c r="Q84" s="103">
        <f t="shared" ref="Q84:R84" si="38">+F37</f>
        <v>6.1439393939393936</v>
      </c>
      <c r="R84" s="104">
        <f t="shared" si="38"/>
        <v>6.143939393939394E-2</v>
      </c>
      <c r="T84" s="75"/>
      <c r="U84" s="75"/>
    </row>
    <row r="85" spans="10:24" x14ac:dyDescent="0.3">
      <c r="J85" s="2" t="s">
        <v>38</v>
      </c>
      <c r="K85" s="146">
        <f>+B38</f>
        <v>560</v>
      </c>
      <c r="L85" s="147"/>
      <c r="M85" s="20"/>
      <c r="P85" s="2" t="s">
        <v>38</v>
      </c>
      <c r="Q85" s="146">
        <f>+F38</f>
        <v>811</v>
      </c>
      <c r="R85" s="147"/>
    </row>
    <row r="86" spans="10:24" x14ac:dyDescent="0.3">
      <c r="J86" s="2" t="s">
        <v>4</v>
      </c>
      <c r="K86" s="190">
        <f t="shared" ref="K86:K91" si="39">+B39</f>
        <v>0.12352941176470589</v>
      </c>
      <c r="L86" s="142"/>
      <c r="M86" s="20"/>
      <c r="P86" s="2" t="s">
        <v>4</v>
      </c>
      <c r="Q86" s="190">
        <f t="shared" ref="Q86:Q91" si="40">+F39</f>
        <v>0.11633986928104577</v>
      </c>
      <c r="R86" s="142"/>
    </row>
    <row r="87" spans="10:24" x14ac:dyDescent="0.3">
      <c r="J87" s="2" t="s">
        <v>40</v>
      </c>
      <c r="K87" s="191">
        <f t="shared" si="39"/>
        <v>11.359795849164449</v>
      </c>
      <c r="L87" s="192"/>
      <c r="M87" s="20"/>
      <c r="P87" s="2" t="s">
        <v>40</v>
      </c>
      <c r="Q87" s="191">
        <f t="shared" si="40"/>
        <v>27.010650592512828</v>
      </c>
      <c r="R87" s="192"/>
    </row>
    <row r="88" spans="10:24" x14ac:dyDescent="0.3">
      <c r="J88" s="2" t="s">
        <v>30</v>
      </c>
      <c r="K88" s="141">
        <f t="shared" si="39"/>
        <v>1315</v>
      </c>
      <c r="L88" s="142"/>
      <c r="M88" s="20"/>
      <c r="P88" s="2" t="s">
        <v>30</v>
      </c>
      <c r="Q88" s="141">
        <f t="shared" si="40"/>
        <v>1315</v>
      </c>
      <c r="R88" s="142"/>
    </row>
    <row r="89" spans="10:24" x14ac:dyDescent="0.3">
      <c r="J89" s="2" t="s">
        <v>99</v>
      </c>
      <c r="K89" s="141">
        <f t="shared" si="39"/>
        <v>13</v>
      </c>
      <c r="L89" s="142"/>
      <c r="M89" s="20"/>
      <c r="P89" s="2" t="s">
        <v>99</v>
      </c>
      <c r="Q89" s="141">
        <f t="shared" si="40"/>
        <v>13</v>
      </c>
      <c r="R89" s="142"/>
    </row>
    <row r="90" spans="10:24" x14ac:dyDescent="0.3">
      <c r="J90" s="2" t="s">
        <v>100</v>
      </c>
      <c r="K90" s="141">
        <f t="shared" si="39"/>
        <v>0.63</v>
      </c>
      <c r="L90" s="142"/>
      <c r="M90" s="20"/>
      <c r="P90" s="2" t="s">
        <v>100</v>
      </c>
      <c r="Q90" s="141">
        <f t="shared" si="40"/>
        <v>0.63</v>
      </c>
      <c r="R90" s="142"/>
    </row>
    <row r="91" spans="10:24" x14ac:dyDescent="0.3">
      <c r="J91" s="2" t="s">
        <v>42</v>
      </c>
      <c r="K91" s="188">
        <f t="shared" si="39"/>
        <v>175.92248737864753</v>
      </c>
      <c r="L91" s="189"/>
      <c r="M91" s="20"/>
      <c r="P91" s="2" t="s">
        <v>42</v>
      </c>
      <c r="Q91" s="188">
        <f t="shared" si="40"/>
        <v>128.69305674694448</v>
      </c>
      <c r="R91" s="189"/>
    </row>
    <row r="92" spans="10:24" ht="16.2" thickBot="1" x14ac:dyDescent="0.35">
      <c r="J92" s="16" t="s">
        <v>42</v>
      </c>
      <c r="K92" s="193">
        <f>+K91*(1/1000)*(1/3600)</f>
        <v>4.8867357605179875E-5</v>
      </c>
      <c r="L92" s="194"/>
      <c r="M92" s="20"/>
      <c r="P92" s="16" t="s">
        <v>42</v>
      </c>
      <c r="Q92" s="193">
        <f>+Q91*(1/1000)*(1/3600)</f>
        <v>3.5748071318595686E-5</v>
      </c>
      <c r="R92" s="194"/>
    </row>
    <row r="93" spans="10:24" ht="18.600000000000001" thickBot="1" x14ac:dyDescent="0.35">
      <c r="J93" s="184" t="str">
        <f>+A32</f>
        <v>Estudio de caudales en Punto C</v>
      </c>
      <c r="K93" s="185"/>
      <c r="L93" s="185"/>
      <c r="M93" s="185"/>
      <c r="N93" s="185"/>
      <c r="O93" s="185"/>
      <c r="P93" s="185"/>
      <c r="Q93" s="185"/>
      <c r="R93" s="185"/>
      <c r="S93" s="185"/>
      <c r="T93" s="185"/>
      <c r="U93" s="186"/>
    </row>
    <row r="94" spans="10:24" x14ac:dyDescent="0.3">
      <c r="K94" s="161" t="str">
        <f>+CONCATENATE("Tiempo total de lluvia en ",A33)</f>
        <v>Tiempo total de lluvia en Cuenca 6</v>
      </c>
      <c r="L94" s="162"/>
      <c r="M94" s="163"/>
      <c r="P94" s="161" t="str">
        <f>+CONCATENATE("Tiempo total de lluvia en ",E33)</f>
        <v>Tiempo total de lluvia en Cuenca 7</v>
      </c>
      <c r="Q94" s="162"/>
      <c r="R94" s="163"/>
    </row>
    <row r="95" spans="10:24" ht="16.2" thickBot="1" x14ac:dyDescent="0.35">
      <c r="K95" s="204">
        <f>+B40+20+B40</f>
        <v>42.719591698328898</v>
      </c>
      <c r="L95" s="205"/>
      <c r="M95" s="206"/>
      <c r="P95" s="204">
        <f>+F40+20+F40</f>
        <v>74.021301185025663</v>
      </c>
      <c r="Q95" s="205"/>
      <c r="R95" s="206"/>
    </row>
    <row r="96" spans="10:24" x14ac:dyDescent="0.3">
      <c r="J96" s="44" t="s">
        <v>113</v>
      </c>
      <c r="K96" s="45" t="s">
        <v>127</v>
      </c>
      <c r="L96" s="45" t="s">
        <v>128</v>
      </c>
      <c r="M96" s="45" t="s">
        <v>116</v>
      </c>
      <c r="N96" s="45" t="s">
        <v>45</v>
      </c>
      <c r="O96" s="46">
        <v>6</v>
      </c>
      <c r="P96" s="45" t="s">
        <v>129</v>
      </c>
      <c r="Q96" s="45" t="s">
        <v>130</v>
      </c>
      <c r="R96" s="45" t="s">
        <v>116</v>
      </c>
      <c r="S96" s="45" t="s">
        <v>45</v>
      </c>
      <c r="T96" s="46">
        <v>7</v>
      </c>
      <c r="U96" s="45" t="s">
        <v>166</v>
      </c>
      <c r="V96" s="97" t="str">
        <f>+U19</f>
        <v>QE cuenca</v>
      </c>
      <c r="W96" s="71" t="s">
        <v>165</v>
      </c>
      <c r="X96" s="30"/>
    </row>
    <row r="97" spans="10:24" x14ac:dyDescent="0.3">
      <c r="J97" s="2">
        <v>0</v>
      </c>
      <c r="K97" s="51">
        <f>+$B$39</f>
        <v>0.12352941176470589</v>
      </c>
      <c r="L97" s="48">
        <f>+$B$45</f>
        <v>4.8867357605179875E-5</v>
      </c>
      <c r="M97" s="51">
        <f>+IF(J97&lt;$B$40,J97/$B$40,IF(AND(J97&gt;=$B$40,J97&lt;=$B$40+20),1,IF(J97&lt;=$K$95,(1-(J97-($B$40+20))/$B$40),0)))</f>
        <v>0</v>
      </c>
      <c r="N97" s="49">
        <f>+M97*$C$36</f>
        <v>0</v>
      </c>
      <c r="O97" s="50">
        <f>+K97*L97*N97</f>
        <v>0</v>
      </c>
      <c r="P97" s="51">
        <f>+$F$39</f>
        <v>0.11633986928104577</v>
      </c>
      <c r="Q97" s="48">
        <f>+$F$45</f>
        <v>3.5748071318595686E-5</v>
      </c>
      <c r="R97" s="51">
        <f>+IF(J97&lt;$F$40,J97/$F$40,IF(AND(J97&gt;=$F$40,J97&lt;=$F$40+20),1,IF(J97&lt;=$P$95,(1-(J97-($F$40+20))/$F$40),0)))</f>
        <v>0</v>
      </c>
      <c r="S97" s="49">
        <f>+R97*$G$36</f>
        <v>0</v>
      </c>
      <c r="T97" s="50">
        <f>+P97*Q97*S97</f>
        <v>0</v>
      </c>
      <c r="U97" s="50">
        <f t="shared" ref="U97:U117" si="41">+O97+T97</f>
        <v>0</v>
      </c>
      <c r="V97" s="98"/>
      <c r="W97" s="72">
        <f>+U97+V97</f>
        <v>0</v>
      </c>
      <c r="X97" s="75"/>
    </row>
    <row r="98" spans="10:24" x14ac:dyDescent="0.3">
      <c r="J98" s="2">
        <v>5</v>
      </c>
      <c r="K98" s="51">
        <f t="shared" ref="K98:K106" si="42">+$B$39</f>
        <v>0.12352941176470589</v>
      </c>
      <c r="L98" s="48">
        <f t="shared" ref="L98:L106" si="43">+$B$45</f>
        <v>4.8867357605179875E-5</v>
      </c>
      <c r="M98" s="51">
        <f t="shared" ref="M98:M106" si="44">+IF(J98&lt;$B$40,J98/$B$40,IF(AND(J98&gt;=$B$40,J98&lt;=$B$40+20),1,IF(J98&lt;=$K$95,(1-(J98-($B$40+20))/$B$40),0)))</f>
        <v>0.44014875499437489</v>
      </c>
      <c r="N98" s="49">
        <f t="shared" ref="N98:N106" si="45">+M98*$C$36</f>
        <v>5986023.0679234983</v>
      </c>
      <c r="O98" s="50">
        <f t="shared" ref="O98:O106" si="46">+K98*L98*N98</f>
        <v>36.134963104438498</v>
      </c>
      <c r="P98" s="51">
        <f t="shared" ref="P98:P117" si="47">+$F$39</f>
        <v>0.11633986928104577</v>
      </c>
      <c r="Q98" s="48">
        <f t="shared" ref="Q98:Q117" si="48">+$F$45</f>
        <v>3.5748071318595686E-5</v>
      </c>
      <c r="R98" s="51">
        <f t="shared" ref="R98:R109" si="49">+IF(J98&lt;$F$40,J98/$F$40,IF(AND(J98&gt;=$F$40,J98&lt;=$F$40+20),1,IF(J98&lt;=$P$95,(1-(J98-($F$40+20))/$F$40),0)))</f>
        <v>0.18511216465796521</v>
      </c>
      <c r="S98" s="49">
        <f t="shared" ref="S98:S109" si="50">+R98*$G$36</f>
        <v>5664432.2385337353</v>
      </c>
      <c r="T98" s="50">
        <f t="shared" ref="T98:T109" si="51">+P98*Q98*S98</f>
        <v>23.557954196311943</v>
      </c>
      <c r="U98" s="50">
        <f t="shared" si="41"/>
        <v>59.692917300750437</v>
      </c>
      <c r="V98" s="98"/>
      <c r="W98" s="72">
        <f t="shared" ref="W98:W123" si="52">+U98+V98</f>
        <v>59.692917300750437</v>
      </c>
      <c r="X98" s="75"/>
    </row>
    <row r="99" spans="10:24" x14ac:dyDescent="0.3">
      <c r="J99" s="2">
        <v>10</v>
      </c>
      <c r="K99" s="51">
        <f t="shared" si="42"/>
        <v>0.12352941176470589</v>
      </c>
      <c r="L99" s="48">
        <f t="shared" si="43"/>
        <v>4.8867357605179875E-5</v>
      </c>
      <c r="M99" s="51">
        <f t="shared" si="44"/>
        <v>0.88029750998874978</v>
      </c>
      <c r="N99" s="49">
        <f t="shared" si="45"/>
        <v>11972046.135846997</v>
      </c>
      <c r="O99" s="50">
        <f t="shared" si="46"/>
        <v>72.269926208876996</v>
      </c>
      <c r="P99" s="51">
        <f t="shared" si="47"/>
        <v>0.11633986928104577</v>
      </c>
      <c r="Q99" s="48">
        <f t="shared" si="48"/>
        <v>3.5748071318595686E-5</v>
      </c>
      <c r="R99" s="51">
        <f t="shared" si="49"/>
        <v>0.37022432931593041</v>
      </c>
      <c r="S99" s="49">
        <f t="shared" si="50"/>
        <v>11328864.477067471</v>
      </c>
      <c r="T99" s="50">
        <f t="shared" si="51"/>
        <v>47.115908392623886</v>
      </c>
      <c r="U99" s="50">
        <f t="shared" si="41"/>
        <v>119.38583460150087</v>
      </c>
      <c r="V99" s="98"/>
      <c r="W99" s="72">
        <f t="shared" si="52"/>
        <v>119.38583460150087</v>
      </c>
      <c r="X99" s="75"/>
    </row>
    <row r="100" spans="10:24" x14ac:dyDescent="0.3">
      <c r="J100" s="2">
        <v>15</v>
      </c>
      <c r="K100" s="51">
        <f t="shared" si="42"/>
        <v>0.12352941176470589</v>
      </c>
      <c r="L100" s="48">
        <f t="shared" si="43"/>
        <v>4.8867357605179875E-5</v>
      </c>
      <c r="M100" s="51">
        <f t="shared" si="44"/>
        <v>1</v>
      </c>
      <c r="N100" s="49">
        <f t="shared" si="45"/>
        <v>13600000</v>
      </c>
      <c r="O100" s="50">
        <f t="shared" si="46"/>
        <v>82.097160776702196</v>
      </c>
      <c r="P100" s="51">
        <f t="shared" si="47"/>
        <v>0.11633986928104577</v>
      </c>
      <c r="Q100" s="48">
        <f t="shared" si="48"/>
        <v>3.5748071318595686E-5</v>
      </c>
      <c r="R100" s="51">
        <f t="shared" si="49"/>
        <v>0.55533649397389562</v>
      </c>
      <c r="S100" s="49">
        <f t="shared" si="50"/>
        <v>16993296.715601206</v>
      </c>
      <c r="T100" s="50">
        <f t="shared" si="51"/>
        <v>70.673862588935833</v>
      </c>
      <c r="U100" s="50">
        <f t="shared" si="41"/>
        <v>152.77102336563803</v>
      </c>
      <c r="V100" s="98"/>
      <c r="W100" s="72">
        <f t="shared" si="52"/>
        <v>152.77102336563803</v>
      </c>
      <c r="X100" s="75"/>
    </row>
    <row r="101" spans="10:24" x14ac:dyDescent="0.3">
      <c r="J101" s="2">
        <v>20</v>
      </c>
      <c r="K101" s="51">
        <f t="shared" si="42"/>
        <v>0.12352941176470589</v>
      </c>
      <c r="L101" s="48">
        <f t="shared" si="43"/>
        <v>4.8867357605179875E-5</v>
      </c>
      <c r="M101" s="51">
        <f t="shared" si="44"/>
        <v>1</v>
      </c>
      <c r="N101" s="49">
        <f t="shared" si="45"/>
        <v>13600000</v>
      </c>
      <c r="O101" s="50">
        <f t="shared" si="46"/>
        <v>82.097160776702196</v>
      </c>
      <c r="P101" s="51">
        <f t="shared" si="47"/>
        <v>0.11633986928104577</v>
      </c>
      <c r="Q101" s="48">
        <f t="shared" si="48"/>
        <v>3.5748071318595686E-5</v>
      </c>
      <c r="R101" s="51">
        <f t="shared" si="49"/>
        <v>0.74044865863186082</v>
      </c>
      <c r="S101" s="49">
        <f t="shared" si="50"/>
        <v>22657728.954134941</v>
      </c>
      <c r="T101" s="50">
        <f t="shared" si="51"/>
        <v>94.231816785247773</v>
      </c>
      <c r="U101" s="50">
        <f t="shared" si="41"/>
        <v>176.32897756194996</v>
      </c>
      <c r="V101" s="98"/>
      <c r="W101" s="72">
        <f t="shared" si="52"/>
        <v>176.32897756194996</v>
      </c>
      <c r="X101" s="75"/>
    </row>
    <row r="102" spans="10:24" x14ac:dyDescent="0.3">
      <c r="J102" s="2">
        <v>25</v>
      </c>
      <c r="K102" s="51">
        <f t="shared" si="42"/>
        <v>0.12352941176470589</v>
      </c>
      <c r="L102" s="48">
        <f t="shared" si="43"/>
        <v>4.8867357605179875E-5</v>
      </c>
      <c r="M102" s="51">
        <f t="shared" si="44"/>
        <v>1</v>
      </c>
      <c r="N102" s="49">
        <f t="shared" si="45"/>
        <v>13600000</v>
      </c>
      <c r="O102" s="50">
        <f t="shared" si="46"/>
        <v>82.097160776702196</v>
      </c>
      <c r="P102" s="51">
        <f t="shared" si="47"/>
        <v>0.11633986928104577</v>
      </c>
      <c r="Q102" s="48">
        <f t="shared" si="48"/>
        <v>3.5748071318595686E-5</v>
      </c>
      <c r="R102" s="51">
        <f t="shared" si="49"/>
        <v>0.92556082328982603</v>
      </c>
      <c r="S102" s="49">
        <f t="shared" si="50"/>
        <v>28322161.192668676</v>
      </c>
      <c r="T102" s="50">
        <f t="shared" si="51"/>
        <v>117.78977098155971</v>
      </c>
      <c r="U102" s="50">
        <f t="shared" si="41"/>
        <v>199.88693175826191</v>
      </c>
      <c r="V102" s="98"/>
      <c r="W102" s="72">
        <f t="shared" si="52"/>
        <v>199.88693175826191</v>
      </c>
      <c r="X102" s="75"/>
    </row>
    <row r="103" spans="10:24" x14ac:dyDescent="0.3">
      <c r="J103" s="2">
        <v>30</v>
      </c>
      <c r="K103" s="51">
        <f t="shared" si="42"/>
        <v>0.12352941176470589</v>
      </c>
      <c r="L103" s="48">
        <f t="shared" si="43"/>
        <v>4.8867357605179875E-5</v>
      </c>
      <c r="M103" s="51">
        <f t="shared" si="44"/>
        <v>1</v>
      </c>
      <c r="N103" s="49">
        <f t="shared" si="45"/>
        <v>13600000</v>
      </c>
      <c r="O103" s="50">
        <f t="shared" si="46"/>
        <v>82.097160776702196</v>
      </c>
      <c r="P103" s="51">
        <f t="shared" si="47"/>
        <v>0.11633986928104577</v>
      </c>
      <c r="Q103" s="48">
        <f t="shared" si="48"/>
        <v>3.5748071318595686E-5</v>
      </c>
      <c r="R103" s="51">
        <f t="shared" si="49"/>
        <v>1</v>
      </c>
      <c r="S103" s="49">
        <f t="shared" si="50"/>
        <v>30600000</v>
      </c>
      <c r="T103" s="50">
        <f t="shared" si="51"/>
        <v>127.26313389420065</v>
      </c>
      <c r="U103" s="50">
        <f t="shared" si="41"/>
        <v>209.36029467090285</v>
      </c>
      <c r="V103" s="98"/>
      <c r="W103" s="72">
        <f t="shared" si="52"/>
        <v>209.36029467090285</v>
      </c>
      <c r="X103" s="75"/>
    </row>
    <row r="104" spans="10:24" x14ac:dyDescent="0.3">
      <c r="J104" s="2">
        <v>35</v>
      </c>
      <c r="K104" s="51">
        <f t="shared" si="42"/>
        <v>0.12352941176470589</v>
      </c>
      <c r="L104" s="48">
        <f t="shared" si="43"/>
        <v>4.8867357605179875E-5</v>
      </c>
      <c r="M104" s="51">
        <f t="shared" si="44"/>
        <v>0.67955373501687533</v>
      </c>
      <c r="N104" s="49">
        <f t="shared" si="45"/>
        <v>9241930.796229504</v>
      </c>
      <c r="O104" s="50">
        <f t="shared" si="46"/>
        <v>55.789432240088892</v>
      </c>
      <c r="P104" s="51">
        <f t="shared" si="47"/>
        <v>0.11633986928104577</v>
      </c>
      <c r="Q104" s="48">
        <f t="shared" si="48"/>
        <v>3.5748071318595686E-5</v>
      </c>
      <c r="R104" s="51">
        <f t="shared" si="49"/>
        <v>1</v>
      </c>
      <c r="S104" s="49">
        <f t="shared" si="50"/>
        <v>30600000</v>
      </c>
      <c r="T104" s="50">
        <f t="shared" si="51"/>
        <v>127.26313389420065</v>
      </c>
      <c r="U104" s="50">
        <f t="shared" si="41"/>
        <v>183.05256613428955</v>
      </c>
      <c r="V104" s="98"/>
      <c r="W104" s="72">
        <f t="shared" si="52"/>
        <v>183.05256613428955</v>
      </c>
      <c r="X104" s="75"/>
    </row>
    <row r="105" spans="10:24" x14ac:dyDescent="0.3">
      <c r="J105" s="2">
        <v>40</v>
      </c>
      <c r="K105" s="51">
        <f t="shared" si="42"/>
        <v>0.12352941176470589</v>
      </c>
      <c r="L105" s="48">
        <f t="shared" si="43"/>
        <v>4.8867357605179875E-5</v>
      </c>
      <c r="M105" s="51">
        <f t="shared" si="44"/>
        <v>0.23940498002250044</v>
      </c>
      <c r="N105" s="49">
        <f t="shared" si="45"/>
        <v>3255907.7283060057</v>
      </c>
      <c r="O105" s="50">
        <f t="shared" si="46"/>
        <v>19.654469135650395</v>
      </c>
      <c r="P105" s="51">
        <f t="shared" si="47"/>
        <v>0.11633986928104577</v>
      </c>
      <c r="Q105" s="48">
        <f t="shared" si="48"/>
        <v>3.5748071318595686E-5</v>
      </c>
      <c r="R105" s="51">
        <f t="shared" si="49"/>
        <v>1</v>
      </c>
      <c r="S105" s="49">
        <f t="shared" si="50"/>
        <v>30600000</v>
      </c>
      <c r="T105" s="50">
        <f t="shared" si="51"/>
        <v>127.26313389420065</v>
      </c>
      <c r="U105" s="50">
        <f t="shared" si="41"/>
        <v>146.91760302985105</v>
      </c>
      <c r="V105" s="98"/>
      <c r="W105" s="72">
        <f t="shared" si="52"/>
        <v>146.91760302985105</v>
      </c>
      <c r="X105" s="75"/>
    </row>
    <row r="106" spans="10:24" x14ac:dyDescent="0.3">
      <c r="J106" s="2">
        <v>45</v>
      </c>
      <c r="K106" s="51">
        <f t="shared" si="42"/>
        <v>0.12352941176470589</v>
      </c>
      <c r="L106" s="48">
        <f t="shared" si="43"/>
        <v>4.8867357605179875E-5</v>
      </c>
      <c r="M106" s="51">
        <f t="shared" si="44"/>
        <v>0</v>
      </c>
      <c r="N106" s="49">
        <f t="shared" si="45"/>
        <v>0</v>
      </c>
      <c r="O106" s="50">
        <f t="shared" si="46"/>
        <v>0</v>
      </c>
      <c r="P106" s="51">
        <f t="shared" si="47"/>
        <v>0.11633986928104577</v>
      </c>
      <c r="Q106" s="48">
        <f t="shared" si="48"/>
        <v>3.5748071318595686E-5</v>
      </c>
      <c r="R106" s="51">
        <f t="shared" si="49"/>
        <v>1</v>
      </c>
      <c r="S106" s="49">
        <f t="shared" si="50"/>
        <v>30600000</v>
      </c>
      <c r="T106" s="50">
        <f t="shared" si="51"/>
        <v>127.26313389420065</v>
      </c>
      <c r="U106" s="50">
        <f t="shared" si="41"/>
        <v>127.26313389420065</v>
      </c>
      <c r="V106" s="98"/>
      <c r="W106" s="72">
        <f t="shared" si="52"/>
        <v>127.26313389420065</v>
      </c>
      <c r="X106" s="75"/>
    </row>
    <row r="107" spans="10:24" x14ac:dyDescent="0.3">
      <c r="J107" s="2">
        <v>50</v>
      </c>
      <c r="K107" s="51"/>
      <c r="L107" s="48"/>
      <c r="M107" s="51"/>
      <c r="N107" s="49"/>
      <c r="O107" s="50"/>
      <c r="P107" s="51">
        <f t="shared" si="47"/>
        <v>0.11633986928104577</v>
      </c>
      <c r="Q107" s="48">
        <f t="shared" si="48"/>
        <v>3.5748071318595686E-5</v>
      </c>
      <c r="R107" s="51">
        <f t="shared" si="49"/>
        <v>0.88932701205220888</v>
      </c>
      <c r="S107" s="49">
        <f t="shared" si="50"/>
        <v>27213406.568797592</v>
      </c>
      <c r="T107" s="50">
        <f t="shared" si="51"/>
        <v>113.17854261052966</v>
      </c>
      <c r="U107" s="50">
        <f t="shared" si="41"/>
        <v>113.17854261052966</v>
      </c>
      <c r="V107" s="98"/>
      <c r="W107" s="72">
        <f t="shared" si="52"/>
        <v>113.17854261052966</v>
      </c>
      <c r="X107" s="75"/>
    </row>
    <row r="108" spans="10:24" s="20" customFormat="1" x14ac:dyDescent="0.3">
      <c r="J108" s="96">
        <f>+T.TRASNP.!C10</f>
        <v>53.193968370491021</v>
      </c>
      <c r="K108" s="51"/>
      <c r="L108" s="48"/>
      <c r="M108" s="51"/>
      <c r="N108" s="49"/>
      <c r="O108" s="50"/>
      <c r="P108" s="51">
        <f t="shared" si="47"/>
        <v>0.11633986928104577</v>
      </c>
      <c r="Q108" s="48">
        <f t="shared" si="48"/>
        <v>3.5748071318595686E-5</v>
      </c>
      <c r="R108" s="51">
        <f t="shared" ref="R108" si="53">+IF(J108&lt;$F$40,J108/$F$40,IF(AND(J108&gt;=$F$40,J108&lt;=$F$40+20),1,IF(J108&lt;=$P$95,(1-(J108-($F$40+20))/$F$40),0)))</f>
        <v>0.77107853227007561</v>
      </c>
      <c r="S108" s="49">
        <f t="shared" ref="S108" si="54">+R108*$G$36</f>
        <v>23595003.087464314</v>
      </c>
      <c r="T108" s="50">
        <f t="shared" ref="T108" si="55">+P108*Q108*S108</f>
        <v>98.12987049523035</v>
      </c>
      <c r="U108" s="50">
        <f t="shared" ref="U108" si="56">+O108+T108</f>
        <v>98.12987049523035</v>
      </c>
      <c r="V108" s="69">
        <f>+U20</f>
        <v>0</v>
      </c>
      <c r="W108" s="72">
        <f t="shared" si="52"/>
        <v>98.12987049523035</v>
      </c>
      <c r="X108" s="75"/>
    </row>
    <row r="109" spans="10:24" x14ac:dyDescent="0.3">
      <c r="J109" s="2">
        <v>55</v>
      </c>
      <c r="K109" s="51"/>
      <c r="L109" s="48"/>
      <c r="M109" s="51"/>
      <c r="N109" s="49"/>
      <c r="O109" s="50"/>
      <c r="P109" s="51">
        <f t="shared" si="47"/>
        <v>0.11633986928104577</v>
      </c>
      <c r="Q109" s="48">
        <f t="shared" si="48"/>
        <v>3.5748071318595686E-5</v>
      </c>
      <c r="R109" s="51">
        <f t="shared" si="49"/>
        <v>0.70421484739424378</v>
      </c>
      <c r="S109" s="49">
        <f t="shared" si="50"/>
        <v>21548974.330263861</v>
      </c>
      <c r="T109" s="50">
        <f t="shared" si="51"/>
        <v>89.620588414217721</v>
      </c>
      <c r="U109" s="50">
        <f t="shared" si="41"/>
        <v>89.620588414217721</v>
      </c>
      <c r="V109" s="69">
        <f>+(((V110-V108)*(J109-J108))/(J110-J108))+V108</f>
        <v>34.057402953603045</v>
      </c>
      <c r="W109" s="72">
        <f t="shared" si="52"/>
        <v>123.67799136782077</v>
      </c>
      <c r="X109" s="75"/>
    </row>
    <row r="110" spans="10:24" s="20" customFormat="1" x14ac:dyDescent="0.3">
      <c r="J110" s="96">
        <f>+J108+5</f>
        <v>58.193968370491021</v>
      </c>
      <c r="K110" s="51"/>
      <c r="L110" s="48"/>
      <c r="M110" s="51"/>
      <c r="N110" s="49"/>
      <c r="O110" s="50"/>
      <c r="P110" s="51">
        <f t="shared" si="47"/>
        <v>0.11633986928104577</v>
      </c>
      <c r="Q110" s="48">
        <f t="shared" si="48"/>
        <v>3.5748071318595686E-5</v>
      </c>
      <c r="R110" s="51">
        <f t="shared" ref="R110:R117" si="57">+IF(J110&lt;$F$40,J110/$F$40,IF(AND(J110&gt;=$F$40,J110&lt;=$F$40+20),1,IF(J110&lt;=$P$95,(1-(J110-($F$40+20))/$F$40),0)))</f>
        <v>0.58596636761211041</v>
      </c>
      <c r="S110" s="49">
        <f t="shared" ref="S110:S117" si="58">+R110*$G$36</f>
        <v>17930570.848930579</v>
      </c>
      <c r="T110" s="50">
        <f t="shared" ref="T110:T117" si="59">+P110*Q110*S110</f>
        <v>74.57191629891841</v>
      </c>
      <c r="U110" s="50">
        <f t="shared" si="41"/>
        <v>74.57191629891841</v>
      </c>
      <c r="V110" s="69">
        <f>+U21</f>
        <v>94.287947113258781</v>
      </c>
      <c r="W110" s="72">
        <f t="shared" si="52"/>
        <v>168.85986341217719</v>
      </c>
      <c r="X110" s="75"/>
    </row>
    <row r="111" spans="10:24" x14ac:dyDescent="0.3">
      <c r="J111" s="2">
        <v>60</v>
      </c>
      <c r="K111" s="51"/>
      <c r="L111" s="48"/>
      <c r="M111" s="51"/>
      <c r="N111" s="49"/>
      <c r="O111" s="50"/>
      <c r="P111" s="51">
        <f t="shared" si="47"/>
        <v>0.11633986928104577</v>
      </c>
      <c r="Q111" s="48">
        <f t="shared" si="48"/>
        <v>3.5748071318595686E-5</v>
      </c>
      <c r="R111" s="51">
        <f t="shared" si="57"/>
        <v>0.51910268273627858</v>
      </c>
      <c r="S111" s="49">
        <f t="shared" si="58"/>
        <v>15884542.091730125</v>
      </c>
      <c r="T111" s="50">
        <f t="shared" si="59"/>
        <v>66.062634217905781</v>
      </c>
      <c r="U111" s="50">
        <f t="shared" si="41"/>
        <v>66.062634217905781</v>
      </c>
      <c r="V111" s="69">
        <f>+(((V112-V110)*(J111-J110))/(J112-J110))+V110</f>
        <v>105.04693639322217</v>
      </c>
      <c r="W111" s="72">
        <f t="shared" si="52"/>
        <v>171.10957061112794</v>
      </c>
      <c r="X111" s="75"/>
    </row>
    <row r="112" spans="10:24" s="20" customFormat="1" x14ac:dyDescent="0.3">
      <c r="J112" s="96">
        <f>+J110+5</f>
        <v>63.193968370491021</v>
      </c>
      <c r="K112" s="51"/>
      <c r="L112" s="48"/>
      <c r="M112" s="51"/>
      <c r="N112" s="49"/>
      <c r="O112" s="50"/>
      <c r="P112" s="51">
        <f t="shared" si="47"/>
        <v>0.11633986928104577</v>
      </c>
      <c r="Q112" s="48">
        <f t="shared" si="48"/>
        <v>3.5748071318595686E-5</v>
      </c>
      <c r="R112" s="51">
        <f t="shared" si="57"/>
        <v>0.4008542029541452</v>
      </c>
      <c r="S112" s="49">
        <f t="shared" si="58"/>
        <v>12266138.610396843</v>
      </c>
      <c r="T112" s="50">
        <f t="shared" si="59"/>
        <v>51.013962102606463</v>
      </c>
      <c r="U112" s="50">
        <f t="shared" si="41"/>
        <v>51.013962102606463</v>
      </c>
      <c r="V112" s="69">
        <f>+U22</f>
        <v>124.07421747577875</v>
      </c>
      <c r="W112" s="72">
        <f t="shared" si="52"/>
        <v>175.08817957838522</v>
      </c>
      <c r="X112" s="75"/>
    </row>
    <row r="113" spans="10:24" x14ac:dyDescent="0.3">
      <c r="J113" s="2">
        <v>65</v>
      </c>
      <c r="K113" s="51"/>
      <c r="L113" s="48"/>
      <c r="M113" s="51"/>
      <c r="N113" s="49"/>
      <c r="O113" s="50"/>
      <c r="P113" s="51">
        <f t="shared" si="47"/>
        <v>0.11633986928104577</v>
      </c>
      <c r="Q113" s="48">
        <f t="shared" si="48"/>
        <v>3.5748071318595686E-5</v>
      </c>
      <c r="R113" s="51">
        <f t="shared" si="57"/>
        <v>0.33399051807831326</v>
      </c>
      <c r="S113" s="49">
        <f t="shared" si="58"/>
        <v>10220109.853196386</v>
      </c>
      <c r="T113" s="50">
        <f t="shared" si="59"/>
        <v>42.504680021593828</v>
      </c>
      <c r="U113" s="50">
        <f t="shared" si="41"/>
        <v>42.504680021593828</v>
      </c>
      <c r="V113" s="69">
        <f>+V112</f>
        <v>124.07421747577875</v>
      </c>
      <c r="W113" s="72">
        <f t="shared" si="52"/>
        <v>166.57889749737257</v>
      </c>
      <c r="X113" s="75"/>
    </row>
    <row r="114" spans="10:24" s="20" customFormat="1" x14ac:dyDescent="0.3">
      <c r="J114" s="96">
        <f>+J112+5</f>
        <v>68.193968370491021</v>
      </c>
      <c r="K114" s="51"/>
      <c r="L114" s="48"/>
      <c r="M114" s="51"/>
      <c r="N114" s="49"/>
      <c r="O114" s="50"/>
      <c r="P114" s="51">
        <f t="shared" si="47"/>
        <v>0.11633986928104577</v>
      </c>
      <c r="Q114" s="48">
        <f t="shared" si="48"/>
        <v>3.5748071318595686E-5</v>
      </c>
      <c r="R114" s="51">
        <f t="shared" si="57"/>
        <v>0.21574203829617999</v>
      </c>
      <c r="S114" s="49">
        <f t="shared" si="58"/>
        <v>6601706.3718631081</v>
      </c>
      <c r="T114" s="50">
        <f t="shared" si="59"/>
        <v>27.45600790629452</v>
      </c>
      <c r="U114" s="50">
        <f t="shared" si="41"/>
        <v>27.45600790629452</v>
      </c>
      <c r="V114" s="69">
        <f>+U23</f>
        <v>124.07421747577875</v>
      </c>
      <c r="W114" s="72">
        <f t="shared" si="52"/>
        <v>151.53022538207327</v>
      </c>
      <c r="X114" s="75"/>
    </row>
    <row r="115" spans="10:24" x14ac:dyDescent="0.3">
      <c r="J115" s="2">
        <v>70</v>
      </c>
      <c r="K115" s="51"/>
      <c r="L115" s="48"/>
      <c r="M115" s="51"/>
      <c r="N115" s="49"/>
      <c r="O115" s="50"/>
      <c r="P115" s="51">
        <f t="shared" si="47"/>
        <v>0.11633986928104577</v>
      </c>
      <c r="Q115" s="48">
        <f t="shared" si="48"/>
        <v>3.5748071318595686E-5</v>
      </c>
      <c r="R115" s="51">
        <f t="shared" si="57"/>
        <v>0.14887835342034816</v>
      </c>
      <c r="S115" s="49">
        <f t="shared" si="58"/>
        <v>4555677.6146626538</v>
      </c>
      <c r="T115" s="50">
        <f t="shared" si="59"/>
        <v>18.946725825281895</v>
      </c>
      <c r="U115" s="50">
        <f t="shared" si="41"/>
        <v>18.946725825281895</v>
      </c>
      <c r="V115" s="69">
        <f>+V114</f>
        <v>124.07421747577875</v>
      </c>
      <c r="W115" s="72">
        <f t="shared" si="52"/>
        <v>143.02094330106064</v>
      </c>
      <c r="X115" s="75"/>
    </row>
    <row r="116" spans="10:24" s="20" customFormat="1" x14ac:dyDescent="0.3">
      <c r="J116" s="96">
        <f>+J114+5</f>
        <v>73.193968370491021</v>
      </c>
      <c r="K116" s="51"/>
      <c r="L116" s="48"/>
      <c r="M116" s="51"/>
      <c r="N116" s="49"/>
      <c r="O116" s="50"/>
      <c r="P116" s="51">
        <f t="shared" si="47"/>
        <v>0.11633986928104577</v>
      </c>
      <c r="Q116" s="48">
        <f t="shared" si="48"/>
        <v>3.5748071318595686E-5</v>
      </c>
      <c r="R116" s="51">
        <f t="shared" si="57"/>
        <v>3.0629873638214788E-2</v>
      </c>
      <c r="S116" s="49">
        <f t="shared" si="58"/>
        <v>937274.1333293725</v>
      </c>
      <c r="T116" s="50">
        <f t="shared" si="59"/>
        <v>3.8980537099825754</v>
      </c>
      <c r="U116" s="50">
        <f t="shared" si="41"/>
        <v>3.8980537099825754</v>
      </c>
      <c r="V116" s="69">
        <f>+U24</f>
        <v>124.07421747577875</v>
      </c>
      <c r="W116" s="72">
        <f t="shared" si="52"/>
        <v>127.97227118576133</v>
      </c>
      <c r="X116" s="75"/>
    </row>
    <row r="117" spans="10:24" x14ac:dyDescent="0.3">
      <c r="J117" s="2">
        <v>75</v>
      </c>
      <c r="K117" s="51"/>
      <c r="L117" s="48"/>
      <c r="M117" s="51"/>
      <c r="N117" s="49"/>
      <c r="O117" s="50"/>
      <c r="P117" s="51">
        <f t="shared" si="47"/>
        <v>0.11633986928104577</v>
      </c>
      <c r="Q117" s="48">
        <f t="shared" si="48"/>
        <v>3.5748071318595686E-5</v>
      </c>
      <c r="R117" s="51">
        <f t="shared" si="57"/>
        <v>0</v>
      </c>
      <c r="S117" s="49">
        <f t="shared" si="58"/>
        <v>0</v>
      </c>
      <c r="T117" s="50">
        <f t="shared" si="59"/>
        <v>0</v>
      </c>
      <c r="U117" s="50">
        <f t="shared" si="41"/>
        <v>0</v>
      </c>
      <c r="V117" s="69">
        <f>+V116</f>
        <v>124.07421747577875</v>
      </c>
      <c r="W117" s="72">
        <f t="shared" si="52"/>
        <v>124.07421747577875</v>
      </c>
      <c r="X117" s="75"/>
    </row>
    <row r="118" spans="10:24" x14ac:dyDescent="0.3">
      <c r="J118" s="96">
        <f>+J116+5</f>
        <v>78.193968370491021</v>
      </c>
      <c r="K118" s="51"/>
      <c r="L118" s="48"/>
      <c r="M118" s="51"/>
      <c r="N118" s="49"/>
      <c r="O118" s="50"/>
      <c r="P118" s="51"/>
      <c r="Q118" s="48"/>
      <c r="R118" s="51"/>
      <c r="S118" s="49"/>
      <c r="T118" s="50"/>
      <c r="U118" s="50"/>
      <c r="V118" s="69">
        <f>+U25</f>
        <v>124.07421747577875</v>
      </c>
      <c r="W118" s="72">
        <f t="shared" si="52"/>
        <v>124.07421747577875</v>
      </c>
      <c r="X118" s="75"/>
    </row>
    <row r="119" spans="10:24" x14ac:dyDescent="0.3">
      <c r="J119" s="96">
        <f>+J118+5</f>
        <v>83.193968370491021</v>
      </c>
      <c r="K119" s="51"/>
      <c r="L119" s="48"/>
      <c r="M119" s="51"/>
      <c r="N119" s="49"/>
      <c r="O119" s="50"/>
      <c r="P119" s="51"/>
      <c r="Q119" s="48"/>
      <c r="R119" s="51"/>
      <c r="S119" s="49"/>
      <c r="T119" s="50"/>
      <c r="U119" s="50"/>
      <c r="V119" s="69">
        <f>+U26</f>
        <v>59.572540725039943</v>
      </c>
      <c r="W119" s="72">
        <f t="shared" si="52"/>
        <v>59.572540725039943</v>
      </c>
      <c r="X119" s="75"/>
    </row>
    <row r="120" spans="10:24" x14ac:dyDescent="0.3">
      <c r="J120" s="96">
        <f>+J119+5</f>
        <v>88.193968370491021</v>
      </c>
      <c r="K120" s="51"/>
      <c r="L120" s="48"/>
      <c r="M120" s="51"/>
      <c r="N120" s="49"/>
      <c r="O120" s="50"/>
      <c r="P120" s="51"/>
      <c r="Q120" s="48"/>
      <c r="R120" s="51"/>
      <c r="S120" s="49"/>
      <c r="T120" s="50"/>
      <c r="U120" s="50"/>
      <c r="V120" s="69">
        <f>+U27</f>
        <v>14.182176864527031</v>
      </c>
      <c r="W120" s="72">
        <f t="shared" si="52"/>
        <v>14.182176864527031</v>
      </c>
      <c r="X120" s="75"/>
    </row>
    <row r="121" spans="10:24" ht="16.2" thickBot="1" x14ac:dyDescent="0.35">
      <c r="J121" s="99">
        <f>+J120+5</f>
        <v>93.193968370491021</v>
      </c>
      <c r="K121" s="52"/>
      <c r="L121" s="53"/>
      <c r="M121" s="52"/>
      <c r="N121" s="54"/>
      <c r="O121" s="55"/>
      <c r="P121" s="52"/>
      <c r="Q121" s="53"/>
      <c r="R121" s="52"/>
      <c r="S121" s="54"/>
      <c r="T121" s="55"/>
      <c r="U121" s="55"/>
      <c r="V121" s="70">
        <f>+U28</f>
        <v>0</v>
      </c>
      <c r="W121" s="73">
        <f t="shared" si="52"/>
        <v>0</v>
      </c>
      <c r="X121" s="75"/>
    </row>
    <row r="122" spans="10:24" x14ac:dyDescent="0.3">
      <c r="J122" s="8">
        <v>80</v>
      </c>
      <c r="K122" s="13"/>
      <c r="L122" s="67"/>
      <c r="M122" s="13"/>
      <c r="N122" s="74"/>
      <c r="O122" s="75"/>
      <c r="P122" s="13"/>
      <c r="Q122" s="67"/>
      <c r="R122" s="13"/>
      <c r="S122" s="74"/>
      <c r="T122" s="75"/>
      <c r="U122" s="75"/>
      <c r="V122" s="89">
        <f>+((V119-V118)*(J122-J118)/(J119-J118))+V118</f>
        <v>100.77580380213911</v>
      </c>
      <c r="W122" s="1">
        <f t="shared" si="52"/>
        <v>100.77580380213911</v>
      </c>
    </row>
    <row r="123" spans="10:24" x14ac:dyDescent="0.3">
      <c r="J123" s="30">
        <v>85</v>
      </c>
      <c r="K123" s="13"/>
      <c r="L123" s="67"/>
      <c r="M123" s="13"/>
      <c r="N123" s="74"/>
      <c r="O123" s="75"/>
      <c r="P123" s="13"/>
      <c r="Q123" s="67"/>
      <c r="R123" s="13"/>
      <c r="S123" s="74"/>
      <c r="T123" s="75"/>
      <c r="U123" s="75"/>
      <c r="V123" s="89">
        <f>+((V120-V119)*(J123-J119)/(J120-J119))+V119</f>
        <v>43.177254163638423</v>
      </c>
      <c r="W123" s="1">
        <f t="shared" si="52"/>
        <v>43.177254163638423</v>
      </c>
    </row>
    <row r="124" spans="10:24" x14ac:dyDescent="0.3">
      <c r="J124" s="8">
        <v>90</v>
      </c>
      <c r="K124" s="13"/>
      <c r="L124" s="67"/>
      <c r="M124" s="13"/>
      <c r="N124" s="74"/>
      <c r="O124" s="75"/>
      <c r="P124" s="13"/>
      <c r="Q124" s="67"/>
      <c r="R124" s="13"/>
      <c r="S124" s="74"/>
      <c r="T124" s="75"/>
      <c r="U124" s="75"/>
      <c r="V124" s="89">
        <f>+((V121-V120)*(J124-J120)/(J121-J120))+V120</f>
        <v>9.0594848660017711</v>
      </c>
    </row>
    <row r="125" spans="10:24" ht="16.2" thickBot="1" x14ac:dyDescent="0.35">
      <c r="Q125" s="67"/>
    </row>
    <row r="126" spans="10:24" ht="18.600000000000001" thickBot="1" x14ac:dyDescent="0.35">
      <c r="J126" s="184" t="s">
        <v>125</v>
      </c>
      <c r="K126" s="185"/>
      <c r="L126" s="185"/>
      <c r="M126" s="185"/>
      <c r="N126" s="185"/>
      <c r="O126" s="185"/>
      <c r="P126" s="185"/>
      <c r="Q126" s="185"/>
      <c r="R126" s="185"/>
      <c r="S126" s="185"/>
      <c r="T126" s="185"/>
      <c r="U126" s="185"/>
      <c r="V126" s="185"/>
      <c r="W126" s="185"/>
      <c r="X126" s="186"/>
    </row>
    <row r="127" spans="10:24" x14ac:dyDescent="0.3">
      <c r="J127" s="161" t="s">
        <v>15</v>
      </c>
      <c r="K127" s="162"/>
      <c r="L127" s="163"/>
      <c r="M127" s="20"/>
      <c r="P127" s="161" t="s">
        <v>16</v>
      </c>
      <c r="Q127" s="162"/>
      <c r="R127" s="163"/>
    </row>
    <row r="128" spans="10:24" x14ac:dyDescent="0.3">
      <c r="J128" s="140" t="s">
        <v>34</v>
      </c>
      <c r="K128" s="141"/>
      <c r="L128" s="142"/>
      <c r="M128" s="20"/>
      <c r="P128" s="140" t="s">
        <v>112</v>
      </c>
      <c r="Q128" s="141"/>
      <c r="R128" s="142"/>
    </row>
    <row r="129" spans="10:24" x14ac:dyDescent="0.3">
      <c r="J129" s="2" t="s">
        <v>97</v>
      </c>
      <c r="K129" s="111">
        <f>+B51</f>
        <v>5.27</v>
      </c>
      <c r="L129" s="110">
        <f>+C51</f>
        <v>5270</v>
      </c>
      <c r="M129" s="20"/>
      <c r="P129" s="2" t="s">
        <v>97</v>
      </c>
      <c r="Q129" s="111">
        <f>+F51</f>
        <v>2</v>
      </c>
      <c r="R129" s="110">
        <f>+G51</f>
        <v>2000</v>
      </c>
    </row>
    <row r="130" spans="10:24" x14ac:dyDescent="0.3">
      <c r="J130" s="2" t="s">
        <v>98</v>
      </c>
      <c r="K130" s="107">
        <f t="shared" ref="K130:L130" si="60">+B52</f>
        <v>6.24</v>
      </c>
      <c r="L130" s="109">
        <f t="shared" si="60"/>
        <v>6240000</v>
      </c>
      <c r="M130" s="20"/>
      <c r="P130" s="2" t="s">
        <v>98</v>
      </c>
      <c r="Q130" s="107">
        <f t="shared" ref="Q130:R130" si="61">+F52</f>
        <v>2.13</v>
      </c>
      <c r="R130" s="109">
        <f t="shared" si="61"/>
        <v>2130000</v>
      </c>
    </row>
    <row r="131" spans="10:24" x14ac:dyDescent="0.3">
      <c r="J131" s="2" t="s">
        <v>37</v>
      </c>
      <c r="K131" s="103">
        <f t="shared" ref="K131:L131" si="62">+B53</f>
        <v>3.6053130929791273</v>
      </c>
      <c r="L131" s="104">
        <f t="shared" si="62"/>
        <v>3.6053130929791274E-2</v>
      </c>
      <c r="M131" s="20"/>
      <c r="P131" s="2" t="s">
        <v>37</v>
      </c>
      <c r="Q131" s="103">
        <f t="shared" ref="Q131:R131" si="63">+F53</f>
        <v>2.65</v>
      </c>
      <c r="R131" s="104">
        <f t="shared" si="63"/>
        <v>2.6499999999999999E-2</v>
      </c>
    </row>
    <row r="132" spans="10:24" x14ac:dyDescent="0.3">
      <c r="J132" s="2" t="s">
        <v>38</v>
      </c>
      <c r="K132" s="146">
        <f>+B54</f>
        <v>190</v>
      </c>
      <c r="L132" s="147"/>
      <c r="M132" s="20"/>
      <c r="P132" s="2" t="s">
        <v>38</v>
      </c>
      <c r="Q132" s="146">
        <f>+F54</f>
        <v>53</v>
      </c>
      <c r="R132" s="147"/>
    </row>
    <row r="133" spans="10:24" x14ac:dyDescent="0.3">
      <c r="J133" s="2" t="s">
        <v>4</v>
      </c>
      <c r="K133" s="190">
        <f t="shared" ref="K133:K137" si="64">+B55</f>
        <v>0.18894230769230769</v>
      </c>
      <c r="L133" s="142"/>
      <c r="M133" s="20"/>
      <c r="P133" s="2" t="s">
        <v>4</v>
      </c>
      <c r="Q133" s="190">
        <f t="shared" ref="Q133:Q137" si="65">+F55</f>
        <v>0.15868544600938966</v>
      </c>
      <c r="R133" s="142"/>
    </row>
    <row r="134" spans="10:24" x14ac:dyDescent="0.3">
      <c r="J134" s="2" t="s">
        <v>40</v>
      </c>
      <c r="K134" s="191">
        <f t="shared" si="64"/>
        <v>20.7859828115113</v>
      </c>
      <c r="L134" s="192"/>
      <c r="M134" s="20"/>
      <c r="P134" s="2" t="s">
        <v>40</v>
      </c>
      <c r="Q134" s="191">
        <f t="shared" si="65"/>
        <v>16.522097569048782</v>
      </c>
      <c r="R134" s="192"/>
    </row>
    <row r="135" spans="10:24" x14ac:dyDescent="0.3">
      <c r="J135" s="2" t="s">
        <v>30</v>
      </c>
      <c r="K135" s="141">
        <f t="shared" si="64"/>
        <v>1315</v>
      </c>
      <c r="L135" s="142"/>
      <c r="M135" s="20"/>
      <c r="P135" s="2" t="s">
        <v>30</v>
      </c>
      <c r="Q135" s="141">
        <f t="shared" si="65"/>
        <v>1315</v>
      </c>
      <c r="R135" s="142"/>
    </row>
    <row r="136" spans="10:24" x14ac:dyDescent="0.3">
      <c r="J136" s="2" t="s">
        <v>99</v>
      </c>
      <c r="K136" s="141">
        <f t="shared" si="64"/>
        <v>13</v>
      </c>
      <c r="L136" s="142"/>
      <c r="M136" s="20"/>
      <c r="P136" s="2" t="s">
        <v>99</v>
      </c>
      <c r="Q136" s="141">
        <f t="shared" si="65"/>
        <v>13</v>
      </c>
      <c r="R136" s="142"/>
    </row>
    <row r="137" spans="10:24" x14ac:dyDescent="0.3">
      <c r="J137" s="2" t="s">
        <v>100</v>
      </c>
      <c r="K137" s="141">
        <f t="shared" si="64"/>
        <v>0.63</v>
      </c>
      <c r="L137" s="142"/>
      <c r="M137" s="20"/>
      <c r="P137" s="2" t="s">
        <v>100</v>
      </c>
      <c r="Q137" s="141">
        <f t="shared" si="65"/>
        <v>0.63</v>
      </c>
      <c r="R137" s="142"/>
    </row>
    <row r="138" spans="10:24" x14ac:dyDescent="0.3">
      <c r="J138" s="2" t="s">
        <v>42</v>
      </c>
      <c r="K138" s="188">
        <f>+K135/((K136+K134)^K137)</f>
        <v>143.16001065950718</v>
      </c>
      <c r="L138" s="189"/>
      <c r="M138" s="20"/>
      <c r="P138" s="2" t="s">
        <v>42</v>
      </c>
      <c r="Q138" s="188">
        <f>+Q135/((Q136+Q134)^Q137)</f>
        <v>155.85940348788043</v>
      </c>
      <c r="R138" s="189"/>
    </row>
    <row r="139" spans="10:24" ht="16.2" thickBot="1" x14ac:dyDescent="0.35">
      <c r="J139" s="16" t="s">
        <v>42</v>
      </c>
      <c r="K139" s="193">
        <f>+K138*(1/1000)*(1/3600)</f>
        <v>3.9766669627640879E-5</v>
      </c>
      <c r="L139" s="194"/>
      <c r="M139" s="20"/>
      <c r="P139" s="16" t="s">
        <v>42</v>
      </c>
      <c r="Q139" s="193">
        <f>+Q138*(1/1000)*(1/3600)</f>
        <v>4.3294278746633457E-5</v>
      </c>
      <c r="R139" s="194"/>
    </row>
    <row r="140" spans="10:24" ht="18.600000000000001" thickBot="1" x14ac:dyDescent="0.35">
      <c r="J140" s="184" t="str">
        <f>+A48</f>
        <v>Estudio de caudales en Punto B</v>
      </c>
      <c r="K140" s="185"/>
      <c r="L140" s="185"/>
      <c r="M140" s="185"/>
      <c r="N140" s="185"/>
      <c r="O140" s="185"/>
      <c r="P140" s="185"/>
      <c r="Q140" s="185"/>
      <c r="R140" s="185"/>
      <c r="S140" s="185"/>
      <c r="T140" s="185"/>
      <c r="U140" s="186"/>
    </row>
    <row r="141" spans="10:24" x14ac:dyDescent="0.3">
      <c r="K141" s="161" t="str">
        <f>+CONCATENATE("Tiempo total de lluvia en ",A49)</f>
        <v>Tiempo total de lluvia en Cuenca 4</v>
      </c>
      <c r="L141" s="162"/>
      <c r="M141" s="163"/>
      <c r="P141" s="161" t="str">
        <f>+CONCATENATE("Tiempo total de lluvia en ",E49)</f>
        <v>Tiempo total de lluvia en Cuenca 5</v>
      </c>
      <c r="Q141" s="162"/>
      <c r="R141" s="163"/>
    </row>
    <row r="142" spans="10:24" ht="16.2" thickBot="1" x14ac:dyDescent="0.35">
      <c r="K142" s="204">
        <f>+B56+20+B56</f>
        <v>61.571965623022606</v>
      </c>
      <c r="L142" s="205"/>
      <c r="M142" s="206"/>
      <c r="P142" s="204">
        <f>+F56+20+F56</f>
        <v>53.044195138097564</v>
      </c>
      <c r="Q142" s="205"/>
      <c r="R142" s="206"/>
    </row>
    <row r="143" spans="10:24" s="20" customFormat="1" x14ac:dyDescent="0.3">
      <c r="J143" s="44" t="s">
        <v>113</v>
      </c>
      <c r="K143" s="45" t="s">
        <v>134</v>
      </c>
      <c r="L143" s="45" t="s">
        <v>135</v>
      </c>
      <c r="M143" s="45" t="s">
        <v>116</v>
      </c>
      <c r="N143" s="45" t="s">
        <v>45</v>
      </c>
      <c r="O143" s="46">
        <v>4</v>
      </c>
      <c r="P143" s="45" t="s">
        <v>132</v>
      </c>
      <c r="Q143" s="45" t="s">
        <v>133</v>
      </c>
      <c r="R143" s="45" t="s">
        <v>116</v>
      </c>
      <c r="S143" s="45" t="s">
        <v>45</v>
      </c>
      <c r="T143" s="46">
        <v>5</v>
      </c>
      <c r="U143" s="45" t="s">
        <v>169</v>
      </c>
      <c r="V143" s="84" t="str">
        <f>+U50</f>
        <v>QDcuenca</v>
      </c>
      <c r="W143" s="97" t="str">
        <f>+W96</f>
        <v>QC Total</v>
      </c>
      <c r="X143" s="71" t="s">
        <v>170</v>
      </c>
    </row>
    <row r="144" spans="10:24" x14ac:dyDescent="0.3">
      <c r="J144" s="2">
        <v>0</v>
      </c>
      <c r="K144" s="51">
        <f>+$B$55</f>
        <v>0.18894230769230769</v>
      </c>
      <c r="L144" s="48">
        <f>+$B$61</f>
        <v>3.9766669627640879E-5</v>
      </c>
      <c r="M144" s="51">
        <f t="shared" ref="M144:M150" si="66">+IF(J144&lt;$B$56,J144/$B$56,IF(AND(J144&gt;=$B$56,J144&lt;=$B$56+20),1,IF(J144&lt;=$K$142,(1-(J144-($B$56+20))/$B$56),0)))</f>
        <v>0</v>
      </c>
      <c r="N144" s="49">
        <f>+M144*$C$52</f>
        <v>0</v>
      </c>
      <c r="O144" s="50">
        <f>+K144*L144*N144</f>
        <v>0</v>
      </c>
      <c r="P144" s="51">
        <f>+$F$55</f>
        <v>0.15868544600938966</v>
      </c>
      <c r="Q144" s="48">
        <f>+$F$61</f>
        <v>4.3294278746633457E-5</v>
      </c>
      <c r="R144" s="51">
        <f t="shared" ref="R144:R150" si="67">+IF(J144&lt;$F$56,J144/$F$56,IF(AND(J144&gt;=$F$56,J144&lt;=$F$56+20),1,IF(J144&lt;=$P$142,(1-(J144-($F$56+20))/$F$56),0)))</f>
        <v>0</v>
      </c>
      <c r="S144" s="49">
        <f>+R144*$G$52</f>
        <v>0</v>
      </c>
      <c r="T144" s="50">
        <f>+P144*Q144*S144</f>
        <v>0</v>
      </c>
      <c r="U144" s="50">
        <f>+O144+T144</f>
        <v>0</v>
      </c>
      <c r="V144" s="3"/>
      <c r="W144" s="98"/>
      <c r="X144" s="72">
        <f>+U144+V144+W144</f>
        <v>0</v>
      </c>
    </row>
    <row r="145" spans="10:24" s="20" customFormat="1" x14ac:dyDescent="0.3">
      <c r="J145" s="2">
        <v>5</v>
      </c>
      <c r="K145" s="122">
        <f t="shared" ref="K145:K170" si="68">+$B$55</f>
        <v>0.18894230769230769</v>
      </c>
      <c r="L145" s="48">
        <f t="shared" ref="L145:L170" si="69">+$B$61</f>
        <v>3.9766669627640879E-5</v>
      </c>
      <c r="M145" s="51">
        <f t="shared" si="66"/>
        <v>0.24054672061169005</v>
      </c>
      <c r="N145" s="49">
        <f t="shared" ref="N145:N170" si="70">+M145*$C$52</f>
        <v>1501011.5366169459</v>
      </c>
      <c r="O145" s="50">
        <f t="shared" ref="O145:O170" si="71">+K145*L145*N145</f>
        <v>11.278009780952884</v>
      </c>
      <c r="P145" s="51">
        <f t="shared" ref="P145:P164" si="72">+$F$55</f>
        <v>0.15868544600938966</v>
      </c>
      <c r="Q145" s="48">
        <f t="shared" ref="Q145:Q164" si="73">+$F$61</f>
        <v>4.3294278746633457E-5</v>
      </c>
      <c r="R145" s="51">
        <f t="shared" si="67"/>
        <v>0.30262501350715981</v>
      </c>
      <c r="S145" s="49">
        <f t="shared" ref="S145:S164" si="74">+R145*$G$52</f>
        <v>644591.27877025038</v>
      </c>
      <c r="T145" s="50">
        <f t="shared" ref="T145:T164" si="75">+P145*Q145*S145</f>
        <v>4.4284529113831494</v>
      </c>
      <c r="U145" s="50">
        <f t="shared" ref="U145:U170" si="76">+O145+T145</f>
        <v>15.706462692336032</v>
      </c>
      <c r="V145" s="3"/>
      <c r="W145" s="98"/>
      <c r="X145" s="72">
        <f t="shared" ref="X145:X196" si="77">+U145+V145+W145</f>
        <v>15.706462692336032</v>
      </c>
    </row>
    <row r="146" spans="10:24" x14ac:dyDescent="0.3">
      <c r="J146" s="2">
        <v>10</v>
      </c>
      <c r="K146" s="122">
        <f t="shared" si="68"/>
        <v>0.18894230769230769</v>
      </c>
      <c r="L146" s="48">
        <f t="shared" si="69"/>
        <v>3.9766669627640879E-5</v>
      </c>
      <c r="M146" s="51">
        <f t="shared" si="66"/>
        <v>0.4810934412233801</v>
      </c>
      <c r="N146" s="49">
        <f t="shared" si="70"/>
        <v>3002023.0732338917</v>
      </c>
      <c r="O146" s="50">
        <f t="shared" si="71"/>
        <v>22.556019561905767</v>
      </c>
      <c r="P146" s="51">
        <f t="shared" si="72"/>
        <v>0.15868544600938966</v>
      </c>
      <c r="Q146" s="48">
        <f t="shared" si="73"/>
        <v>4.3294278746633457E-5</v>
      </c>
      <c r="R146" s="51">
        <f t="shared" si="67"/>
        <v>0.60525002701431962</v>
      </c>
      <c r="S146" s="49">
        <f t="shared" si="74"/>
        <v>1289182.5575405008</v>
      </c>
      <c r="T146" s="50">
        <f t="shared" si="75"/>
        <v>8.8569058227662989</v>
      </c>
      <c r="U146" s="50">
        <f t="shared" si="76"/>
        <v>31.412925384672064</v>
      </c>
      <c r="V146" s="3"/>
      <c r="W146" s="98"/>
      <c r="X146" s="72">
        <f t="shared" si="77"/>
        <v>31.412925384672064</v>
      </c>
    </row>
    <row r="147" spans="10:24" s="20" customFormat="1" x14ac:dyDescent="0.3">
      <c r="J147" s="2">
        <v>15</v>
      </c>
      <c r="K147" s="122">
        <f t="shared" si="68"/>
        <v>0.18894230769230769</v>
      </c>
      <c r="L147" s="48">
        <f t="shared" si="69"/>
        <v>3.9766669627640879E-5</v>
      </c>
      <c r="M147" s="51">
        <f t="shared" si="66"/>
        <v>0.72164016183507007</v>
      </c>
      <c r="N147" s="49">
        <f t="shared" si="70"/>
        <v>4503034.6098508369</v>
      </c>
      <c r="O147" s="50">
        <f t="shared" si="71"/>
        <v>33.834029342858649</v>
      </c>
      <c r="P147" s="51">
        <f t="shared" si="72"/>
        <v>0.15868544600938966</v>
      </c>
      <c r="Q147" s="48">
        <f t="shared" si="73"/>
        <v>4.3294278746633457E-5</v>
      </c>
      <c r="R147" s="51">
        <f t="shared" si="67"/>
        <v>0.90787504052147949</v>
      </c>
      <c r="S147" s="49">
        <f t="shared" si="74"/>
        <v>1933773.8363107513</v>
      </c>
      <c r="T147" s="50">
        <f t="shared" si="75"/>
        <v>13.285358734149449</v>
      </c>
      <c r="U147" s="50">
        <f t="shared" si="76"/>
        <v>47.119388077008097</v>
      </c>
      <c r="V147" s="3"/>
      <c r="W147" s="98"/>
      <c r="X147" s="72">
        <f t="shared" si="77"/>
        <v>47.119388077008097</v>
      </c>
    </row>
    <row r="148" spans="10:24" x14ac:dyDescent="0.3">
      <c r="J148" s="2">
        <v>20</v>
      </c>
      <c r="K148" s="122">
        <f t="shared" si="68"/>
        <v>0.18894230769230769</v>
      </c>
      <c r="L148" s="48">
        <f t="shared" si="69"/>
        <v>3.9766669627640879E-5</v>
      </c>
      <c r="M148" s="51">
        <f t="shared" si="66"/>
        <v>0.96218688244676021</v>
      </c>
      <c r="N148" s="49">
        <f t="shared" si="70"/>
        <v>6004046.1464677835</v>
      </c>
      <c r="O148" s="50">
        <f t="shared" si="71"/>
        <v>45.112039123811535</v>
      </c>
      <c r="P148" s="51">
        <f t="shared" si="72"/>
        <v>0.15868544600938966</v>
      </c>
      <c r="Q148" s="48">
        <f t="shared" si="73"/>
        <v>4.3294278746633457E-5</v>
      </c>
      <c r="R148" s="51">
        <f t="shared" si="67"/>
        <v>1</v>
      </c>
      <c r="S148" s="49">
        <f t="shared" si="74"/>
        <v>2130000</v>
      </c>
      <c r="T148" s="50">
        <f t="shared" si="75"/>
        <v>14.633466216362107</v>
      </c>
      <c r="U148" s="50">
        <f t="shared" si="76"/>
        <v>59.745505340173644</v>
      </c>
      <c r="V148" s="3"/>
      <c r="W148" s="98"/>
      <c r="X148" s="72">
        <f t="shared" si="77"/>
        <v>59.745505340173644</v>
      </c>
    </row>
    <row r="149" spans="10:24" s="20" customFormat="1" x14ac:dyDescent="0.3">
      <c r="J149" s="2">
        <v>25</v>
      </c>
      <c r="K149" s="122">
        <f t="shared" si="68"/>
        <v>0.18894230769230769</v>
      </c>
      <c r="L149" s="48">
        <f t="shared" si="69"/>
        <v>3.9766669627640879E-5</v>
      </c>
      <c r="M149" s="51">
        <f t="shared" si="66"/>
        <v>1</v>
      </c>
      <c r="N149" s="49">
        <f t="shared" si="70"/>
        <v>6240000</v>
      </c>
      <c r="O149" s="50">
        <f t="shared" si="71"/>
        <v>46.884903490988592</v>
      </c>
      <c r="P149" s="51">
        <f t="shared" si="72"/>
        <v>0.15868544600938966</v>
      </c>
      <c r="Q149" s="48">
        <f t="shared" si="73"/>
        <v>4.3294278746633457E-5</v>
      </c>
      <c r="R149" s="51">
        <f t="shared" si="67"/>
        <v>1</v>
      </c>
      <c r="S149" s="49">
        <f t="shared" si="74"/>
        <v>2130000</v>
      </c>
      <c r="T149" s="50">
        <f t="shared" si="75"/>
        <v>14.633466216362107</v>
      </c>
      <c r="U149" s="50">
        <f t="shared" si="76"/>
        <v>61.518369707350701</v>
      </c>
      <c r="V149" s="3"/>
      <c r="W149" s="98"/>
      <c r="X149" s="72">
        <f t="shared" si="77"/>
        <v>61.518369707350701</v>
      </c>
    </row>
    <row r="150" spans="10:24" x14ac:dyDescent="0.3">
      <c r="J150" s="2">
        <v>30</v>
      </c>
      <c r="K150" s="122">
        <f t="shared" si="68"/>
        <v>0.18894230769230769</v>
      </c>
      <c r="L150" s="48">
        <f t="shared" si="69"/>
        <v>3.9766669627640879E-5</v>
      </c>
      <c r="M150" s="51">
        <f t="shared" si="66"/>
        <v>1</v>
      </c>
      <c r="N150" s="49">
        <f t="shared" si="70"/>
        <v>6240000</v>
      </c>
      <c r="O150" s="50">
        <f t="shared" si="71"/>
        <v>46.884903490988592</v>
      </c>
      <c r="P150" s="51">
        <f t="shared" si="72"/>
        <v>0.15868544600938966</v>
      </c>
      <c r="Q150" s="48">
        <f t="shared" si="73"/>
        <v>4.3294278746633457E-5</v>
      </c>
      <c r="R150" s="51">
        <f t="shared" si="67"/>
        <v>1</v>
      </c>
      <c r="S150" s="49">
        <f t="shared" si="74"/>
        <v>2130000</v>
      </c>
      <c r="T150" s="50">
        <f t="shared" si="75"/>
        <v>14.633466216362107</v>
      </c>
      <c r="U150" s="50">
        <f t="shared" si="76"/>
        <v>61.518369707350701</v>
      </c>
      <c r="V150" s="3"/>
      <c r="W150" s="98"/>
      <c r="X150" s="72">
        <f t="shared" si="77"/>
        <v>61.518369707350701</v>
      </c>
    </row>
    <row r="151" spans="10:24" s="20" customFormat="1" x14ac:dyDescent="0.3">
      <c r="J151" s="96">
        <f>+T.TRASNP.!C20</f>
        <v>31.946228692022522</v>
      </c>
      <c r="K151" s="122">
        <f t="shared" si="68"/>
        <v>0.18894230769230769</v>
      </c>
      <c r="L151" s="48">
        <f t="shared" si="69"/>
        <v>3.9766669627640879E-5</v>
      </c>
      <c r="M151" s="51">
        <f t="shared" ref="M151:M170" si="78">+IF(J151&lt;$B$56,J151/$B$56,IF(AND(J151&gt;=$B$56,J151&lt;=$B$56+20),1,IF(J151&lt;=$K$142,(1-(J151-($B$56+20))/$B$56),0)))</f>
        <v>1</v>
      </c>
      <c r="N151" s="49">
        <f t="shared" si="70"/>
        <v>6240000</v>
      </c>
      <c r="O151" s="50">
        <f t="shared" si="71"/>
        <v>46.884903490988592</v>
      </c>
      <c r="P151" s="51">
        <f t="shared" si="72"/>
        <v>0.15868544600938966</v>
      </c>
      <c r="Q151" s="48">
        <f t="shared" si="73"/>
        <v>4.3294278746633457E-5</v>
      </c>
      <c r="R151" s="51">
        <f t="shared" ref="R151:R164" si="79">+IF(J151&lt;$F$56,J151/$F$56,IF(AND(J151&gt;=$F$56,J151&lt;=$F$56+20),1,IF(J151&lt;=$P$142,(1-(J151-($F$56+20))/$F$56),0)))</f>
        <v>1</v>
      </c>
      <c r="S151" s="49">
        <f t="shared" si="74"/>
        <v>2130000</v>
      </c>
      <c r="T151" s="50">
        <f t="shared" si="75"/>
        <v>14.633466216362107</v>
      </c>
      <c r="U151" s="50">
        <f t="shared" si="76"/>
        <v>61.518369707350701</v>
      </c>
      <c r="V151" s="3"/>
      <c r="W151" s="69">
        <f>+W97</f>
        <v>0</v>
      </c>
      <c r="X151" s="72">
        <f t="shared" si="77"/>
        <v>61.518369707350701</v>
      </c>
    </row>
    <row r="152" spans="10:24" x14ac:dyDescent="0.3">
      <c r="J152" s="2">
        <v>35</v>
      </c>
      <c r="K152" s="122">
        <f t="shared" si="68"/>
        <v>0.18894230769230769</v>
      </c>
      <c r="L152" s="48">
        <f t="shared" si="69"/>
        <v>3.9766669627640879E-5</v>
      </c>
      <c r="M152" s="51">
        <f t="shared" si="78"/>
        <v>1</v>
      </c>
      <c r="N152" s="49">
        <f t="shared" si="70"/>
        <v>6240000</v>
      </c>
      <c r="O152" s="50">
        <f t="shared" si="71"/>
        <v>46.884903490988592</v>
      </c>
      <c r="P152" s="51">
        <f t="shared" si="72"/>
        <v>0.15868544600938966</v>
      </c>
      <c r="Q152" s="48">
        <f t="shared" si="73"/>
        <v>4.3294278746633457E-5</v>
      </c>
      <c r="R152" s="51">
        <f t="shared" si="79"/>
        <v>1</v>
      </c>
      <c r="S152" s="49">
        <f t="shared" si="74"/>
        <v>2130000</v>
      </c>
      <c r="T152" s="50">
        <f t="shared" si="75"/>
        <v>14.633466216362107</v>
      </c>
      <c r="U152" s="50">
        <f t="shared" si="76"/>
        <v>61.518369707350701</v>
      </c>
      <c r="V152" s="3"/>
      <c r="W152" s="69">
        <f>+((W154-W151)*(J152-J151)/(J154-J151))+W151</f>
        <v>36.457703628500816</v>
      </c>
      <c r="X152" s="72">
        <f t="shared" si="77"/>
        <v>97.97607333585151</v>
      </c>
    </row>
    <row r="153" spans="10:24" s="20" customFormat="1" x14ac:dyDescent="0.3">
      <c r="J153" s="96">
        <f>+T.TRASNP.!C30</f>
        <v>35.186550908549599</v>
      </c>
      <c r="K153" s="122">
        <f t="shared" si="68"/>
        <v>0.18894230769230769</v>
      </c>
      <c r="L153" s="48">
        <f t="shared" si="69"/>
        <v>3.9766669627640879E-5</v>
      </c>
      <c r="M153" s="51">
        <f t="shared" si="78"/>
        <v>1</v>
      </c>
      <c r="N153" s="49">
        <f t="shared" si="70"/>
        <v>6240000</v>
      </c>
      <c r="O153" s="50">
        <f t="shared" si="71"/>
        <v>46.884903490988592</v>
      </c>
      <c r="P153" s="51">
        <f t="shared" si="72"/>
        <v>0.15868544600938966</v>
      </c>
      <c r="Q153" s="48">
        <f t="shared" si="73"/>
        <v>4.3294278746633457E-5</v>
      </c>
      <c r="R153" s="51">
        <f t="shared" si="79"/>
        <v>1</v>
      </c>
      <c r="S153" s="49">
        <f t="shared" si="74"/>
        <v>2130000</v>
      </c>
      <c r="T153" s="50">
        <f t="shared" si="75"/>
        <v>14.633466216362107</v>
      </c>
      <c r="U153" s="50">
        <f t="shared" si="76"/>
        <v>61.518369707350701</v>
      </c>
      <c r="V153" s="50">
        <f>+U51</f>
        <v>0</v>
      </c>
      <c r="W153" s="69">
        <f>+((W154-W151)*(J153-J151)/(J154-J151))+W151</f>
        <v>38.68485721978702</v>
      </c>
      <c r="X153" s="72">
        <f t="shared" si="77"/>
        <v>100.20322692713772</v>
      </c>
    </row>
    <row r="154" spans="10:24" s="20" customFormat="1" x14ac:dyDescent="0.3">
      <c r="J154" s="96">
        <f>+J151+5</f>
        <v>36.946228692022522</v>
      </c>
      <c r="K154" s="122">
        <f t="shared" si="68"/>
        <v>0.18894230769230769</v>
      </c>
      <c r="L154" s="48">
        <f t="shared" si="69"/>
        <v>3.9766669627640879E-5</v>
      </c>
      <c r="M154" s="51">
        <f t="shared" si="78"/>
        <v>1</v>
      </c>
      <c r="N154" s="49">
        <f t="shared" si="70"/>
        <v>6240000</v>
      </c>
      <c r="O154" s="50">
        <f t="shared" si="71"/>
        <v>46.884903490988592</v>
      </c>
      <c r="P154" s="51">
        <f t="shared" si="72"/>
        <v>0.15868544600938966</v>
      </c>
      <c r="Q154" s="48">
        <f t="shared" si="73"/>
        <v>4.3294278746633457E-5</v>
      </c>
      <c r="R154" s="51">
        <f t="shared" si="79"/>
        <v>0.97432946263625297</v>
      </c>
      <c r="S154" s="49">
        <f t="shared" si="74"/>
        <v>2075321.7554152189</v>
      </c>
      <c r="T154" s="50">
        <f t="shared" si="75"/>
        <v>14.257817275093855</v>
      </c>
      <c r="U154" s="50">
        <f t="shared" si="76"/>
        <v>61.142720766082448</v>
      </c>
      <c r="V154" s="50">
        <f>+((V156-V153)*(J154-J153)/(J156-J153))+V153</f>
        <v>27.849329952492013</v>
      </c>
      <c r="W154" s="69">
        <f>+W98</f>
        <v>59.692917300750437</v>
      </c>
      <c r="X154" s="72">
        <f t="shared" si="77"/>
        <v>148.68496801932491</v>
      </c>
    </row>
    <row r="155" spans="10:24" x14ac:dyDescent="0.3">
      <c r="J155" s="2">
        <v>40</v>
      </c>
      <c r="K155" s="122">
        <f t="shared" si="68"/>
        <v>0.18894230769230769</v>
      </c>
      <c r="L155" s="48">
        <f t="shared" si="69"/>
        <v>3.9766669627640879E-5</v>
      </c>
      <c r="M155" s="51">
        <f t="shared" si="78"/>
        <v>1</v>
      </c>
      <c r="N155" s="49">
        <f t="shared" si="70"/>
        <v>6240000</v>
      </c>
      <c r="O155" s="50">
        <f t="shared" si="71"/>
        <v>46.884903490988592</v>
      </c>
      <c r="P155" s="51">
        <f t="shared" si="72"/>
        <v>0.15868544600938966</v>
      </c>
      <c r="Q155" s="48">
        <f t="shared" si="73"/>
        <v>4.3294278746633457E-5</v>
      </c>
      <c r="R155" s="51">
        <f t="shared" si="79"/>
        <v>0.78949994597136075</v>
      </c>
      <c r="S155" s="49">
        <f t="shared" si="74"/>
        <v>1681634.8849189985</v>
      </c>
      <c r="T155" s="50">
        <f t="shared" si="75"/>
        <v>11.553120787191617</v>
      </c>
      <c r="U155" s="50">
        <f t="shared" si="76"/>
        <v>58.438024278180208</v>
      </c>
      <c r="V155" s="50">
        <f>+((V156-V154)*(J155-J154)/(J156-J154))+V154</f>
        <v>76.179476274775496</v>
      </c>
      <c r="W155" s="69">
        <f>+((W157-W154)*(J155-J154)/(J157-J154))+W154</f>
        <v>96.150620929251261</v>
      </c>
      <c r="X155" s="72">
        <f t="shared" si="77"/>
        <v>230.76812148220696</v>
      </c>
    </row>
    <row r="156" spans="10:24" s="20" customFormat="1" x14ac:dyDescent="0.3">
      <c r="J156" s="96">
        <f>+J153+5</f>
        <v>40.186550908549599</v>
      </c>
      <c r="K156" s="122">
        <f t="shared" si="68"/>
        <v>0.18894230769230769</v>
      </c>
      <c r="L156" s="48">
        <f t="shared" si="69"/>
        <v>3.9766669627640879E-5</v>
      </c>
      <c r="M156" s="51">
        <f t="shared" si="78"/>
        <v>1</v>
      </c>
      <c r="N156" s="49">
        <f t="shared" si="70"/>
        <v>6240000</v>
      </c>
      <c r="O156" s="50">
        <f t="shared" si="71"/>
        <v>46.884903490988592</v>
      </c>
      <c r="P156" s="51">
        <f t="shared" si="72"/>
        <v>0.15868544600938966</v>
      </c>
      <c r="Q156" s="48">
        <f t="shared" si="73"/>
        <v>4.3294278746633457E-5</v>
      </c>
      <c r="R156" s="51">
        <f t="shared" si="79"/>
        <v>0.77820895172744176</v>
      </c>
      <c r="S156" s="49">
        <f t="shared" si="74"/>
        <v>1657585.067179451</v>
      </c>
      <c r="T156" s="50">
        <f t="shared" si="75"/>
        <v>11.387894404374089</v>
      </c>
      <c r="U156" s="50">
        <f t="shared" si="76"/>
        <v>58.272797895362679</v>
      </c>
      <c r="V156" s="50">
        <f>+U52</f>
        <v>79.131901914247621</v>
      </c>
      <c r="W156" s="69">
        <f>+((W157-W154)*(J156-J154)/(J157-J154))+W154</f>
        <v>98.377774520537457</v>
      </c>
      <c r="X156" s="72">
        <f t="shared" si="77"/>
        <v>235.78247433014775</v>
      </c>
    </row>
    <row r="157" spans="10:24" s="20" customFormat="1" x14ac:dyDescent="0.3">
      <c r="J157" s="96">
        <f>+J154+5</f>
        <v>41.946228692022522</v>
      </c>
      <c r="K157" s="122">
        <f t="shared" si="68"/>
        <v>0.18894230769230769</v>
      </c>
      <c r="L157" s="48">
        <f t="shared" si="69"/>
        <v>3.9766669627640879E-5</v>
      </c>
      <c r="M157" s="51">
        <f t="shared" si="78"/>
        <v>0.9441813316679607</v>
      </c>
      <c r="N157" s="49">
        <f t="shared" si="70"/>
        <v>5891691.509608075</v>
      </c>
      <c r="O157" s="50">
        <f t="shared" si="71"/>
        <v>44.267850613245429</v>
      </c>
      <c r="P157" s="51">
        <f t="shared" si="72"/>
        <v>0.15868544600938966</v>
      </c>
      <c r="Q157" s="48">
        <f t="shared" si="73"/>
        <v>4.3294278746633457E-5</v>
      </c>
      <c r="R157" s="51">
        <f t="shared" si="79"/>
        <v>0.67170444912909311</v>
      </c>
      <c r="S157" s="49">
        <f t="shared" si="74"/>
        <v>1430730.4766449684</v>
      </c>
      <c r="T157" s="50">
        <f t="shared" si="75"/>
        <v>9.8293643637107042</v>
      </c>
      <c r="U157" s="50">
        <f t="shared" si="76"/>
        <v>54.097214976956131</v>
      </c>
      <c r="V157" s="50">
        <f>+((V159-V156)*(J157-J156)/(J159-J156))+V156</f>
        <v>106.98123186673963</v>
      </c>
      <c r="W157" s="69">
        <f>+W99</f>
        <v>119.38583460150087</v>
      </c>
      <c r="X157" s="72">
        <f t="shared" si="77"/>
        <v>280.46428144519666</v>
      </c>
    </row>
    <row r="158" spans="10:24" x14ac:dyDescent="0.3">
      <c r="J158" s="2">
        <v>45</v>
      </c>
      <c r="K158" s="122">
        <f t="shared" si="68"/>
        <v>0.18894230769230769</v>
      </c>
      <c r="L158" s="48">
        <f t="shared" si="69"/>
        <v>3.9766669627640879E-5</v>
      </c>
      <c r="M158" s="51">
        <f t="shared" si="78"/>
        <v>0.79726639694154999</v>
      </c>
      <c r="N158" s="49">
        <f t="shared" si="70"/>
        <v>4974942.3169152718</v>
      </c>
      <c r="O158" s="50">
        <f t="shared" si="71"/>
        <v>37.37975807721277</v>
      </c>
      <c r="P158" s="51">
        <f t="shared" si="72"/>
        <v>0.15868544600938966</v>
      </c>
      <c r="Q158" s="48">
        <f t="shared" si="73"/>
        <v>4.3294278746633457E-5</v>
      </c>
      <c r="R158" s="51">
        <f t="shared" si="79"/>
        <v>0.48687493246420088</v>
      </c>
      <c r="S158" s="49">
        <f t="shared" si="74"/>
        <v>1037043.6061487478</v>
      </c>
      <c r="T158" s="50">
        <f t="shared" si="75"/>
        <v>7.1246678758084663</v>
      </c>
      <c r="U158" s="50">
        <f t="shared" si="76"/>
        <v>44.50442595302124</v>
      </c>
      <c r="V158" s="50">
        <f>+((V159-V157)*(J158-J157)/(J159-J157))+V157</f>
        <v>155.31137818902312</v>
      </c>
      <c r="W158" s="69">
        <f>+((W160-W157)*(J158-J157)/(J160-J157))+W157</f>
        <v>139.7759809133677</v>
      </c>
      <c r="X158" s="72">
        <f t="shared" si="77"/>
        <v>339.59178505541206</v>
      </c>
    </row>
    <row r="159" spans="10:24" x14ac:dyDescent="0.3">
      <c r="J159" s="96">
        <f>+J156+5</f>
        <v>45.186550908549599</v>
      </c>
      <c r="K159" s="122">
        <f t="shared" si="68"/>
        <v>0.18894230769230769</v>
      </c>
      <c r="L159" s="48">
        <f t="shared" si="69"/>
        <v>3.9766669627640879E-5</v>
      </c>
      <c r="M159" s="51">
        <f t="shared" si="78"/>
        <v>0.78829155508580251</v>
      </c>
      <c r="N159" s="49">
        <f t="shared" si="70"/>
        <v>4918939.303735408</v>
      </c>
      <c r="O159" s="50">
        <f t="shared" si="71"/>
        <v>36.958973482959173</v>
      </c>
      <c r="P159" s="51">
        <f t="shared" si="72"/>
        <v>0.15868544600938966</v>
      </c>
      <c r="Q159" s="48">
        <f t="shared" si="73"/>
        <v>4.3294278746633457E-5</v>
      </c>
      <c r="R159" s="51">
        <f t="shared" si="79"/>
        <v>0.47558393822028189</v>
      </c>
      <c r="S159" s="49">
        <f t="shared" si="74"/>
        <v>1012993.7884092004</v>
      </c>
      <c r="T159" s="50">
        <f t="shared" si="75"/>
        <v>6.9594414929909387</v>
      </c>
      <c r="U159" s="50">
        <f t="shared" si="76"/>
        <v>43.918414975950114</v>
      </c>
      <c r="V159" s="50">
        <f>+U53</f>
        <v>158.26380382849524</v>
      </c>
      <c r="W159" s="69">
        <f>+((W160-W157)*(J159-J157)/(J160-J157))+W157</f>
        <v>141.02158837257764</v>
      </c>
      <c r="X159" s="72">
        <f t="shared" si="77"/>
        <v>343.20380717702301</v>
      </c>
    </row>
    <row r="160" spans="10:24" s="20" customFormat="1" x14ac:dyDescent="0.3">
      <c r="J160" s="96">
        <f>+J157+5</f>
        <v>46.946228692022522</v>
      </c>
      <c r="K160" s="122">
        <f t="shared" si="68"/>
        <v>0.18894230769230769</v>
      </c>
      <c r="L160" s="48">
        <f t="shared" si="69"/>
        <v>3.9766669627640879E-5</v>
      </c>
      <c r="M160" s="51">
        <f t="shared" si="78"/>
        <v>0.70363461105627068</v>
      </c>
      <c r="N160" s="49">
        <f t="shared" si="70"/>
        <v>4390679.9729911294</v>
      </c>
      <c r="O160" s="50">
        <f t="shared" si="71"/>
        <v>32.98984083229255</v>
      </c>
      <c r="P160" s="51">
        <f t="shared" si="72"/>
        <v>0.15868544600938966</v>
      </c>
      <c r="Q160" s="48">
        <f t="shared" si="73"/>
        <v>4.3294278746633457E-5</v>
      </c>
      <c r="R160" s="51">
        <f t="shared" si="79"/>
        <v>0.36907943562193335</v>
      </c>
      <c r="S160" s="49">
        <f t="shared" si="74"/>
        <v>786139.197874718</v>
      </c>
      <c r="T160" s="50">
        <f t="shared" si="75"/>
        <v>5.4009114523275548</v>
      </c>
      <c r="U160" s="50">
        <f t="shared" si="76"/>
        <v>38.390752284620106</v>
      </c>
      <c r="V160" s="50">
        <f>+((V162-V159)*(J160-J159)/(J162-J159))+V159</f>
        <v>184.19040670695222</v>
      </c>
      <c r="W160" s="69">
        <f>+W100</f>
        <v>152.77102336563803</v>
      </c>
      <c r="X160" s="72">
        <f t="shared" si="77"/>
        <v>375.35218235721038</v>
      </c>
    </row>
    <row r="161" spans="10:27" x14ac:dyDescent="0.3">
      <c r="J161" s="2">
        <v>50</v>
      </c>
      <c r="K161" s="122">
        <f t="shared" si="68"/>
        <v>0.18894230769230769</v>
      </c>
      <c r="L161" s="48">
        <f t="shared" si="69"/>
        <v>3.9766669627640879E-5</v>
      </c>
      <c r="M161" s="51">
        <f t="shared" si="78"/>
        <v>0.55671967632985986</v>
      </c>
      <c r="N161" s="49">
        <f t="shared" si="70"/>
        <v>3473930.7802983257</v>
      </c>
      <c r="O161" s="50">
        <f t="shared" si="71"/>
        <v>26.101748296259888</v>
      </c>
      <c r="P161" s="51">
        <f t="shared" si="72"/>
        <v>0.15868544600938966</v>
      </c>
      <c r="Q161" s="48">
        <f t="shared" si="73"/>
        <v>4.3294278746633457E-5</v>
      </c>
      <c r="R161" s="51">
        <f t="shared" si="79"/>
        <v>0.18424991895704113</v>
      </c>
      <c r="S161" s="49">
        <f t="shared" si="74"/>
        <v>392452.32737849758</v>
      </c>
      <c r="T161" s="50">
        <f t="shared" si="75"/>
        <v>2.6962149644253173</v>
      </c>
      <c r="U161" s="50">
        <f t="shared" si="76"/>
        <v>28.797963260685204</v>
      </c>
      <c r="V161" s="50">
        <f>+((V162-V160)*(J161-J160)/(J162-J160))+V160</f>
        <v>229.18382352858157</v>
      </c>
      <c r="W161" s="69">
        <f>+((W163-W160)*(J161-J160)/(J163-J160))+W160</f>
        <v>167.15914428550701</v>
      </c>
      <c r="X161" s="72">
        <f t="shared" si="77"/>
        <v>425.14093107477379</v>
      </c>
    </row>
    <row r="162" spans="10:27" x14ac:dyDescent="0.3">
      <c r="J162" s="96">
        <f>+J159+5</f>
        <v>50.186550908549599</v>
      </c>
      <c r="K162" s="122">
        <f t="shared" si="68"/>
        <v>0.18894230769230769</v>
      </c>
      <c r="L162" s="48">
        <f t="shared" si="69"/>
        <v>3.9766669627640879E-5</v>
      </c>
      <c r="M162" s="51">
        <f t="shared" si="78"/>
        <v>0.54774483447411249</v>
      </c>
      <c r="N162" s="49">
        <f t="shared" si="70"/>
        <v>3417927.7671184619</v>
      </c>
      <c r="O162" s="50">
        <f t="shared" si="71"/>
        <v>25.680963702006284</v>
      </c>
      <c r="P162" s="51">
        <f t="shared" si="72"/>
        <v>0.15868544600938966</v>
      </c>
      <c r="Q162" s="48">
        <f t="shared" si="73"/>
        <v>4.3294278746633457E-5</v>
      </c>
      <c r="R162" s="51">
        <f t="shared" si="79"/>
        <v>0.17295892471312202</v>
      </c>
      <c r="S162" s="49">
        <f t="shared" si="74"/>
        <v>368402.50963894988</v>
      </c>
      <c r="T162" s="50">
        <f t="shared" si="75"/>
        <v>2.5309885816077879</v>
      </c>
      <c r="U162" s="50">
        <f t="shared" si="76"/>
        <v>28.211952283614071</v>
      </c>
      <c r="V162" s="50">
        <f>+U54</f>
        <v>231.93241271235541</v>
      </c>
      <c r="W162" s="69">
        <f>+((W163-W160)*(J162-J160)/(J163-J160))+W160</f>
        <v>168.0380958372854</v>
      </c>
      <c r="X162" s="72">
        <f t="shared" si="77"/>
        <v>428.18246083325494</v>
      </c>
    </row>
    <row r="163" spans="10:27" s="20" customFormat="1" x14ac:dyDescent="0.3">
      <c r="J163" s="96">
        <f>+J160+5</f>
        <v>51.946228692022522</v>
      </c>
      <c r="K163" s="122">
        <f t="shared" si="68"/>
        <v>0.18894230769230769</v>
      </c>
      <c r="L163" s="48">
        <f t="shared" si="69"/>
        <v>3.9766669627640879E-5</v>
      </c>
      <c r="M163" s="51">
        <f t="shared" si="78"/>
        <v>0.46308789044458065</v>
      </c>
      <c r="N163" s="49">
        <f t="shared" si="70"/>
        <v>2889668.4363741833</v>
      </c>
      <c r="O163" s="50">
        <f t="shared" si="71"/>
        <v>21.711831051339662</v>
      </c>
      <c r="P163" s="51">
        <f t="shared" si="72"/>
        <v>0.15868544600938966</v>
      </c>
      <c r="Q163" s="48">
        <f t="shared" si="73"/>
        <v>4.3294278746633457E-5</v>
      </c>
      <c r="R163" s="51">
        <f t="shared" si="79"/>
        <v>6.6454422114773481E-2</v>
      </c>
      <c r="S163" s="49">
        <f t="shared" si="74"/>
        <v>141547.91910446752</v>
      </c>
      <c r="T163" s="50">
        <f t="shared" si="75"/>
        <v>0.97245854094440476</v>
      </c>
      <c r="U163" s="50">
        <f t="shared" si="76"/>
        <v>22.684289592284067</v>
      </c>
      <c r="V163" s="50">
        <f>+((V165-V162)*(J163-J162)/(J165-J162))+V162</f>
        <v>243.80901992501265</v>
      </c>
      <c r="W163" s="69">
        <f>+W101</f>
        <v>176.32897756194996</v>
      </c>
      <c r="X163" s="72">
        <f t="shared" si="77"/>
        <v>442.82228707924668</v>
      </c>
    </row>
    <row r="164" spans="10:27" x14ac:dyDescent="0.3">
      <c r="J164" s="2">
        <v>55</v>
      </c>
      <c r="K164" s="122">
        <f t="shared" si="68"/>
        <v>0.18894230769230769</v>
      </c>
      <c r="L164" s="48">
        <f t="shared" si="69"/>
        <v>3.9766669627640879E-5</v>
      </c>
      <c r="M164" s="51">
        <f t="shared" si="78"/>
        <v>0.31617295571816995</v>
      </c>
      <c r="N164" s="49">
        <f t="shared" si="70"/>
        <v>1972919.2436813805</v>
      </c>
      <c r="O164" s="50">
        <f t="shared" si="71"/>
        <v>14.823738515307008</v>
      </c>
      <c r="P164" s="51">
        <f t="shared" si="72"/>
        <v>0.15868544600938966</v>
      </c>
      <c r="Q164" s="48">
        <f t="shared" si="73"/>
        <v>4.3294278746633457E-5</v>
      </c>
      <c r="R164" s="51">
        <f t="shared" si="79"/>
        <v>0</v>
      </c>
      <c r="S164" s="49">
        <f t="shared" si="74"/>
        <v>0</v>
      </c>
      <c r="T164" s="50">
        <f t="shared" si="75"/>
        <v>0</v>
      </c>
      <c r="U164" s="50">
        <f t="shared" si="76"/>
        <v>14.823738515307008</v>
      </c>
      <c r="V164" s="50">
        <f>+((V165-V163)*(J164-J163)/(J165-J163))+V163</f>
        <v>264.41986282066551</v>
      </c>
      <c r="W164" s="69">
        <f>+((W166-W163)*(J164-J163)/(J166-J163))+W163</f>
        <v>190.71709848181897</v>
      </c>
      <c r="X164" s="72">
        <f t="shared" si="77"/>
        <v>469.96069981779146</v>
      </c>
    </row>
    <row r="165" spans="10:27" x14ac:dyDescent="0.3">
      <c r="J165" s="96">
        <f>+J162+5</f>
        <v>55.186550908549599</v>
      </c>
      <c r="K165" s="122">
        <f t="shared" si="68"/>
        <v>0.18894230769230769</v>
      </c>
      <c r="L165" s="48">
        <f t="shared" si="69"/>
        <v>3.9766669627640879E-5</v>
      </c>
      <c r="M165" s="51">
        <f t="shared" si="78"/>
        <v>0.30719811386242246</v>
      </c>
      <c r="N165" s="49">
        <f t="shared" si="70"/>
        <v>1916916.2305015163</v>
      </c>
      <c r="O165" s="50">
        <f t="shared" si="71"/>
        <v>14.402953921053403</v>
      </c>
      <c r="P165" s="51"/>
      <c r="Q165" s="48"/>
      <c r="R165" s="51"/>
      <c r="S165" s="49"/>
      <c r="T165" s="50"/>
      <c r="U165" s="50">
        <f t="shared" si="76"/>
        <v>14.402953921053403</v>
      </c>
      <c r="V165" s="50">
        <f>+U55</f>
        <v>265.67895234649632</v>
      </c>
      <c r="W165" s="69">
        <f>+((W166-W163)*(J165-J163)/(J166-J163))+W163</f>
        <v>191.59605003359732</v>
      </c>
      <c r="X165" s="72">
        <f t="shared" si="77"/>
        <v>471.67795630114699</v>
      </c>
    </row>
    <row r="166" spans="10:27" s="20" customFormat="1" x14ac:dyDescent="0.3">
      <c r="J166" s="96">
        <f>+J163+5</f>
        <v>56.946228692022522</v>
      </c>
      <c r="K166" s="122">
        <f t="shared" si="68"/>
        <v>0.18894230769230769</v>
      </c>
      <c r="L166" s="48">
        <f t="shared" si="69"/>
        <v>3.9766669627640879E-5</v>
      </c>
      <c r="M166" s="51">
        <f t="shared" si="78"/>
        <v>0.22254116983289063</v>
      </c>
      <c r="N166" s="49">
        <f t="shared" si="70"/>
        <v>1388656.8997572374</v>
      </c>
      <c r="O166" s="50">
        <f t="shared" si="71"/>
        <v>10.433821270386778</v>
      </c>
      <c r="P166" s="51"/>
      <c r="Q166" s="48"/>
      <c r="R166" s="51"/>
      <c r="S166" s="49"/>
      <c r="T166" s="50"/>
      <c r="U166" s="50">
        <f t="shared" si="76"/>
        <v>10.433821270386778</v>
      </c>
      <c r="V166" s="50">
        <f>+((V168-V165)*(J166-J165)/(J168-J165))+V165</f>
        <v>277.55555955915355</v>
      </c>
      <c r="W166" s="69">
        <f>+W102</f>
        <v>199.88693175826191</v>
      </c>
      <c r="X166" s="72">
        <f t="shared" si="77"/>
        <v>487.8763125878022</v>
      </c>
    </row>
    <row r="167" spans="10:27" x14ac:dyDescent="0.3">
      <c r="J167" s="2">
        <v>60</v>
      </c>
      <c r="K167" s="122">
        <f t="shared" si="68"/>
        <v>0.18894230769230769</v>
      </c>
      <c r="L167" s="48">
        <f t="shared" si="69"/>
        <v>3.9766669627640879E-5</v>
      </c>
      <c r="M167" s="51">
        <f t="shared" si="78"/>
        <v>7.5626235106479811E-2</v>
      </c>
      <c r="N167" s="49">
        <f t="shared" si="70"/>
        <v>471907.70706443401</v>
      </c>
      <c r="O167" s="50">
        <f t="shared" si="71"/>
        <v>3.5457287343541193</v>
      </c>
      <c r="P167" s="51"/>
      <c r="Q167" s="48"/>
      <c r="R167" s="51"/>
      <c r="S167" s="49"/>
      <c r="T167" s="50"/>
      <c r="U167" s="50">
        <f t="shared" si="76"/>
        <v>3.5457287343541193</v>
      </c>
      <c r="V167" s="50">
        <f>+((V168-V166)*(J167-J166)/(J168-J166))+V166</f>
        <v>298.16640245480636</v>
      </c>
      <c r="W167" s="69">
        <f>+((W169-W166)*(J167-J166)/(J169-J166))+W166</f>
        <v>205.67282852879808</v>
      </c>
      <c r="X167" s="72">
        <f t="shared" si="77"/>
        <v>507.38495971795851</v>
      </c>
    </row>
    <row r="168" spans="10:27" x14ac:dyDescent="0.3">
      <c r="J168" s="96">
        <f>+J165+5</f>
        <v>60.186550908549599</v>
      </c>
      <c r="K168" s="122">
        <f t="shared" si="68"/>
        <v>0.18894230769230769</v>
      </c>
      <c r="L168" s="48">
        <f t="shared" si="69"/>
        <v>3.9766669627640879E-5</v>
      </c>
      <c r="M168" s="51">
        <f t="shared" si="78"/>
        <v>6.6651393250732438E-2</v>
      </c>
      <c r="N168" s="49">
        <f t="shared" si="70"/>
        <v>415904.69388457038</v>
      </c>
      <c r="O168" s="50">
        <f t="shared" si="71"/>
        <v>3.1249441401005185</v>
      </c>
      <c r="P168" s="51"/>
      <c r="Q168" s="48"/>
      <c r="R168" s="51"/>
      <c r="S168" s="49"/>
      <c r="T168" s="50"/>
      <c r="U168" s="50">
        <f t="shared" si="76"/>
        <v>3.1249441401005185</v>
      </c>
      <c r="V168" s="50">
        <f>+U56</f>
        <v>299.42549198063716</v>
      </c>
      <c r="W168" s="69">
        <f>+((W169-W166)*(J168-J166)/(J169-J166))+W166</f>
        <v>206.02628142047271</v>
      </c>
      <c r="X168" s="72">
        <f t="shared" si="77"/>
        <v>508.57671754121043</v>
      </c>
    </row>
    <row r="169" spans="10:27" s="20" customFormat="1" x14ac:dyDescent="0.3">
      <c r="J169" s="96">
        <f>+J166+5</f>
        <v>61.946228692022522</v>
      </c>
      <c r="K169" s="122">
        <f t="shared" si="68"/>
        <v>0.18894230769230769</v>
      </c>
      <c r="L169" s="48">
        <f t="shared" si="69"/>
        <v>3.9766669627640879E-5</v>
      </c>
      <c r="M169" s="51">
        <f t="shared" si="78"/>
        <v>0</v>
      </c>
      <c r="N169" s="49">
        <f t="shared" si="70"/>
        <v>0</v>
      </c>
      <c r="O169" s="50">
        <f t="shared" si="71"/>
        <v>0</v>
      </c>
      <c r="P169" s="51"/>
      <c r="Q169" s="48"/>
      <c r="R169" s="51"/>
      <c r="S169" s="49"/>
      <c r="T169" s="50"/>
      <c r="U169" s="50">
        <f t="shared" si="76"/>
        <v>0</v>
      </c>
      <c r="V169" s="50">
        <f>+((V171-V168)*(J169-J168)/(J171-J168))+V168</f>
        <v>311.3020991932944</v>
      </c>
      <c r="W169" s="69">
        <f>+W103</f>
        <v>209.36029467090285</v>
      </c>
      <c r="X169" s="72">
        <f t="shared" si="77"/>
        <v>520.66239386419727</v>
      </c>
    </row>
    <row r="170" spans="10:27" x14ac:dyDescent="0.3">
      <c r="J170" s="2">
        <v>65</v>
      </c>
      <c r="K170" s="122">
        <f t="shared" si="68"/>
        <v>0.18894230769230769</v>
      </c>
      <c r="L170" s="48">
        <f t="shared" si="69"/>
        <v>3.9766669627640879E-5</v>
      </c>
      <c r="M170" s="51">
        <f t="shared" si="78"/>
        <v>0</v>
      </c>
      <c r="N170" s="49">
        <f t="shared" si="70"/>
        <v>0</v>
      </c>
      <c r="O170" s="50">
        <f t="shared" si="71"/>
        <v>0</v>
      </c>
      <c r="P170" s="51"/>
      <c r="Q170" s="48"/>
      <c r="R170" s="51"/>
      <c r="S170" s="49"/>
      <c r="T170" s="50"/>
      <c r="U170" s="50">
        <f t="shared" si="76"/>
        <v>0</v>
      </c>
      <c r="V170" s="50">
        <f>+((V171-V169)*(J170-J169)/(J171-J169))+V169</f>
        <v>331.91294208894715</v>
      </c>
      <c r="W170" s="69">
        <f>+((W172-W169)*(J170-J169)/(J172-J169))+W169</f>
        <v>193.29273735426881</v>
      </c>
      <c r="X170" s="72">
        <f t="shared" si="77"/>
        <v>525.20567944321601</v>
      </c>
    </row>
    <row r="171" spans="10:27" x14ac:dyDescent="0.3">
      <c r="J171" s="96">
        <f>+J168+5</f>
        <v>65.186550908549606</v>
      </c>
      <c r="K171" s="51"/>
      <c r="L171" s="48"/>
      <c r="M171" s="51"/>
      <c r="N171" s="49"/>
      <c r="O171" s="50"/>
      <c r="P171" s="51"/>
      <c r="Q171" s="48"/>
      <c r="R171" s="51"/>
      <c r="S171" s="49"/>
      <c r="T171" s="50"/>
      <c r="U171" s="50"/>
      <c r="V171" s="50">
        <f>+U57</f>
        <v>333.17203161477801</v>
      </c>
      <c r="W171" s="69">
        <f>+((W172-W169)*(J171-J169)/(J172-J169))+W169</f>
        <v>192.31119122219249</v>
      </c>
      <c r="X171" s="72">
        <f t="shared" si="77"/>
        <v>525.48322283697053</v>
      </c>
      <c r="Z171" s="1">
        <v>70</v>
      </c>
      <c r="AA171" s="1">
        <f>+((X173-X172)*(Z171-J172)/(J173-J172))+X172</f>
        <v>521.3830085740567</v>
      </c>
    </row>
    <row r="172" spans="10:27" s="20" customFormat="1" x14ac:dyDescent="0.3">
      <c r="J172" s="96">
        <f>+J169+5</f>
        <v>66.946228692022515</v>
      </c>
      <c r="K172" s="51"/>
      <c r="L172" s="48"/>
      <c r="M172" s="51"/>
      <c r="N172" s="49"/>
      <c r="O172" s="50"/>
      <c r="P172" s="51"/>
      <c r="Q172" s="48"/>
      <c r="R172" s="51"/>
      <c r="S172" s="49"/>
      <c r="T172" s="50"/>
      <c r="U172" s="50"/>
      <c r="V172" s="50">
        <f>+((V173-V171)*(J172-J171)/(J173-J171))+V171</f>
        <v>343.12591175340015</v>
      </c>
      <c r="W172" s="69">
        <f>+W104</f>
        <v>183.05256613428955</v>
      </c>
      <c r="X172" s="72">
        <f t="shared" si="77"/>
        <v>526.17847788768972</v>
      </c>
      <c r="Z172" s="20">
        <v>75</v>
      </c>
      <c r="AA172" s="20">
        <f>+((X175-X174)*(Z172-J174)/(J175-J174))+X174</f>
        <v>485.16425440623158</v>
      </c>
    </row>
    <row r="173" spans="10:27" x14ac:dyDescent="0.3">
      <c r="J173" s="96">
        <f t="shared" ref="J173:J189" si="80">+J171+5</f>
        <v>70.186550908549606</v>
      </c>
      <c r="K173" s="51"/>
      <c r="L173" s="48"/>
      <c r="M173" s="51"/>
      <c r="N173" s="49"/>
      <c r="O173" s="50"/>
      <c r="P173" s="51"/>
      <c r="Q173" s="48"/>
      <c r="R173" s="3"/>
      <c r="S173" s="3"/>
      <c r="T173" s="3"/>
      <c r="U173" s="3"/>
      <c r="V173" s="50">
        <f t="shared" ref="V173" si="81">+U58</f>
        <v>361.45527821853148</v>
      </c>
      <c r="W173" s="98">
        <f>+((W174-W172)*(J173-J172)/(J174-J172))+W172</f>
        <v>159.6347813861498</v>
      </c>
      <c r="X173" s="72">
        <f t="shared" si="77"/>
        <v>521.0900596046813</v>
      </c>
      <c r="Z173" s="1">
        <v>80</v>
      </c>
      <c r="AA173" s="20">
        <f>+((X177-X176)*(Z173-J176)/(J177-J176))+X176</f>
        <v>457.27278925927806</v>
      </c>
    </row>
    <row r="174" spans="10:27" s="20" customFormat="1" x14ac:dyDescent="0.3">
      <c r="J174" s="96">
        <f t="shared" si="80"/>
        <v>71.946228692022515</v>
      </c>
      <c r="K174" s="51"/>
      <c r="L174" s="48"/>
      <c r="M174" s="51"/>
      <c r="N174" s="49"/>
      <c r="O174" s="50"/>
      <c r="P174" s="51"/>
      <c r="Q174" s="48"/>
      <c r="R174" s="3"/>
      <c r="S174" s="3"/>
      <c r="T174" s="3"/>
      <c r="U174" s="3"/>
      <c r="V174" s="50">
        <f>+((V175-V173)*(J174-J173)/(J175-J173))+V173</f>
        <v>357.35916269135396</v>
      </c>
      <c r="W174" s="69">
        <f>+W105</f>
        <v>146.91760302985105</v>
      </c>
      <c r="X174" s="72">
        <f t="shared" si="77"/>
        <v>504.27676572120504</v>
      </c>
      <c r="Z174" s="20">
        <v>85</v>
      </c>
      <c r="AA174" s="20">
        <f t="shared" ref="AA174:AA187" si="82">+((X176-X175)*(Z174-J175)/(J176-J175))+X175</f>
        <v>422.57767084299894</v>
      </c>
    </row>
    <row r="175" spans="10:27" x14ac:dyDescent="0.3">
      <c r="J175" s="96">
        <f t="shared" si="80"/>
        <v>75.186550908549606</v>
      </c>
      <c r="K175" s="51"/>
      <c r="L175" s="48"/>
      <c r="M175" s="51"/>
      <c r="N175" s="49"/>
      <c r="O175" s="50"/>
      <c r="P175" s="51"/>
      <c r="Q175" s="48"/>
      <c r="R175" s="3"/>
      <c r="S175" s="3"/>
      <c r="T175" s="3"/>
      <c r="U175" s="3"/>
      <c r="V175" s="50">
        <f>+U59</f>
        <v>349.81645557256559</v>
      </c>
      <c r="W175" s="98">
        <f>+((W176-W174)*(J175-J174)/(J176-J174))+W174</f>
        <v>134.18024043099226</v>
      </c>
      <c r="X175" s="72">
        <f t="shared" si="77"/>
        <v>483.99669600355787</v>
      </c>
      <c r="Z175" s="1">
        <v>90</v>
      </c>
      <c r="AA175" s="20">
        <f t="shared" si="82"/>
        <v>405.8259614000043</v>
      </c>
    </row>
    <row r="176" spans="10:27" s="20" customFormat="1" x14ac:dyDescent="0.3">
      <c r="J176" s="96">
        <f t="shared" si="80"/>
        <v>76.946228692022515</v>
      </c>
      <c r="K176" s="51"/>
      <c r="L176" s="48"/>
      <c r="M176" s="51"/>
      <c r="N176" s="49"/>
      <c r="O176" s="50"/>
      <c r="P176" s="51"/>
      <c r="Q176" s="48"/>
      <c r="R176" s="3"/>
      <c r="S176" s="3"/>
      <c r="T176" s="3"/>
      <c r="U176" s="3"/>
      <c r="V176" s="50">
        <f>+((V177-V175)*(J176-J175)/(J177-J175))+V175</f>
        <v>345.72034004538807</v>
      </c>
      <c r="W176" s="69">
        <f>+W106</f>
        <v>127.26313389420065</v>
      </c>
      <c r="X176" s="72">
        <f t="shared" si="77"/>
        <v>472.98347393958875</v>
      </c>
      <c r="Z176" s="20">
        <v>95</v>
      </c>
      <c r="AA176" s="20">
        <f t="shared" si="82"/>
        <v>345.36680030414982</v>
      </c>
    </row>
    <row r="177" spans="10:27" x14ac:dyDescent="0.3">
      <c r="J177" s="96">
        <f t="shared" si="80"/>
        <v>80.186550908549606</v>
      </c>
      <c r="K177" s="51"/>
      <c r="L177" s="48"/>
      <c r="M177" s="51"/>
      <c r="N177" s="49"/>
      <c r="O177" s="50"/>
      <c r="P177" s="51"/>
      <c r="Q177" s="48"/>
      <c r="R177" s="3"/>
      <c r="S177" s="3"/>
      <c r="T177" s="3"/>
      <c r="U177" s="3"/>
      <c r="V177" s="50">
        <f>+U60</f>
        <v>338.1776329265997</v>
      </c>
      <c r="W177" s="98">
        <f>+((W178-W176)*(J177-J176)/(J178-J176))+W176</f>
        <v>118.13541108476407</v>
      </c>
      <c r="X177" s="72">
        <f t="shared" si="77"/>
        <v>456.31304401136379</v>
      </c>
      <c r="Z177" s="1">
        <v>100</v>
      </c>
      <c r="AA177" s="20">
        <f t="shared" si="82"/>
        <v>396.6859182220951</v>
      </c>
    </row>
    <row r="178" spans="10:27" s="20" customFormat="1" x14ac:dyDescent="0.3">
      <c r="J178" s="96">
        <f t="shared" si="80"/>
        <v>81.946228692022515</v>
      </c>
      <c r="K178" s="51"/>
      <c r="L178" s="48"/>
      <c r="M178" s="51"/>
      <c r="N178" s="49"/>
      <c r="O178" s="50"/>
      <c r="P178" s="51"/>
      <c r="Q178" s="48"/>
      <c r="R178" s="3"/>
      <c r="S178" s="3"/>
      <c r="T178" s="3"/>
      <c r="U178" s="3"/>
      <c r="V178" s="50">
        <f>+((V179-V177)*(J178-J177)/(J179-J177))+V177</f>
        <v>329.95528574308213</v>
      </c>
      <c r="W178" s="69">
        <f>+W107</f>
        <v>113.17854261052966</v>
      </c>
      <c r="X178" s="72">
        <f t="shared" si="77"/>
        <v>443.13382835361176</v>
      </c>
      <c r="Z178" s="20">
        <v>105</v>
      </c>
      <c r="AA178" s="20">
        <f t="shared" si="82"/>
        <v>476.40333549569038</v>
      </c>
    </row>
    <row r="179" spans="10:27" x14ac:dyDescent="0.3">
      <c r="J179" s="96">
        <f t="shared" si="80"/>
        <v>85.186550908549606</v>
      </c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50">
        <f>+U61</f>
        <v>314.81441478307715</v>
      </c>
      <c r="W179" s="98">
        <f>+((W180-W178)*(J179-J178)/(J180-J178))+W178</f>
        <v>119.98286202443728</v>
      </c>
      <c r="X179" s="72">
        <f t="shared" si="77"/>
        <v>434.79727680751444</v>
      </c>
      <c r="Z179" s="1">
        <v>110</v>
      </c>
      <c r="AA179" s="20">
        <f t="shared" si="82"/>
        <v>657.18776228118088</v>
      </c>
    </row>
    <row r="180" spans="10:27" s="20" customFormat="1" x14ac:dyDescent="0.3">
      <c r="J180" s="96">
        <f t="shared" si="80"/>
        <v>86.946228692022515</v>
      </c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50">
        <f>+((V181-V179)*(J180-J179)/(J181-J179))+V179</f>
        <v>314.81441478307715</v>
      </c>
      <c r="W180" s="69">
        <f>+W109</f>
        <v>123.67799136782077</v>
      </c>
      <c r="X180" s="72">
        <f t="shared" si="77"/>
        <v>438.49240615089792</v>
      </c>
      <c r="Z180" s="20">
        <v>115</v>
      </c>
      <c r="AA180" s="20">
        <f t="shared" si="82"/>
        <v>704.61934152448828</v>
      </c>
    </row>
    <row r="181" spans="10:27" x14ac:dyDescent="0.3">
      <c r="J181" s="96">
        <f t="shared" si="80"/>
        <v>90.186550908549606</v>
      </c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50">
        <f>+U62</f>
        <v>314.81441478307715</v>
      </c>
      <c r="W181" s="98">
        <f>+((W182-W180)*(J181-J180)/(J182-J180))+W180</f>
        <v>154.41671136523146</v>
      </c>
      <c r="X181" s="72">
        <f t="shared" si="77"/>
        <v>469.23112614830859</v>
      </c>
      <c r="Z181" s="1">
        <v>120</v>
      </c>
      <c r="AA181" s="20">
        <f t="shared" si="82"/>
        <v>460.50349191330611</v>
      </c>
    </row>
    <row r="182" spans="10:27" s="20" customFormat="1" x14ac:dyDescent="0.3">
      <c r="J182" s="96">
        <f t="shared" si="80"/>
        <v>91.946228692022515</v>
      </c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50">
        <f>+((V183-V181)*(J182-J181)/(J183-J181))+V181</f>
        <v>314.81441478307715</v>
      </c>
      <c r="W182" s="69">
        <f>+W111</f>
        <v>171.10957061112794</v>
      </c>
      <c r="X182" s="72">
        <f t="shared" si="77"/>
        <v>485.92398539420509</v>
      </c>
      <c r="Z182" s="20">
        <v>125</v>
      </c>
      <c r="AA182" s="20">
        <f t="shared" si="82"/>
        <v>455.97281879955045</v>
      </c>
    </row>
    <row r="183" spans="10:27" x14ac:dyDescent="0.3">
      <c r="J183" s="96">
        <f t="shared" si="80"/>
        <v>95.186550908549606</v>
      </c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50">
        <f>+U63</f>
        <v>314.81441478307715</v>
      </c>
      <c r="W183" s="98">
        <f>+((W184-W182)*(J183-J182)/(J184-J182))+W182</f>
        <v>168.17340246186325</v>
      </c>
      <c r="X183" s="72">
        <f t="shared" si="77"/>
        <v>482.9878172449404</v>
      </c>
      <c r="Z183" s="1">
        <v>130</v>
      </c>
      <c r="AA183" s="20">
        <f t="shared" si="82"/>
        <v>325.65746618270941</v>
      </c>
    </row>
    <row r="184" spans="10:27" s="20" customFormat="1" x14ac:dyDescent="0.3">
      <c r="J184" s="96">
        <f t="shared" si="80"/>
        <v>96.946228692022515</v>
      </c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50">
        <f>+((V185-V183)*(J184-J183)/(J185-J183))+V183</f>
        <v>314.81441478307715</v>
      </c>
      <c r="W184" s="69">
        <f>+W113</f>
        <v>166.57889749737257</v>
      </c>
      <c r="X184" s="72">
        <f t="shared" si="77"/>
        <v>481.39331228044972</v>
      </c>
      <c r="Z184" s="20">
        <v>135</v>
      </c>
      <c r="AA184" s="20">
        <f t="shared" si="82"/>
        <v>144.38775331592512</v>
      </c>
    </row>
    <row r="185" spans="10:27" x14ac:dyDescent="0.3">
      <c r="J185" s="96">
        <f t="shared" si="80"/>
        <v>100.18655090854961</v>
      </c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50">
        <f>+U64</f>
        <v>314.81441478307715</v>
      </c>
      <c r="W185" s="98">
        <f>+((W186-W184)*(J185-J184)/(J186-J184))+W184</f>
        <v>151.31182502572514</v>
      </c>
      <c r="X185" s="72">
        <f t="shared" si="77"/>
        <v>466.12623980880232</v>
      </c>
      <c r="Z185" s="1">
        <v>140</v>
      </c>
      <c r="AA185" s="20">
        <f t="shared" si="82"/>
        <v>133.27374353728857</v>
      </c>
    </row>
    <row r="186" spans="10:27" s="20" customFormat="1" x14ac:dyDescent="0.3">
      <c r="J186" s="96">
        <f t="shared" si="80"/>
        <v>101.94622869202252</v>
      </c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50">
        <f>+((V187-V185)*(J186-J185)/(J187-J185))+V185</f>
        <v>306.84272897866703</v>
      </c>
      <c r="W186" s="69">
        <f>+W115</f>
        <v>143.02094330106064</v>
      </c>
      <c r="X186" s="72">
        <f t="shared" si="77"/>
        <v>449.86367227972767</v>
      </c>
      <c r="Z186" s="20">
        <v>140</v>
      </c>
      <c r="AA186" s="20">
        <f t="shared" si="82"/>
        <v>56.01881429460434</v>
      </c>
    </row>
    <row r="187" spans="10:27" x14ac:dyDescent="0.3">
      <c r="J187" s="96">
        <f t="shared" si="80"/>
        <v>105.18655090854961</v>
      </c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50">
        <f>+U65</f>
        <v>292.16343322474552</v>
      </c>
      <c r="W187" s="98">
        <f>+((W188-W186)*(J187-J186)/(J188-J186))+W186</f>
        <v>130.74224397663895</v>
      </c>
      <c r="X187" s="72">
        <f t="shared" si="77"/>
        <v>422.90567720138449</v>
      </c>
      <c r="Z187" s="1">
        <v>145</v>
      </c>
      <c r="AA187" s="20">
        <f t="shared" si="82"/>
        <v>-126.08802848917964</v>
      </c>
    </row>
    <row r="188" spans="10:27" s="20" customFormat="1" x14ac:dyDescent="0.3">
      <c r="J188" s="96">
        <f t="shared" si="80"/>
        <v>106.94622869202252</v>
      </c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50">
        <f>+((V189-V187)*(J188-J187)/(J189-J187))+V187</f>
        <v>280.28682601208834</v>
      </c>
      <c r="W188" s="69">
        <f>+W117</f>
        <v>124.07421747577875</v>
      </c>
      <c r="X188" s="72">
        <f t="shared" si="77"/>
        <v>404.36104348786711</v>
      </c>
    </row>
    <row r="189" spans="10:27" x14ac:dyDescent="0.3">
      <c r="J189" s="96">
        <f t="shared" si="80"/>
        <v>110.18655090854961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50">
        <f t="shared" ref="V189:V196" si="83">+U66</f>
        <v>258.41689359060462</v>
      </c>
      <c r="W189" s="69">
        <f>+V122</f>
        <v>100.77580380213911</v>
      </c>
      <c r="X189" s="72">
        <f t="shared" si="77"/>
        <v>359.19269739274375</v>
      </c>
    </row>
    <row r="190" spans="10:27" s="20" customFormat="1" x14ac:dyDescent="0.3">
      <c r="J190" s="96">
        <f t="shared" ref="J190:J195" si="84">+J189+5</f>
        <v>115.18655090854961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50">
        <f t="shared" si="83"/>
        <v>224.67035395646371</v>
      </c>
      <c r="W190" s="69">
        <f t="shared" ref="W190:W191" si="85">+V123</f>
        <v>43.177254163638423</v>
      </c>
      <c r="X190" s="72">
        <f t="shared" si="77"/>
        <v>267.84760812010211</v>
      </c>
    </row>
    <row r="191" spans="10:27" s="20" customFormat="1" x14ac:dyDescent="0.3">
      <c r="J191" s="96">
        <f t="shared" si="84"/>
        <v>120.18655090854961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50">
        <f t="shared" si="83"/>
        <v>190.92381432232287</v>
      </c>
      <c r="W191" s="69">
        <f t="shared" si="85"/>
        <v>9.0594848660017711</v>
      </c>
      <c r="X191" s="72">
        <f t="shared" si="77"/>
        <v>199.98329918832465</v>
      </c>
    </row>
    <row r="192" spans="10:27" s="20" customFormat="1" x14ac:dyDescent="0.3">
      <c r="J192" s="96">
        <f t="shared" si="84"/>
        <v>125.18655090854961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50">
        <f t="shared" si="83"/>
        <v>157.17727468818197</v>
      </c>
      <c r="W192" s="69">
        <v>0</v>
      </c>
      <c r="X192" s="72">
        <f t="shared" si="77"/>
        <v>157.17727468818197</v>
      </c>
    </row>
    <row r="193" spans="10:45" s="20" customFormat="1" x14ac:dyDescent="0.3">
      <c r="J193" s="96">
        <f t="shared" si="84"/>
        <v>130.18655090854961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50">
        <f t="shared" si="83"/>
        <v>123.43073505404108</v>
      </c>
      <c r="W193" s="69">
        <v>0</v>
      </c>
      <c r="X193" s="72">
        <f t="shared" si="77"/>
        <v>123.43073505404108</v>
      </c>
    </row>
    <row r="194" spans="10:45" s="20" customFormat="1" x14ac:dyDescent="0.3">
      <c r="J194" s="96">
        <f t="shared" si="84"/>
        <v>135.18655090854961</v>
      </c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50">
        <f t="shared" si="83"/>
        <v>89.684195419900192</v>
      </c>
      <c r="W194" s="69">
        <v>0</v>
      </c>
      <c r="X194" s="72">
        <f t="shared" si="77"/>
        <v>89.684195419900192</v>
      </c>
    </row>
    <row r="195" spans="10:45" s="20" customFormat="1" x14ac:dyDescent="0.3">
      <c r="J195" s="96">
        <f t="shared" si="84"/>
        <v>140.18655090854961</v>
      </c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50">
        <f t="shared" si="83"/>
        <v>55.937655785759311</v>
      </c>
      <c r="W195" s="69">
        <v>0</v>
      </c>
      <c r="X195" s="72">
        <f t="shared" si="77"/>
        <v>55.937655785759311</v>
      </c>
    </row>
    <row r="196" spans="10:45" s="20" customFormat="1" ht="16.2" thickBot="1" x14ac:dyDescent="0.35">
      <c r="J196" s="99">
        <f t="shared" ref="J196" si="86">+J195+5</f>
        <v>145.18655090854961</v>
      </c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55">
        <f t="shared" si="83"/>
        <v>22.191116151618417</v>
      </c>
      <c r="W196" s="70">
        <v>0</v>
      </c>
      <c r="X196" s="73">
        <f t="shared" si="77"/>
        <v>22.191116151618417</v>
      </c>
    </row>
    <row r="197" spans="10:45" s="20" customFormat="1" x14ac:dyDescent="0.3">
      <c r="V197" s="89"/>
      <c r="W197" s="89"/>
      <c r="X197" s="89"/>
    </row>
    <row r="198" spans="10:45" s="121" customFormat="1" ht="16.2" thickBot="1" x14ac:dyDescent="0.35">
      <c r="V198" s="89"/>
      <c r="W198" s="89"/>
      <c r="X198" s="89"/>
    </row>
    <row r="199" spans="10:45" s="121" customFormat="1" ht="18.600000000000001" thickBot="1" x14ac:dyDescent="0.35">
      <c r="AE199" s="184" t="s">
        <v>126</v>
      </c>
      <c r="AF199" s="185"/>
      <c r="AG199" s="185"/>
      <c r="AH199" s="185"/>
      <c r="AI199" s="185"/>
      <c r="AJ199" s="185"/>
      <c r="AK199" s="185"/>
      <c r="AL199" s="185"/>
      <c r="AM199" s="185"/>
      <c r="AN199" s="185"/>
      <c r="AO199" s="185"/>
      <c r="AP199" s="186"/>
      <c r="AQ199" s="89"/>
      <c r="AR199" s="89"/>
      <c r="AS199" s="89"/>
    </row>
    <row r="200" spans="10:45" s="121" customFormat="1" x14ac:dyDescent="0.3">
      <c r="AE200" s="198" t="s">
        <v>13</v>
      </c>
      <c r="AF200" s="199"/>
      <c r="AG200" s="200"/>
      <c r="AK200" s="198" t="s">
        <v>14</v>
      </c>
      <c r="AL200" s="199"/>
      <c r="AM200" s="200"/>
    </row>
    <row r="201" spans="10:45" s="121" customFormat="1" x14ac:dyDescent="0.3">
      <c r="AE201" s="140" t="s">
        <v>34</v>
      </c>
      <c r="AF201" s="141"/>
      <c r="AG201" s="142"/>
      <c r="AK201" s="140" t="s">
        <v>112</v>
      </c>
      <c r="AL201" s="141"/>
      <c r="AM201" s="142"/>
    </row>
    <row r="202" spans="10:45" s="121" customFormat="1" x14ac:dyDescent="0.3">
      <c r="AE202" s="101" t="s">
        <v>97</v>
      </c>
      <c r="AF202" s="111">
        <f t="shared" ref="AF202:AG204" si="87">+B66</f>
        <v>6.27</v>
      </c>
      <c r="AG202" s="110">
        <f t="shared" si="87"/>
        <v>6270</v>
      </c>
      <c r="AK202" s="101" t="s">
        <v>97</v>
      </c>
      <c r="AL202" s="111">
        <f t="shared" ref="AL202:AM204" si="88">+F66</f>
        <v>0.71</v>
      </c>
      <c r="AM202" s="110">
        <f t="shared" si="88"/>
        <v>710</v>
      </c>
    </row>
    <row r="203" spans="10:45" s="121" customFormat="1" ht="16.2" thickBot="1" x14ac:dyDescent="0.35">
      <c r="AE203" s="101" t="s">
        <v>98</v>
      </c>
      <c r="AF203" s="107">
        <f t="shared" si="87"/>
        <v>8.8699999999999992</v>
      </c>
      <c r="AG203" s="109">
        <f t="shared" si="87"/>
        <v>8870000</v>
      </c>
      <c r="AK203" s="101" t="s">
        <v>98</v>
      </c>
      <c r="AL203" s="107">
        <f t="shared" si="88"/>
        <v>0.5</v>
      </c>
      <c r="AM203" s="109">
        <f t="shared" si="88"/>
        <v>500000</v>
      </c>
    </row>
    <row r="204" spans="10:45" s="121" customFormat="1" ht="18.600000000000001" thickBot="1" x14ac:dyDescent="0.35">
      <c r="J204" s="184" t="s">
        <v>173</v>
      </c>
      <c r="K204" s="185"/>
      <c r="L204" s="185"/>
      <c r="M204" s="185"/>
      <c r="N204" s="185"/>
      <c r="O204" s="185"/>
      <c r="P204" s="186"/>
      <c r="AE204" s="101" t="s">
        <v>37</v>
      </c>
      <c r="AF204" s="103">
        <f t="shared" si="87"/>
        <v>5.6140350877192979</v>
      </c>
      <c r="AG204" s="104">
        <f t="shared" si="87"/>
        <v>5.6140350877192984E-2</v>
      </c>
      <c r="AK204" s="101" t="s">
        <v>37</v>
      </c>
      <c r="AL204" s="103">
        <f t="shared" si="88"/>
        <v>4.647887323943662</v>
      </c>
      <c r="AM204" s="104">
        <f t="shared" si="88"/>
        <v>4.647887323943662E-2</v>
      </c>
    </row>
    <row r="205" spans="10:45" s="20" customFormat="1" x14ac:dyDescent="0.3">
      <c r="J205" s="161" t="s">
        <v>0</v>
      </c>
      <c r="K205" s="162"/>
      <c r="L205" s="163"/>
      <c r="M205" s="121"/>
      <c r="N205" s="12"/>
      <c r="O205" s="12"/>
      <c r="P205" s="12"/>
      <c r="AE205" s="101" t="s">
        <v>38</v>
      </c>
      <c r="AF205" s="146">
        <f t="shared" ref="AF205:AF210" si="89">+B69</f>
        <v>5.6140350877192979</v>
      </c>
      <c r="AG205" s="147"/>
      <c r="AH205" s="121"/>
      <c r="AK205" s="101" t="s">
        <v>38</v>
      </c>
      <c r="AL205" s="146">
        <f t="shared" ref="AL205:AL210" si="90">+F69</f>
        <v>33</v>
      </c>
      <c r="AM205" s="147"/>
    </row>
    <row r="206" spans="10:45" s="20" customFormat="1" x14ac:dyDescent="0.3">
      <c r="J206" s="140" t="s">
        <v>34</v>
      </c>
      <c r="K206" s="141"/>
      <c r="L206" s="142"/>
      <c r="M206" s="121"/>
      <c r="N206" s="12"/>
      <c r="O206" s="12"/>
      <c r="P206" s="12"/>
      <c r="AE206" s="101" t="s">
        <v>4</v>
      </c>
      <c r="AF206" s="190">
        <f t="shared" si="89"/>
        <v>0.17102593010146563</v>
      </c>
      <c r="AG206" s="142"/>
      <c r="AH206" s="121"/>
      <c r="AK206" s="101" t="s">
        <v>4</v>
      </c>
      <c r="AL206" s="190">
        <f t="shared" si="90"/>
        <v>0.13</v>
      </c>
      <c r="AM206" s="142"/>
    </row>
    <row r="207" spans="10:45" s="20" customFormat="1" x14ac:dyDescent="0.3">
      <c r="J207" s="101" t="s">
        <v>97</v>
      </c>
      <c r="K207" s="111">
        <f>+'Carac. Geomorf.'!C3</f>
        <v>2.5</v>
      </c>
      <c r="L207" s="38">
        <f>+'Carac. Geomorf.'!E3</f>
        <v>2500</v>
      </c>
      <c r="M207" s="121"/>
      <c r="N207" s="116"/>
      <c r="O207" s="118"/>
      <c r="P207" s="120"/>
      <c r="AE207" s="101" t="s">
        <v>40</v>
      </c>
      <c r="AF207" s="191">
        <f t="shared" si="89"/>
        <v>15.915047603899115</v>
      </c>
      <c r="AG207" s="192"/>
      <c r="AH207" s="121"/>
      <c r="AK207" s="101" t="s">
        <v>40</v>
      </c>
      <c r="AL207" s="191">
        <f t="shared" si="90"/>
        <v>4.5640528603858979</v>
      </c>
      <c r="AM207" s="192"/>
    </row>
    <row r="208" spans="10:45" s="20" customFormat="1" x14ac:dyDescent="0.3">
      <c r="J208" s="101" t="s">
        <v>98</v>
      </c>
      <c r="K208" s="111">
        <f>+'Carac. Geomorf.'!C4</f>
        <v>2.4300000000000002</v>
      </c>
      <c r="L208" s="38">
        <f>+'Carac. Geomorf.'!E4</f>
        <v>2430000</v>
      </c>
      <c r="M208" s="121"/>
      <c r="N208" s="116"/>
      <c r="O208" s="115"/>
      <c r="P208" s="74"/>
      <c r="AE208" s="101" t="s">
        <v>30</v>
      </c>
      <c r="AF208" s="141">
        <f t="shared" si="89"/>
        <v>1315</v>
      </c>
      <c r="AG208" s="142"/>
      <c r="AH208" s="121"/>
      <c r="AK208" s="101" t="s">
        <v>30</v>
      </c>
      <c r="AL208" s="141">
        <f t="shared" si="90"/>
        <v>1315</v>
      </c>
      <c r="AM208" s="142"/>
    </row>
    <row r="209" spans="10:47" s="20" customFormat="1" x14ac:dyDescent="0.3">
      <c r="J209" s="101" t="s">
        <v>37</v>
      </c>
      <c r="K209" s="111">
        <f>+'Carac. Geomorf.'!C7</f>
        <v>2.4</v>
      </c>
      <c r="L209" s="38">
        <f>+'Carac. Geomorf.'!E7</f>
        <v>2.4E-2</v>
      </c>
      <c r="M209" s="121"/>
      <c r="N209" s="116"/>
      <c r="O209" s="117"/>
      <c r="P209" s="128"/>
      <c r="AE209" s="101" t="s">
        <v>99</v>
      </c>
      <c r="AF209" s="141">
        <f t="shared" si="89"/>
        <v>13</v>
      </c>
      <c r="AG209" s="142"/>
      <c r="AH209" s="121"/>
      <c r="AK209" s="101" t="s">
        <v>99</v>
      </c>
      <c r="AL209" s="141">
        <f t="shared" si="90"/>
        <v>13</v>
      </c>
      <c r="AM209" s="142"/>
    </row>
    <row r="210" spans="10:47" s="121" customFormat="1" x14ac:dyDescent="0.3">
      <c r="J210" s="101" t="s">
        <v>38</v>
      </c>
      <c r="K210" s="146">
        <f>+'Carac. Geomorf.'!C8</f>
        <v>60</v>
      </c>
      <c r="L210" s="147"/>
      <c r="N210" s="116"/>
      <c r="O210" s="129"/>
      <c r="P210" s="129"/>
      <c r="AE210" s="101" t="s">
        <v>100</v>
      </c>
      <c r="AF210" s="141">
        <f t="shared" si="89"/>
        <v>0.63</v>
      </c>
      <c r="AG210" s="142"/>
      <c r="AK210" s="101" t="s">
        <v>100</v>
      </c>
      <c r="AL210" s="141">
        <f t="shared" si="90"/>
        <v>0.63</v>
      </c>
      <c r="AM210" s="142"/>
    </row>
    <row r="211" spans="10:47" x14ac:dyDescent="0.3">
      <c r="J211" s="101" t="s">
        <v>4</v>
      </c>
      <c r="K211" s="190">
        <f>+'Uso de Suelo'!B13</f>
        <v>0.3534979423868313</v>
      </c>
      <c r="L211" s="142"/>
      <c r="M211" s="121"/>
      <c r="N211" s="116"/>
      <c r="O211" s="130"/>
      <c r="P211" s="12"/>
      <c r="AE211" s="101" t="s">
        <v>42</v>
      </c>
      <c r="AF211" s="188">
        <f>+AF208/((AF209+AF207)^AF210)</f>
        <v>157.91292881962326</v>
      </c>
      <c r="AG211" s="189"/>
      <c r="AH211" s="121"/>
      <c r="AK211" s="101" t="s">
        <v>42</v>
      </c>
      <c r="AL211" s="188">
        <f>+AL208/((AL209+AL207)^AL210)</f>
        <v>216.17833593625133</v>
      </c>
      <c r="AM211" s="189"/>
    </row>
    <row r="212" spans="10:47" ht="16.2" thickBot="1" x14ac:dyDescent="0.35">
      <c r="J212" s="101" t="s">
        <v>40</v>
      </c>
      <c r="K212" s="191">
        <f>+T.C.!C57</f>
        <v>19.48557158514987</v>
      </c>
      <c r="L212" s="192"/>
      <c r="M212" s="121"/>
      <c r="N212" s="116"/>
      <c r="O212" s="131"/>
      <c r="P212" s="131"/>
      <c r="AE212" s="105" t="s">
        <v>42</v>
      </c>
      <c r="AF212" s="193">
        <f>+AF211*(1/1000)*(1/3600)</f>
        <v>4.3864702449895349E-5</v>
      </c>
      <c r="AG212" s="194"/>
      <c r="AH212" s="121"/>
      <c r="AK212" s="105" t="s">
        <v>42</v>
      </c>
      <c r="AL212" s="193">
        <f>+AL211*(1/1000)*(1/3600)</f>
        <v>6.0049537760069812E-5</v>
      </c>
      <c r="AM212" s="194"/>
    </row>
    <row r="213" spans="10:47" ht="18.600000000000001" thickBot="1" x14ac:dyDescent="0.35">
      <c r="J213" s="101" t="s">
        <v>30</v>
      </c>
      <c r="K213" s="141">
        <f>+$AJ$11</f>
        <v>1315</v>
      </c>
      <c r="L213" s="142"/>
      <c r="M213" s="121"/>
      <c r="N213" s="116"/>
      <c r="O213" s="12"/>
      <c r="P213" s="12"/>
      <c r="AE213" s="184" t="str">
        <f>+A63</f>
        <v>Estudio de caudales en Punto A</v>
      </c>
      <c r="AF213" s="185"/>
      <c r="AG213" s="185"/>
      <c r="AH213" s="185"/>
      <c r="AI213" s="185"/>
      <c r="AJ213" s="185"/>
      <c r="AK213" s="185"/>
      <c r="AL213" s="185"/>
      <c r="AM213" s="185"/>
      <c r="AN213" s="185"/>
      <c r="AO213" s="185"/>
      <c r="AP213" s="186"/>
      <c r="AS213" s="20"/>
    </row>
    <row r="214" spans="10:47" x14ac:dyDescent="0.3">
      <c r="J214" s="101" t="s">
        <v>99</v>
      </c>
      <c r="K214" s="141">
        <f>+$AK$11</f>
        <v>13</v>
      </c>
      <c r="L214" s="142"/>
      <c r="M214" s="121"/>
      <c r="N214" s="116"/>
      <c r="O214" s="12"/>
      <c r="P214" s="12"/>
      <c r="AF214" s="161" t="str">
        <f>+CONCATENATE("Tiempo total de lluvia en ",A64)</f>
        <v>Tiempo total de lluvia en Cuenca 2</v>
      </c>
      <c r="AG214" s="162"/>
      <c r="AH214" s="163"/>
      <c r="AK214" s="161" t="str">
        <f>+CONCATENATE("Tiempo total de lluvia en ",E64)</f>
        <v>Tiempo total de lluvia en Cuenca 3</v>
      </c>
      <c r="AL214" s="162"/>
      <c r="AM214" s="163"/>
      <c r="AS214" s="20"/>
    </row>
    <row r="215" spans="10:47" x14ac:dyDescent="0.3">
      <c r="J215" s="101" t="s">
        <v>100</v>
      </c>
      <c r="K215" s="141">
        <f>+$AL$11</f>
        <v>0.63</v>
      </c>
      <c r="L215" s="142"/>
      <c r="M215" s="121"/>
      <c r="N215" s="116"/>
      <c r="O215" s="12"/>
      <c r="P215" s="12"/>
      <c r="AF215" s="204">
        <f>+B71+20+B71</f>
        <v>51.830095207798223</v>
      </c>
      <c r="AG215" s="205"/>
      <c r="AH215" s="206"/>
      <c r="AK215" s="204">
        <f>+F71+20+F71</f>
        <v>29.128105720771799</v>
      </c>
      <c r="AL215" s="205"/>
      <c r="AM215" s="206"/>
      <c r="AS215" s="20"/>
    </row>
    <row r="216" spans="10:47" x14ac:dyDescent="0.3">
      <c r="J216" s="101" t="s">
        <v>42</v>
      </c>
      <c r="K216" s="188">
        <f>+K213/((K214+K212)^K215)</f>
        <v>146.74412732885372</v>
      </c>
      <c r="L216" s="189"/>
      <c r="M216" s="121"/>
      <c r="N216" s="116"/>
      <c r="O216" s="132"/>
      <c r="P216" s="132"/>
      <c r="AE216" s="102" t="s">
        <v>113</v>
      </c>
      <c r="AF216" s="102" t="s">
        <v>136</v>
      </c>
      <c r="AG216" s="102" t="s">
        <v>137</v>
      </c>
      <c r="AH216" s="102" t="s">
        <v>116</v>
      </c>
      <c r="AI216" s="102" t="s">
        <v>45</v>
      </c>
      <c r="AJ216" s="124">
        <v>2</v>
      </c>
      <c r="AK216" s="102" t="s">
        <v>138</v>
      </c>
      <c r="AL216" s="102" t="s">
        <v>139</v>
      </c>
      <c r="AM216" s="102" t="s">
        <v>116</v>
      </c>
      <c r="AN216" s="102" t="s">
        <v>45</v>
      </c>
      <c r="AO216" s="124">
        <v>3</v>
      </c>
      <c r="AP216" s="102" t="s">
        <v>171</v>
      </c>
      <c r="AQ216" s="102" t="str">
        <f>+X143</f>
        <v>QBTotal</v>
      </c>
      <c r="AR216" s="102" t="s">
        <v>172</v>
      </c>
      <c r="AS216" s="20"/>
    </row>
    <row r="217" spans="10:47" ht="16.2" thickBot="1" x14ac:dyDescent="0.35">
      <c r="J217" s="105" t="s">
        <v>42</v>
      </c>
      <c r="K217" s="193">
        <f>+K216*(1/1000)*(1/3600)</f>
        <v>4.0762257591348256E-5</v>
      </c>
      <c r="L217" s="194"/>
      <c r="M217" s="121"/>
      <c r="N217" s="116"/>
      <c r="O217" s="133"/>
      <c r="P217" s="133"/>
      <c r="AE217" s="102">
        <v>0</v>
      </c>
      <c r="AF217" s="122">
        <f>+$B$70</f>
        <v>0.17102593010146563</v>
      </c>
      <c r="AG217" s="48">
        <f>+$B$76</f>
        <v>4.3864702449895349E-5</v>
      </c>
      <c r="AH217" s="122">
        <f t="shared" ref="AH217:AH231" si="91">+IF(AE217&lt;$B$71,AE217/$B$71,IF(AND(AE217&gt;=$B$71,AE217&lt;=$B$71+20),1,IF(AE217&lt;=$AF$215,(1-(AE217-($B$71+20))/$B$71),0)))</f>
        <v>0</v>
      </c>
      <c r="AI217" s="108">
        <f>+AH217*$C$67</f>
        <v>0</v>
      </c>
      <c r="AJ217" s="50">
        <f>+AF217*AG217*AI217</f>
        <v>0</v>
      </c>
      <c r="AK217" s="122">
        <f>+$F$70</f>
        <v>0.13</v>
      </c>
      <c r="AL217" s="48">
        <f>+$F$76</f>
        <v>6.0049537760069812E-5</v>
      </c>
      <c r="AM217" s="122">
        <f t="shared" ref="AM217:AM229" si="92">+IF(AE217&lt;$F$71,AE217/$F$71,IF(AND(AE217&gt;=$F$71,AE217&lt;=$F$71+20),1,IF(AE217&lt;=$AK$215,(1-(AE217-($F$71+20))/$F$71),0)))</f>
        <v>0</v>
      </c>
      <c r="AN217" s="108">
        <f>+AM217*$G$67</f>
        <v>0</v>
      </c>
      <c r="AO217" s="50">
        <f>+AK217*AL217*AN217</f>
        <v>0</v>
      </c>
      <c r="AP217" s="50">
        <f>+AJ217+AO217</f>
        <v>0</v>
      </c>
      <c r="AQ217" s="102"/>
      <c r="AR217" s="50">
        <f>+AP217+AQ217</f>
        <v>0</v>
      </c>
      <c r="AS217" s="20"/>
      <c r="AT217" s="20"/>
    </row>
    <row r="218" spans="10:47" s="20" customFormat="1" ht="18.600000000000001" thickBot="1" x14ac:dyDescent="0.35">
      <c r="J218" s="184" t="s">
        <v>173</v>
      </c>
      <c r="K218" s="185"/>
      <c r="L218" s="185"/>
      <c r="M218" s="185"/>
      <c r="N218" s="185"/>
      <c r="O218" s="185"/>
      <c r="P218" s="186"/>
      <c r="AE218" s="122">
        <v>3.46</v>
      </c>
      <c r="AF218" s="122">
        <f t="shared" ref="AF218:AF248" si="93">+$B$70</f>
        <v>0.17102593010146563</v>
      </c>
      <c r="AG218" s="48">
        <f t="shared" ref="AG218:AG248" si="94">+$B$76</f>
        <v>4.3864702449895349E-5</v>
      </c>
      <c r="AH218" s="122">
        <f t="shared" si="91"/>
        <v>0.2174043135851077</v>
      </c>
      <c r="AI218" s="108">
        <f t="shared" ref="AI218:AI248" si="95">+AH218*$C$67</f>
        <v>1928376.2614999053</v>
      </c>
      <c r="AJ218" s="50">
        <f t="shared" ref="AJ218:AJ248" si="96">+AF218*AG218*AI218</f>
        <v>14.466681674056222</v>
      </c>
      <c r="AK218" s="122">
        <f t="shared" ref="AK218:AK229" si="97">+$F$70</f>
        <v>0.13</v>
      </c>
      <c r="AL218" s="48">
        <f t="shared" ref="AL218:AL229" si="98">+$F$76</f>
        <v>6.0049537760069812E-5</v>
      </c>
      <c r="AM218" s="122">
        <f t="shared" si="92"/>
        <v>0.75809814343549287</v>
      </c>
      <c r="AN218" s="108">
        <f t="shared" ref="AN218:AN229" si="99">+AM218*$G$67</f>
        <v>379049.07171774644</v>
      </c>
      <c r="AO218" s="50">
        <f t="shared" ref="AO218:AO229" si="100">+AK218*AL218*AN218</f>
        <v>2.9590238008544496</v>
      </c>
      <c r="AP218" s="50">
        <f t="shared" ref="AP218:AP250" si="101">+AJ218+AO218</f>
        <v>17.425705474910671</v>
      </c>
      <c r="AQ218" s="50">
        <f>+X144</f>
        <v>0</v>
      </c>
      <c r="AR218" s="50">
        <f t="shared" ref="AR218:AR285" si="102">+AP218+AQ218</f>
        <v>17.425705474910671</v>
      </c>
      <c r="AS218" s="123">
        <v>0</v>
      </c>
      <c r="AT218" s="1"/>
      <c r="AU218" s="100">
        <f t="shared" ref="AU218:AU231" si="103">+AS218+$AE$218</f>
        <v>3.46</v>
      </c>
    </row>
    <row r="219" spans="10:47" x14ac:dyDescent="0.3">
      <c r="K219" s="161" t="str">
        <f>+CONCATENATE("Tiempo total de lluvia en ",J205)</f>
        <v>Tiempo total de lluvia en Cuenca 1</v>
      </c>
      <c r="L219" s="162"/>
      <c r="M219" s="163"/>
      <c r="AE219" s="102">
        <v>5</v>
      </c>
      <c r="AF219" s="122">
        <f t="shared" si="93"/>
        <v>0.17102593010146563</v>
      </c>
      <c r="AG219" s="48">
        <f t="shared" si="94"/>
        <v>4.3864702449895349E-5</v>
      </c>
      <c r="AH219" s="122">
        <f t="shared" si="91"/>
        <v>0.31416808321547351</v>
      </c>
      <c r="AI219" s="108">
        <f t="shared" si="95"/>
        <v>2786670.8981212499</v>
      </c>
      <c r="AJ219" s="50">
        <f t="shared" si="96"/>
        <v>20.905609355572572</v>
      </c>
      <c r="AK219" s="122">
        <f t="shared" si="97"/>
        <v>0.13</v>
      </c>
      <c r="AL219" s="48">
        <f t="shared" si="98"/>
        <v>6.0049537760069812E-5</v>
      </c>
      <c r="AM219" s="122">
        <f t="shared" si="92"/>
        <v>1</v>
      </c>
      <c r="AN219" s="108">
        <f t="shared" si="99"/>
        <v>500000</v>
      </c>
      <c r="AO219" s="50">
        <f t="shared" si="100"/>
        <v>3.9032199544045381</v>
      </c>
      <c r="AP219" s="50">
        <f t="shared" si="101"/>
        <v>24.80882930997711</v>
      </c>
      <c r="AQ219" s="50">
        <f>+((AQ220-AQ218)*(AE219-AE218)/(AE220-AE218))+AQ218</f>
        <v>4.8375905092394973</v>
      </c>
      <c r="AR219" s="50">
        <f t="shared" si="102"/>
        <v>29.646419819216607</v>
      </c>
      <c r="AS219" s="116">
        <v>5</v>
      </c>
      <c r="AT219" s="20"/>
      <c r="AU219" s="100">
        <f t="shared" si="103"/>
        <v>8.4600000000000009</v>
      </c>
    </row>
    <row r="220" spans="10:47" s="20" customFormat="1" ht="16.2" thickBot="1" x14ac:dyDescent="0.35">
      <c r="J220" s="1"/>
      <c r="K220" s="204">
        <f>+K212+20+K212</f>
        <v>58.97114317029974</v>
      </c>
      <c r="L220" s="205"/>
      <c r="M220" s="206"/>
      <c r="N220" s="1"/>
      <c r="O220" s="1"/>
      <c r="P220" s="1"/>
      <c r="AE220" s="122">
        <v>8.4600000000000009</v>
      </c>
      <c r="AF220" s="122">
        <f t="shared" si="93"/>
        <v>0.17102593010146563</v>
      </c>
      <c r="AG220" s="48">
        <f t="shared" si="94"/>
        <v>4.3864702449895349E-5</v>
      </c>
      <c r="AH220" s="122">
        <f t="shared" si="91"/>
        <v>0.53157239680058133</v>
      </c>
      <c r="AI220" s="108">
        <f t="shared" si="95"/>
        <v>4715047.1596211568</v>
      </c>
      <c r="AJ220" s="50">
        <f t="shared" si="96"/>
        <v>35.372291029628805</v>
      </c>
      <c r="AK220" s="122">
        <f t="shared" si="97"/>
        <v>0.13</v>
      </c>
      <c r="AL220" s="48">
        <f t="shared" si="98"/>
        <v>6.0049537760069812E-5</v>
      </c>
      <c r="AM220" s="122">
        <f t="shared" si="92"/>
        <v>1</v>
      </c>
      <c r="AN220" s="108">
        <f t="shared" si="99"/>
        <v>500000</v>
      </c>
      <c r="AO220" s="50">
        <f t="shared" si="100"/>
        <v>3.9032199544045381</v>
      </c>
      <c r="AP220" s="50">
        <f t="shared" si="101"/>
        <v>39.275510984033346</v>
      </c>
      <c r="AQ220" s="50">
        <f>+X145</f>
        <v>15.706462692336032</v>
      </c>
      <c r="AR220" s="50">
        <f t="shared" si="102"/>
        <v>54.981973676369378</v>
      </c>
      <c r="AS220" s="116">
        <v>10</v>
      </c>
      <c r="AT220" s="1"/>
      <c r="AU220" s="100">
        <f t="shared" si="103"/>
        <v>13.46</v>
      </c>
    </row>
    <row r="221" spans="10:47" x14ac:dyDescent="0.3">
      <c r="J221" s="112" t="s">
        <v>113</v>
      </c>
      <c r="K221" s="113" t="s">
        <v>28</v>
      </c>
      <c r="L221" s="113" t="s">
        <v>174</v>
      </c>
      <c r="M221" s="113" t="s">
        <v>116</v>
      </c>
      <c r="N221" s="113" t="s">
        <v>45</v>
      </c>
      <c r="O221" s="46" t="s">
        <v>175</v>
      </c>
      <c r="P221" s="113" t="s">
        <v>176</v>
      </c>
      <c r="Q221" s="162" t="s">
        <v>177</v>
      </c>
      <c r="R221" s="163"/>
      <c r="AE221" s="102">
        <v>10</v>
      </c>
      <c r="AF221" s="122">
        <f t="shared" si="93"/>
        <v>0.17102593010146563</v>
      </c>
      <c r="AG221" s="48">
        <f t="shared" si="94"/>
        <v>4.3864702449895349E-5</v>
      </c>
      <c r="AH221" s="122">
        <f t="shared" si="91"/>
        <v>0.62833616643094703</v>
      </c>
      <c r="AI221" s="108">
        <f t="shared" si="95"/>
        <v>5573341.7962424997</v>
      </c>
      <c r="AJ221" s="50">
        <f t="shared" si="96"/>
        <v>41.811218711145145</v>
      </c>
      <c r="AK221" s="122">
        <f t="shared" si="97"/>
        <v>0.13</v>
      </c>
      <c r="AL221" s="48">
        <f t="shared" si="98"/>
        <v>6.0049537760069812E-5</v>
      </c>
      <c r="AM221" s="122">
        <f t="shared" si="92"/>
        <v>1</v>
      </c>
      <c r="AN221" s="108">
        <f t="shared" si="99"/>
        <v>500000</v>
      </c>
      <c r="AO221" s="50">
        <f t="shared" si="100"/>
        <v>3.9032199544045381</v>
      </c>
      <c r="AP221" s="50">
        <f t="shared" si="101"/>
        <v>45.714438665549686</v>
      </c>
      <c r="AQ221" s="50">
        <f>+((AQ222-AQ220)*(AE221-AE220)/(AE222-AE220))+AQ220</f>
        <v>20.544053201575529</v>
      </c>
      <c r="AR221" s="50">
        <f t="shared" si="102"/>
        <v>66.258491867125215</v>
      </c>
      <c r="AS221" s="116">
        <v>15</v>
      </c>
      <c r="AT221" s="20"/>
      <c r="AU221" s="100">
        <f t="shared" si="103"/>
        <v>18.46</v>
      </c>
    </row>
    <row r="222" spans="10:47" s="20" customFormat="1" x14ac:dyDescent="0.3">
      <c r="J222" s="101">
        <v>0</v>
      </c>
      <c r="K222" s="122">
        <f>+$K$211</f>
        <v>0.3534979423868313</v>
      </c>
      <c r="L222" s="48">
        <f>+$K$217</f>
        <v>4.0762257591348256E-5</v>
      </c>
      <c r="M222" s="122">
        <f>+IF(J222&lt;$K$212,J222/$K$212,IF(AND(J222&gt;=$K$212,J222&lt;=$K$212+20),1,IF(J222&lt;=$K$220,(1-(J222-($K$212+20))/$K$212),0)))</f>
        <v>0</v>
      </c>
      <c r="N222" s="108">
        <f>+M222*$L$208</f>
        <v>0</v>
      </c>
      <c r="O222" s="50">
        <f>+K222*L222*N222</f>
        <v>0</v>
      </c>
      <c r="P222" s="102"/>
      <c r="Q222" s="207">
        <f>+O222+P222</f>
        <v>0</v>
      </c>
      <c r="R222" s="142"/>
      <c r="AE222" s="122">
        <v>13.46</v>
      </c>
      <c r="AF222" s="122">
        <f t="shared" si="93"/>
        <v>0.17102593010146563</v>
      </c>
      <c r="AG222" s="48">
        <f t="shared" si="94"/>
        <v>4.3864702449895349E-5</v>
      </c>
      <c r="AH222" s="122">
        <f t="shared" si="91"/>
        <v>0.84574048001605484</v>
      </c>
      <c r="AI222" s="108">
        <f t="shared" si="95"/>
        <v>7501718.0577424066</v>
      </c>
      <c r="AJ222" s="50">
        <f t="shared" si="96"/>
        <v>56.277900385201377</v>
      </c>
      <c r="AK222" s="122">
        <f t="shared" si="97"/>
        <v>0.13</v>
      </c>
      <c r="AL222" s="48">
        <f t="shared" si="98"/>
        <v>6.0049537760069812E-5</v>
      </c>
      <c r="AM222" s="122">
        <f t="shared" si="92"/>
        <v>1</v>
      </c>
      <c r="AN222" s="108">
        <f t="shared" si="99"/>
        <v>500000</v>
      </c>
      <c r="AO222" s="50">
        <f t="shared" si="100"/>
        <v>3.9032199544045381</v>
      </c>
      <c r="AP222" s="50">
        <f t="shared" si="101"/>
        <v>60.181120339605918</v>
      </c>
      <c r="AQ222" s="50">
        <f>+X146</f>
        <v>31.412925384672064</v>
      </c>
      <c r="AR222" s="50">
        <f t="shared" si="102"/>
        <v>91.594045724277976</v>
      </c>
      <c r="AS222" s="116">
        <v>20</v>
      </c>
      <c r="AT222" s="1"/>
      <c r="AU222" s="100">
        <f t="shared" si="103"/>
        <v>23.46</v>
      </c>
    </row>
    <row r="223" spans="10:47" x14ac:dyDescent="0.3">
      <c r="J223" s="101">
        <v>5</v>
      </c>
      <c r="K223" s="122">
        <f t="shared" ref="K223:K239" si="104">+$K$211</f>
        <v>0.3534979423868313</v>
      </c>
      <c r="L223" s="48">
        <f t="shared" ref="L223:L239" si="105">+$K$217</f>
        <v>4.0762257591348256E-5</v>
      </c>
      <c r="M223" s="122">
        <f t="shared" ref="M223:M239" si="106">+IF(J223&lt;$K$212,J223/$K$212,IF(AND(J223&gt;=$K$212,J223&lt;=$K$212+20),1,IF(J223&lt;=$K$220,(1-(J223-($K$212+20))/$K$212),0)))</f>
        <v>0.25660011963983365</v>
      </c>
      <c r="N223" s="108">
        <f t="shared" ref="N223:N239" si="107">+M223*$L$208</f>
        <v>623538.29072479578</v>
      </c>
      <c r="O223" s="50">
        <f t="shared" ref="O223:O239" si="108">+K223*L223*N223</f>
        <v>8.9847965500927955</v>
      </c>
      <c r="P223" s="102"/>
      <c r="Q223" s="207">
        <f t="shared" ref="Q223:Q286" si="109">+O223+P223</f>
        <v>8.9847965500927955</v>
      </c>
      <c r="R223" s="142"/>
      <c r="AE223" s="102">
        <v>15</v>
      </c>
      <c r="AF223" s="122">
        <f t="shared" si="93"/>
        <v>0.17102593010146563</v>
      </c>
      <c r="AG223" s="48">
        <f t="shared" si="94"/>
        <v>4.3864702449895349E-5</v>
      </c>
      <c r="AH223" s="122">
        <f t="shared" si="91"/>
        <v>0.94250424964642066</v>
      </c>
      <c r="AI223" s="108">
        <f t="shared" si="95"/>
        <v>8360012.6943637514</v>
      </c>
      <c r="AJ223" s="50">
        <f t="shared" si="96"/>
        <v>62.716828066717731</v>
      </c>
      <c r="AK223" s="122">
        <f t="shared" si="97"/>
        <v>0.13</v>
      </c>
      <c r="AL223" s="48">
        <f t="shared" si="98"/>
        <v>6.0049537760069812E-5</v>
      </c>
      <c r="AM223" s="122">
        <f t="shared" si="92"/>
        <v>1</v>
      </c>
      <c r="AN223" s="108">
        <f t="shared" si="99"/>
        <v>500000</v>
      </c>
      <c r="AO223" s="50">
        <f t="shared" si="100"/>
        <v>3.9032199544045381</v>
      </c>
      <c r="AP223" s="50">
        <f t="shared" si="101"/>
        <v>66.620048021122273</v>
      </c>
      <c r="AQ223" s="50">
        <f>+((AQ224-AQ222)*(AE223-AE222)/(AE224-AE222))+AQ222</f>
        <v>36.250515893911562</v>
      </c>
      <c r="AR223" s="50">
        <f t="shared" si="102"/>
        <v>102.87056391503384</v>
      </c>
      <c r="AS223" s="116">
        <v>25</v>
      </c>
      <c r="AT223" s="20"/>
      <c r="AU223" s="100">
        <f t="shared" si="103"/>
        <v>28.46</v>
      </c>
    </row>
    <row r="224" spans="10:47" s="20" customFormat="1" x14ac:dyDescent="0.3">
      <c r="J224" s="101">
        <v>10</v>
      </c>
      <c r="K224" s="122">
        <f t="shared" si="104"/>
        <v>0.3534979423868313</v>
      </c>
      <c r="L224" s="48">
        <f t="shared" si="105"/>
        <v>4.0762257591348256E-5</v>
      </c>
      <c r="M224" s="122">
        <f t="shared" si="106"/>
        <v>0.51320023927966729</v>
      </c>
      <c r="N224" s="108">
        <f t="shared" si="107"/>
        <v>1247076.5814495916</v>
      </c>
      <c r="O224" s="50">
        <f t="shared" si="108"/>
        <v>17.969593100185591</v>
      </c>
      <c r="P224" s="102"/>
      <c r="Q224" s="207">
        <f t="shared" si="109"/>
        <v>17.969593100185591</v>
      </c>
      <c r="R224" s="142"/>
      <c r="AE224" s="122">
        <v>18.46</v>
      </c>
      <c r="AF224" s="122">
        <f t="shared" si="93"/>
        <v>0.17102593010146563</v>
      </c>
      <c r="AG224" s="48">
        <f t="shared" si="94"/>
        <v>4.3864702449895349E-5</v>
      </c>
      <c r="AH224" s="122">
        <f t="shared" si="91"/>
        <v>1</v>
      </c>
      <c r="AI224" s="108">
        <f t="shared" si="95"/>
        <v>8870000</v>
      </c>
      <c r="AJ224" s="50">
        <f t="shared" si="96"/>
        <v>66.542753616491254</v>
      </c>
      <c r="AK224" s="122">
        <f t="shared" si="97"/>
        <v>0.13</v>
      </c>
      <c r="AL224" s="48">
        <f t="shared" si="98"/>
        <v>6.0049537760069812E-5</v>
      </c>
      <c r="AM224" s="122">
        <f t="shared" si="92"/>
        <v>1</v>
      </c>
      <c r="AN224" s="108">
        <f t="shared" si="99"/>
        <v>500000</v>
      </c>
      <c r="AO224" s="50">
        <f t="shared" si="100"/>
        <v>3.9032199544045381</v>
      </c>
      <c r="AP224" s="50">
        <f t="shared" si="101"/>
        <v>70.445973570895788</v>
      </c>
      <c r="AQ224" s="50">
        <f>+X147</f>
        <v>47.119388077008097</v>
      </c>
      <c r="AR224" s="50">
        <f t="shared" si="102"/>
        <v>117.56536164790388</v>
      </c>
      <c r="AS224" s="116">
        <v>30</v>
      </c>
      <c r="AT224" s="1"/>
      <c r="AU224" s="100">
        <f t="shared" si="103"/>
        <v>33.46</v>
      </c>
    </row>
    <row r="225" spans="9:47" x14ac:dyDescent="0.3">
      <c r="J225" s="101">
        <v>15</v>
      </c>
      <c r="K225" s="122">
        <f t="shared" si="104"/>
        <v>0.3534979423868313</v>
      </c>
      <c r="L225" s="48">
        <f t="shared" si="105"/>
        <v>4.0762257591348256E-5</v>
      </c>
      <c r="M225" s="122">
        <f t="shared" si="106"/>
        <v>0.76980035891950105</v>
      </c>
      <c r="N225" s="108">
        <f t="shared" si="107"/>
        <v>1870614.8721743876</v>
      </c>
      <c r="O225" s="50">
        <f t="shared" si="108"/>
        <v>26.95438965027839</v>
      </c>
      <c r="P225" s="102"/>
      <c r="Q225" s="207">
        <f t="shared" si="109"/>
        <v>26.95438965027839</v>
      </c>
      <c r="R225" s="142"/>
      <c r="AE225" s="102">
        <v>20</v>
      </c>
      <c r="AF225" s="122">
        <f t="shared" si="93"/>
        <v>0.17102593010146563</v>
      </c>
      <c r="AG225" s="48">
        <f t="shared" si="94"/>
        <v>4.3864702449895349E-5</v>
      </c>
      <c r="AH225" s="122">
        <f t="shared" si="91"/>
        <v>1</v>
      </c>
      <c r="AI225" s="108">
        <f t="shared" si="95"/>
        <v>8870000</v>
      </c>
      <c r="AJ225" s="50">
        <f t="shared" si="96"/>
        <v>66.542753616491254</v>
      </c>
      <c r="AK225" s="122">
        <f t="shared" si="97"/>
        <v>0.13</v>
      </c>
      <c r="AL225" s="48">
        <f t="shared" si="98"/>
        <v>6.0049537760069812E-5</v>
      </c>
      <c r="AM225" s="122">
        <f t="shared" si="92"/>
        <v>1</v>
      </c>
      <c r="AN225" s="108">
        <f t="shared" si="99"/>
        <v>500000</v>
      </c>
      <c r="AO225" s="50">
        <f t="shared" si="100"/>
        <v>3.9032199544045381</v>
      </c>
      <c r="AP225" s="50">
        <f t="shared" si="101"/>
        <v>70.445973570895788</v>
      </c>
      <c r="AQ225" s="50">
        <f>+((AQ226-AQ224)*(AE225-AE224)/(AE226-AE224))+AQ224</f>
        <v>51.008232194063083</v>
      </c>
      <c r="AR225" s="50">
        <f t="shared" si="102"/>
        <v>121.45420576495887</v>
      </c>
      <c r="AS225" s="119">
        <v>31.95</v>
      </c>
      <c r="AT225" s="20"/>
      <c r="AU225" s="100">
        <f t="shared" si="103"/>
        <v>35.409999999999997</v>
      </c>
    </row>
    <row r="226" spans="9:47" s="20" customFormat="1" x14ac:dyDescent="0.3">
      <c r="J226" s="101">
        <v>20</v>
      </c>
      <c r="K226" s="122">
        <f t="shared" si="104"/>
        <v>0.3534979423868313</v>
      </c>
      <c r="L226" s="48">
        <f t="shared" si="105"/>
        <v>4.0762257591348256E-5</v>
      </c>
      <c r="M226" s="122">
        <f t="shared" si="106"/>
        <v>1</v>
      </c>
      <c r="N226" s="108">
        <f t="shared" si="107"/>
        <v>2430000</v>
      </c>
      <c r="O226" s="50">
        <f t="shared" si="108"/>
        <v>35.014779270968155</v>
      </c>
      <c r="P226" s="102"/>
      <c r="Q226" s="207">
        <f t="shared" si="109"/>
        <v>35.014779270968155</v>
      </c>
      <c r="R226" s="142"/>
      <c r="AE226" s="122">
        <v>23.46</v>
      </c>
      <c r="AF226" s="122">
        <f t="shared" si="93"/>
        <v>0.17102593010146563</v>
      </c>
      <c r="AG226" s="48">
        <f t="shared" si="94"/>
        <v>4.3864702449895349E-5</v>
      </c>
      <c r="AH226" s="122">
        <f t="shared" si="91"/>
        <v>1</v>
      </c>
      <c r="AI226" s="108">
        <f t="shared" si="95"/>
        <v>8870000</v>
      </c>
      <c r="AJ226" s="50">
        <f t="shared" si="96"/>
        <v>66.542753616491254</v>
      </c>
      <c r="AK226" s="122">
        <f t="shared" si="97"/>
        <v>0.13</v>
      </c>
      <c r="AL226" s="48">
        <f t="shared" si="98"/>
        <v>6.0049537760069812E-5</v>
      </c>
      <c r="AM226" s="122">
        <f t="shared" si="92"/>
        <v>1</v>
      </c>
      <c r="AN226" s="108">
        <f t="shared" si="99"/>
        <v>500000</v>
      </c>
      <c r="AO226" s="50">
        <f t="shared" si="100"/>
        <v>3.9032199544045381</v>
      </c>
      <c r="AP226" s="50">
        <f t="shared" si="101"/>
        <v>70.445973570895788</v>
      </c>
      <c r="AQ226" s="50">
        <f>+X148</f>
        <v>59.745505340173644</v>
      </c>
      <c r="AR226" s="50">
        <f t="shared" si="102"/>
        <v>130.19147891106942</v>
      </c>
      <c r="AS226" s="116">
        <v>35</v>
      </c>
      <c r="AT226" s="1"/>
      <c r="AU226" s="100">
        <f t="shared" si="103"/>
        <v>38.46</v>
      </c>
    </row>
    <row r="227" spans="9:47" x14ac:dyDescent="0.3">
      <c r="J227" s="101">
        <v>25</v>
      </c>
      <c r="K227" s="122">
        <f t="shared" si="104"/>
        <v>0.3534979423868313</v>
      </c>
      <c r="L227" s="48">
        <f t="shared" si="105"/>
        <v>4.0762257591348256E-5</v>
      </c>
      <c r="M227" s="122">
        <f t="shared" si="106"/>
        <v>1</v>
      </c>
      <c r="N227" s="108">
        <f t="shared" si="107"/>
        <v>2430000</v>
      </c>
      <c r="O227" s="50">
        <f t="shared" si="108"/>
        <v>35.014779270968155</v>
      </c>
      <c r="P227" s="102"/>
      <c r="Q227" s="207">
        <f t="shared" si="109"/>
        <v>35.014779270968155</v>
      </c>
      <c r="R227" s="142"/>
      <c r="AE227" s="102">
        <v>25</v>
      </c>
      <c r="AF227" s="122">
        <f t="shared" si="93"/>
        <v>0.17102593010146563</v>
      </c>
      <c r="AG227" s="48">
        <f t="shared" si="94"/>
        <v>4.3864702449895349E-5</v>
      </c>
      <c r="AH227" s="122">
        <f t="shared" si="91"/>
        <v>1</v>
      </c>
      <c r="AI227" s="108">
        <f t="shared" si="95"/>
        <v>8870000</v>
      </c>
      <c r="AJ227" s="50">
        <f t="shared" si="96"/>
        <v>66.542753616491254</v>
      </c>
      <c r="AK227" s="122">
        <f t="shared" si="97"/>
        <v>0.13</v>
      </c>
      <c r="AL227" s="48">
        <f t="shared" si="98"/>
        <v>6.0049537760069812E-5</v>
      </c>
      <c r="AM227" s="122">
        <f t="shared" si="92"/>
        <v>0.90448245168281416</v>
      </c>
      <c r="AN227" s="108">
        <f t="shared" si="99"/>
        <v>452241.22584140708</v>
      </c>
      <c r="AO227" s="50">
        <f t="shared" si="100"/>
        <v>3.5303939538170988</v>
      </c>
      <c r="AP227" s="50">
        <f t="shared" si="101"/>
        <v>70.07314757030835</v>
      </c>
      <c r="AQ227" s="50">
        <f>+((AQ228-AQ226)*(AE227-AE226)/(AE228-AE226))+AQ226</f>
        <v>60.291547565264175</v>
      </c>
      <c r="AR227" s="50">
        <f t="shared" si="102"/>
        <v>130.36469513557253</v>
      </c>
      <c r="AS227" s="119">
        <v>35.19</v>
      </c>
      <c r="AT227" s="20"/>
      <c r="AU227" s="100">
        <f t="shared" si="103"/>
        <v>38.65</v>
      </c>
    </row>
    <row r="228" spans="9:47" s="20" customFormat="1" x14ac:dyDescent="0.3">
      <c r="J228" s="101">
        <v>30</v>
      </c>
      <c r="K228" s="122">
        <f t="shared" si="104"/>
        <v>0.3534979423868313</v>
      </c>
      <c r="L228" s="48">
        <f t="shared" si="105"/>
        <v>4.0762257591348256E-5</v>
      </c>
      <c r="M228" s="122">
        <f t="shared" si="106"/>
        <v>1</v>
      </c>
      <c r="N228" s="108">
        <f t="shared" si="107"/>
        <v>2430000</v>
      </c>
      <c r="O228" s="50">
        <f t="shared" si="108"/>
        <v>35.014779270968155</v>
      </c>
      <c r="P228" s="102"/>
      <c r="Q228" s="207">
        <f t="shared" si="109"/>
        <v>35.014779270968155</v>
      </c>
      <c r="R228" s="142"/>
      <c r="AE228" s="122">
        <v>28.46</v>
      </c>
      <c r="AF228" s="122">
        <f t="shared" si="93"/>
        <v>0.17102593010146563</v>
      </c>
      <c r="AG228" s="48">
        <f t="shared" si="94"/>
        <v>4.3864702449895349E-5</v>
      </c>
      <c r="AH228" s="122">
        <f t="shared" si="91"/>
        <v>1</v>
      </c>
      <c r="AI228" s="108">
        <f t="shared" si="95"/>
        <v>8870000</v>
      </c>
      <c r="AJ228" s="50">
        <f t="shared" si="96"/>
        <v>66.542753616491254</v>
      </c>
      <c r="AK228" s="122">
        <f t="shared" si="97"/>
        <v>0.13</v>
      </c>
      <c r="AL228" s="48">
        <f t="shared" si="98"/>
        <v>6.0049537760069812E-5</v>
      </c>
      <c r="AM228" s="122">
        <f t="shared" si="92"/>
        <v>0.14638430824732107</v>
      </c>
      <c r="AN228" s="108">
        <f t="shared" si="99"/>
        <v>73192.154123660541</v>
      </c>
      <c r="AO228" s="50">
        <f t="shared" si="100"/>
        <v>0.57137015296264848</v>
      </c>
      <c r="AP228" s="50">
        <f t="shared" si="101"/>
        <v>67.114123769453897</v>
      </c>
      <c r="AQ228" s="50">
        <f>+X149</f>
        <v>61.518369707350701</v>
      </c>
      <c r="AR228" s="50">
        <f t="shared" si="102"/>
        <v>128.6324934768046</v>
      </c>
      <c r="AS228" s="119">
        <f>+AS225+5</f>
        <v>36.950000000000003</v>
      </c>
      <c r="AT228" s="1"/>
      <c r="AU228" s="100">
        <f t="shared" si="103"/>
        <v>40.410000000000004</v>
      </c>
    </row>
    <row r="229" spans="9:47" x14ac:dyDescent="0.3">
      <c r="J229" s="101">
        <v>35</v>
      </c>
      <c r="K229" s="122">
        <f t="shared" si="104"/>
        <v>0.3534979423868313</v>
      </c>
      <c r="L229" s="48">
        <f t="shared" si="105"/>
        <v>4.0762257591348256E-5</v>
      </c>
      <c r="M229" s="122">
        <f t="shared" si="106"/>
        <v>1</v>
      </c>
      <c r="N229" s="108">
        <f t="shared" si="107"/>
        <v>2430000</v>
      </c>
      <c r="O229" s="50">
        <f t="shared" si="108"/>
        <v>35.014779270968155</v>
      </c>
      <c r="P229" s="102"/>
      <c r="Q229" s="207">
        <f t="shared" si="109"/>
        <v>35.014779270968155</v>
      </c>
      <c r="R229" s="142"/>
      <c r="AE229" s="102">
        <v>30</v>
      </c>
      <c r="AF229" s="122">
        <f t="shared" si="93"/>
        <v>0.17102593010146563</v>
      </c>
      <c r="AG229" s="48">
        <f t="shared" si="94"/>
        <v>4.3864702449895349E-5</v>
      </c>
      <c r="AH229" s="122">
        <f t="shared" si="91"/>
        <v>1</v>
      </c>
      <c r="AI229" s="108">
        <f t="shared" si="95"/>
        <v>8870000</v>
      </c>
      <c r="AJ229" s="50">
        <f t="shared" si="96"/>
        <v>66.542753616491254</v>
      </c>
      <c r="AK229" s="122">
        <f t="shared" si="97"/>
        <v>0.13</v>
      </c>
      <c r="AL229" s="48">
        <f t="shared" si="98"/>
        <v>6.0049537760069812E-5</v>
      </c>
      <c r="AM229" s="122">
        <f t="shared" si="92"/>
        <v>0</v>
      </c>
      <c r="AN229" s="108">
        <f t="shared" si="99"/>
        <v>0</v>
      </c>
      <c r="AO229" s="50">
        <f t="shared" si="100"/>
        <v>0</v>
      </c>
      <c r="AP229" s="50">
        <f t="shared" si="101"/>
        <v>66.542753616491254</v>
      </c>
      <c r="AQ229" s="50">
        <f>+((AQ230-AQ228)*(AE229-AE228)/(AE230-AE228))+AQ228</f>
        <v>61.518369707350701</v>
      </c>
      <c r="AR229" s="50">
        <f t="shared" si="102"/>
        <v>128.06112332384197</v>
      </c>
      <c r="AS229" s="116">
        <v>40</v>
      </c>
      <c r="AT229" s="20"/>
      <c r="AU229" s="100">
        <f t="shared" si="103"/>
        <v>43.46</v>
      </c>
    </row>
    <row r="230" spans="9:47" s="20" customFormat="1" x14ac:dyDescent="0.3">
      <c r="J230" s="101">
        <v>40</v>
      </c>
      <c r="K230" s="122">
        <f t="shared" si="104"/>
        <v>0.3534979423868313</v>
      </c>
      <c r="L230" s="48">
        <f t="shared" si="105"/>
        <v>4.0762257591348256E-5</v>
      </c>
      <c r="M230" s="122">
        <f t="shared" si="106"/>
        <v>0.97359952144066531</v>
      </c>
      <c r="N230" s="108">
        <f t="shared" si="107"/>
        <v>2365846.8371008169</v>
      </c>
      <c r="O230" s="50">
        <f t="shared" si="108"/>
        <v>34.090372341565129</v>
      </c>
      <c r="P230" s="102"/>
      <c r="Q230" s="207">
        <f t="shared" si="109"/>
        <v>34.090372341565129</v>
      </c>
      <c r="R230" s="142"/>
      <c r="AE230" s="122">
        <v>33.46</v>
      </c>
      <c r="AF230" s="122">
        <f t="shared" si="93"/>
        <v>0.17102593010146563</v>
      </c>
      <c r="AG230" s="48">
        <f t="shared" si="94"/>
        <v>4.3864702449895349E-5</v>
      </c>
      <c r="AH230" s="122">
        <f t="shared" si="91"/>
        <v>1</v>
      </c>
      <c r="AI230" s="108">
        <f t="shared" si="95"/>
        <v>8870000</v>
      </c>
      <c r="AJ230" s="50">
        <f t="shared" si="96"/>
        <v>66.542753616491254</v>
      </c>
      <c r="AK230" s="122"/>
      <c r="AL230" s="48"/>
      <c r="AM230" s="122"/>
      <c r="AN230" s="108"/>
      <c r="AO230" s="50"/>
      <c r="AP230" s="50">
        <f t="shared" si="101"/>
        <v>66.542753616491254</v>
      </c>
      <c r="AQ230" s="50">
        <f>+X150</f>
        <v>61.518369707350701</v>
      </c>
      <c r="AR230" s="50">
        <f t="shared" si="102"/>
        <v>128.06112332384197</v>
      </c>
      <c r="AS230" s="119">
        <f>+AS227+5</f>
        <v>40.19</v>
      </c>
      <c r="AT230" s="100"/>
      <c r="AU230" s="100">
        <f t="shared" si="103"/>
        <v>43.65</v>
      </c>
    </row>
    <row r="231" spans="9:47" x14ac:dyDescent="0.3">
      <c r="J231" s="101">
        <v>45</v>
      </c>
      <c r="K231" s="122">
        <f t="shared" si="104"/>
        <v>0.3534979423868313</v>
      </c>
      <c r="L231" s="48">
        <f t="shared" si="105"/>
        <v>4.0762257591348256E-5</v>
      </c>
      <c r="M231" s="122">
        <f t="shared" si="106"/>
        <v>0.71699940180083166</v>
      </c>
      <c r="N231" s="108">
        <f t="shared" si="107"/>
        <v>1742308.5463760209</v>
      </c>
      <c r="O231" s="50">
        <f t="shared" si="108"/>
        <v>25.105575791472326</v>
      </c>
      <c r="P231" s="102"/>
      <c r="Q231" s="207">
        <f t="shared" si="109"/>
        <v>25.105575791472326</v>
      </c>
      <c r="R231" s="142"/>
      <c r="AE231" s="102">
        <v>35</v>
      </c>
      <c r="AF231" s="122">
        <f t="shared" si="93"/>
        <v>0.17102593010146563</v>
      </c>
      <c r="AG231" s="48">
        <f t="shared" si="94"/>
        <v>4.3864702449895349E-5</v>
      </c>
      <c r="AH231" s="122">
        <f t="shared" si="91"/>
        <v>1</v>
      </c>
      <c r="AI231" s="108">
        <f t="shared" si="95"/>
        <v>8870000</v>
      </c>
      <c r="AJ231" s="50">
        <f t="shared" si="96"/>
        <v>66.542753616491254</v>
      </c>
      <c r="AK231" s="122"/>
      <c r="AL231" s="48"/>
      <c r="AM231" s="122"/>
      <c r="AN231" s="108"/>
      <c r="AO231" s="50"/>
      <c r="AP231" s="50">
        <f t="shared" si="101"/>
        <v>66.542753616491254</v>
      </c>
      <c r="AQ231" s="50">
        <f>+((AQ233-AQ230)*(AE231-AE230)/(AE233-AE230))+AQ230</f>
        <v>61.518369707350701</v>
      </c>
      <c r="AR231" s="50">
        <f t="shared" si="102"/>
        <v>128.06112332384197</v>
      </c>
      <c r="AS231" s="119">
        <f>+AS228+5</f>
        <v>41.95</v>
      </c>
      <c r="AT231" s="100"/>
      <c r="AU231" s="100">
        <f t="shared" si="103"/>
        <v>45.410000000000004</v>
      </c>
    </row>
    <row r="232" spans="9:47" s="121" customFormat="1" x14ac:dyDescent="0.3">
      <c r="I232" s="98">
        <v>0</v>
      </c>
      <c r="J232" s="96">
        <f>+T.TRASNP.!C52</f>
        <v>45.532712454360635</v>
      </c>
      <c r="K232" s="122">
        <f t="shared" si="104"/>
        <v>0.3534979423868313</v>
      </c>
      <c r="L232" s="48">
        <f t="shared" si="105"/>
        <v>4.0762257591348256E-5</v>
      </c>
      <c r="M232" s="122">
        <f t="shared" si="106"/>
        <v>0.68966058589631807</v>
      </c>
      <c r="N232" s="108">
        <f t="shared" si="107"/>
        <v>1675875.2237280528</v>
      </c>
      <c r="O232" s="50">
        <f t="shared" si="108"/>
        <v>24.148313187046149</v>
      </c>
      <c r="P232" s="50">
        <f>+AR217</f>
        <v>0</v>
      </c>
      <c r="Q232" s="207">
        <f t="shared" si="109"/>
        <v>24.148313187046149</v>
      </c>
      <c r="R232" s="142"/>
      <c r="AE232" s="102"/>
      <c r="AF232" s="122"/>
      <c r="AG232" s="48"/>
      <c r="AH232" s="122"/>
      <c r="AI232" s="108"/>
      <c r="AJ232" s="50"/>
      <c r="AK232" s="122"/>
      <c r="AL232" s="48"/>
      <c r="AM232" s="122"/>
      <c r="AN232" s="108"/>
      <c r="AO232" s="50"/>
      <c r="AP232" s="50"/>
      <c r="AQ232" s="50"/>
      <c r="AR232" s="50"/>
      <c r="AS232" s="119"/>
      <c r="AT232" s="100"/>
      <c r="AU232" s="100"/>
    </row>
    <row r="233" spans="9:47" s="20" customFormat="1" x14ac:dyDescent="0.3">
      <c r="I233" s="134">
        <v>3.46</v>
      </c>
      <c r="J233" s="96">
        <f>+$J$232+I233</f>
        <v>48.992712454360635</v>
      </c>
      <c r="K233" s="122">
        <f t="shared" si="104"/>
        <v>0.3534979423868313</v>
      </c>
      <c r="L233" s="48">
        <f t="shared" si="105"/>
        <v>4.0762257591348256E-5</v>
      </c>
      <c r="M233" s="122">
        <f t="shared" si="106"/>
        <v>0.51209330310555301</v>
      </c>
      <c r="N233" s="108">
        <f t="shared" si="107"/>
        <v>1244386.7265464938</v>
      </c>
      <c r="O233" s="50">
        <f t="shared" si="108"/>
        <v>17.93083397438193</v>
      </c>
      <c r="P233" s="50">
        <f>+AR218</f>
        <v>17.425705474910671</v>
      </c>
      <c r="Q233" s="207">
        <f t="shared" si="109"/>
        <v>35.356539449292598</v>
      </c>
      <c r="R233" s="142"/>
      <c r="AE233" s="122">
        <f>31.95+AE218</f>
        <v>35.409999999999997</v>
      </c>
      <c r="AF233" s="122">
        <f t="shared" si="93"/>
        <v>0.17102593010146563</v>
      </c>
      <c r="AG233" s="48">
        <f t="shared" si="94"/>
        <v>4.3864702449895349E-5</v>
      </c>
      <c r="AH233" s="122">
        <f>+IF(AE233&lt;$B$71,AE233/$B$71,IF(AND(AE233&gt;=$B$71,AE233&lt;=$B$71+20),1,IF(AE233&lt;=$AF$215,(1-(AE233-($B$71+20))/$B$71),0)))</f>
        <v>1</v>
      </c>
      <c r="AI233" s="108">
        <f t="shared" si="95"/>
        <v>8870000</v>
      </c>
      <c r="AJ233" s="50">
        <f t="shared" si="96"/>
        <v>66.542753616491254</v>
      </c>
      <c r="AK233" s="122"/>
      <c r="AL233" s="48"/>
      <c r="AM233" s="122"/>
      <c r="AN233" s="108"/>
      <c r="AO233" s="50"/>
      <c r="AP233" s="50">
        <f t="shared" si="101"/>
        <v>66.542753616491254</v>
      </c>
      <c r="AQ233" s="50">
        <f>+X151</f>
        <v>61.518369707350701</v>
      </c>
      <c r="AR233" s="50">
        <f t="shared" si="102"/>
        <v>128.06112332384197</v>
      </c>
      <c r="AS233" s="119"/>
      <c r="AU233" s="100"/>
    </row>
    <row r="234" spans="9:47" s="121" customFormat="1" x14ac:dyDescent="0.3">
      <c r="I234" s="134"/>
      <c r="J234" s="96">
        <v>50</v>
      </c>
      <c r="K234" s="122">
        <f t="shared" si="104"/>
        <v>0.3534979423868313</v>
      </c>
      <c r="L234" s="48">
        <f t="shared" si="105"/>
        <v>4.0762257591348256E-5</v>
      </c>
      <c r="M234" s="122">
        <f t="shared" si="106"/>
        <v>0.46039928216099801</v>
      </c>
      <c r="N234" s="108">
        <f t="shared" si="107"/>
        <v>1118770.2556512251</v>
      </c>
      <c r="O234" s="50">
        <f t="shared" si="108"/>
        <v>16.12077924137953</v>
      </c>
      <c r="P234" s="50">
        <f>+((P235-P233)*(J234-J233)/(J235-J233))+P233</f>
        <v>25.419064798180614</v>
      </c>
      <c r="Q234" s="207">
        <f t="shared" si="109"/>
        <v>41.539844039560144</v>
      </c>
      <c r="R234" s="142"/>
      <c r="AE234" s="122"/>
      <c r="AF234" s="122"/>
      <c r="AG234" s="48"/>
      <c r="AH234" s="122"/>
      <c r="AI234" s="108"/>
      <c r="AJ234" s="50"/>
      <c r="AK234" s="122"/>
      <c r="AL234" s="48"/>
      <c r="AM234" s="122"/>
      <c r="AN234" s="108"/>
      <c r="AO234" s="50"/>
      <c r="AP234" s="50"/>
      <c r="AQ234" s="50"/>
      <c r="AR234" s="50"/>
      <c r="AS234" s="119"/>
      <c r="AU234" s="100"/>
    </row>
    <row r="235" spans="9:47" s="121" customFormat="1" x14ac:dyDescent="0.3">
      <c r="I235" s="98">
        <v>5</v>
      </c>
      <c r="J235" s="96">
        <f>+$J$232+I235</f>
        <v>50.532712454360635</v>
      </c>
      <c r="K235" s="122">
        <f t="shared" si="104"/>
        <v>0.3534979423868313</v>
      </c>
      <c r="L235" s="48">
        <f t="shared" si="105"/>
        <v>4.0762257591348256E-5</v>
      </c>
      <c r="M235" s="122">
        <f t="shared" si="106"/>
        <v>0.43306046625648431</v>
      </c>
      <c r="N235" s="108">
        <f t="shared" si="107"/>
        <v>1052336.9330032568</v>
      </c>
      <c r="O235" s="50">
        <f t="shared" si="108"/>
        <v>15.16351663695335</v>
      </c>
      <c r="P235" s="50">
        <f>+AR219</f>
        <v>29.646419819216607</v>
      </c>
      <c r="Q235" s="207">
        <f t="shared" si="109"/>
        <v>44.809936456169957</v>
      </c>
      <c r="R235" s="142"/>
      <c r="AE235" s="122"/>
      <c r="AF235" s="122"/>
      <c r="AG235" s="48"/>
      <c r="AH235" s="122"/>
      <c r="AI235" s="108"/>
      <c r="AJ235" s="50"/>
      <c r="AK235" s="122"/>
      <c r="AL235" s="48"/>
      <c r="AM235" s="122"/>
      <c r="AN235" s="108"/>
      <c r="AO235" s="50"/>
      <c r="AP235" s="50"/>
      <c r="AQ235" s="50"/>
      <c r="AR235" s="50"/>
      <c r="AS235" s="119"/>
      <c r="AU235" s="100"/>
    </row>
    <row r="236" spans="9:47" s="20" customFormat="1" x14ac:dyDescent="0.3">
      <c r="I236" s="134">
        <v>8.4600000000000009</v>
      </c>
      <c r="J236" s="96">
        <f>+$J$232+I236</f>
        <v>53.992712454360635</v>
      </c>
      <c r="K236" s="122">
        <f t="shared" si="104"/>
        <v>0.3534979423868313</v>
      </c>
      <c r="L236" s="48">
        <f t="shared" si="105"/>
        <v>4.0762257591348256E-5</v>
      </c>
      <c r="M236" s="122">
        <f t="shared" si="106"/>
        <v>0.25549318346571936</v>
      </c>
      <c r="N236" s="108">
        <f t="shared" si="107"/>
        <v>620848.43582169805</v>
      </c>
      <c r="O236" s="50">
        <f t="shared" si="108"/>
        <v>8.9460374242891341</v>
      </c>
      <c r="P236" s="50">
        <f>+AR220</f>
        <v>54.981973676369378</v>
      </c>
      <c r="Q236" s="207">
        <f t="shared" si="109"/>
        <v>63.928011100658509</v>
      </c>
      <c r="R236" s="142"/>
      <c r="AE236" s="102">
        <v>38.46</v>
      </c>
      <c r="AF236" s="122">
        <f t="shared" si="93"/>
        <v>0.17102593010146563</v>
      </c>
      <c r="AG236" s="48">
        <f t="shared" si="94"/>
        <v>4.3864702449895349E-5</v>
      </c>
      <c r="AH236" s="122">
        <f>+IF(AE238&lt;$B$71,AE238/$B$71,IF(AND(AE238&gt;=$B$71,AE238&lt;=$B$71+20),1,IF(AE238&lt;=$AF$215,(1-(AE238-($B$71+20))/$B$71),0)))</f>
        <v>0.82815304960628355</v>
      </c>
      <c r="AI236" s="108">
        <f t="shared" si="95"/>
        <v>7345717.5500077354</v>
      </c>
      <c r="AJ236" s="50">
        <f t="shared" si="96"/>
        <v>55.107584336696782</v>
      </c>
      <c r="AK236" s="122"/>
      <c r="AL236" s="48"/>
      <c r="AM236" s="122"/>
      <c r="AN236" s="108"/>
      <c r="AO236" s="50"/>
      <c r="AP236" s="50">
        <f t="shared" si="101"/>
        <v>55.107584336696782</v>
      </c>
      <c r="AQ236" s="50">
        <f>+X152</f>
        <v>97.97607333585151</v>
      </c>
      <c r="AR236" s="50">
        <f t="shared" si="102"/>
        <v>153.0836576725483</v>
      </c>
      <c r="AS236" s="116">
        <v>45</v>
      </c>
      <c r="AU236" s="100">
        <f>+AS236+$AE$218</f>
        <v>48.46</v>
      </c>
    </row>
    <row r="237" spans="9:47" s="121" customFormat="1" x14ac:dyDescent="0.3">
      <c r="I237" s="134"/>
      <c r="J237" s="96">
        <v>55</v>
      </c>
      <c r="K237" s="122">
        <f t="shared" si="104"/>
        <v>0.3534979423868313</v>
      </c>
      <c r="L237" s="48">
        <f t="shared" si="105"/>
        <v>4.0762257591348256E-5</v>
      </c>
      <c r="M237" s="122">
        <f t="shared" si="106"/>
        <v>0.20379916252116437</v>
      </c>
      <c r="N237" s="108">
        <f t="shared" si="107"/>
        <v>495231.96492642944</v>
      </c>
      <c r="O237" s="50">
        <f t="shared" si="108"/>
        <v>7.1359826912867366</v>
      </c>
      <c r="P237" s="50">
        <f>+((P238-P236)*(J237-J236)/(J238-J236))+P236</f>
        <v>62.35775051515126</v>
      </c>
      <c r="Q237" s="207">
        <f t="shared" si="109"/>
        <v>69.493733206437994</v>
      </c>
      <c r="R237" s="142"/>
      <c r="AE237" s="102"/>
      <c r="AF237" s="122"/>
      <c r="AG237" s="48"/>
      <c r="AH237" s="122"/>
      <c r="AI237" s="108"/>
      <c r="AJ237" s="50"/>
      <c r="AK237" s="122"/>
      <c r="AL237" s="48"/>
      <c r="AM237" s="122"/>
      <c r="AN237" s="108"/>
      <c r="AO237" s="50"/>
      <c r="AP237" s="50"/>
      <c r="AQ237" s="50"/>
      <c r="AR237" s="50"/>
      <c r="AS237" s="116"/>
      <c r="AU237" s="100"/>
    </row>
    <row r="238" spans="9:47" s="20" customFormat="1" x14ac:dyDescent="0.3">
      <c r="I238" s="98">
        <v>10</v>
      </c>
      <c r="J238" s="96">
        <f>+$J$232+I238</f>
        <v>55.532712454360635</v>
      </c>
      <c r="K238" s="122">
        <f t="shared" si="104"/>
        <v>0.3534979423868313</v>
      </c>
      <c r="L238" s="48">
        <f t="shared" si="105"/>
        <v>4.0762257591348256E-5</v>
      </c>
      <c r="M238" s="122">
        <f t="shared" si="106"/>
        <v>0.17646034661665067</v>
      </c>
      <c r="N238" s="108">
        <f t="shared" si="107"/>
        <v>428798.64227846113</v>
      </c>
      <c r="O238" s="50">
        <f t="shared" si="108"/>
        <v>6.1787200868605554</v>
      </c>
      <c r="P238" s="50">
        <f>+AR221</f>
        <v>66.258491867125215</v>
      </c>
      <c r="Q238" s="207">
        <f t="shared" si="109"/>
        <v>72.437211953985766</v>
      </c>
      <c r="R238" s="142"/>
      <c r="AE238" s="122">
        <v>38.65</v>
      </c>
      <c r="AF238" s="122">
        <f t="shared" si="93"/>
        <v>0.17102593010146563</v>
      </c>
      <c r="AG238" s="48">
        <f t="shared" si="94"/>
        <v>4.3864702449895349E-5</v>
      </c>
      <c r="AH238" s="122">
        <f t="shared" ref="AH238:AH248" si="110">+IF(AE239&lt;$B$71,AE239/$B$71,IF(AND(AE239&gt;=$B$71,AE239&lt;=$B$71+20),1,IF(AE239&lt;=$AF$215,(1-(AE239-($B$71+20))/$B$71),0)))</f>
        <v>0.74332766713810561</v>
      </c>
      <c r="AI238" s="108">
        <f t="shared" si="95"/>
        <v>6593316.4075149968</v>
      </c>
      <c r="AJ238" s="50">
        <f t="shared" si="96"/>
        <v>49.463069810692183</v>
      </c>
      <c r="AK238" s="122"/>
      <c r="AL238" s="48"/>
      <c r="AM238" s="122"/>
      <c r="AN238" s="108"/>
      <c r="AO238" s="50"/>
      <c r="AP238" s="50">
        <f t="shared" si="101"/>
        <v>49.463069810692183</v>
      </c>
      <c r="AQ238" s="50">
        <f>+((AQ239-AQ236)*(AE238-AE236)/(AE239-AE236))+AQ236</f>
        <v>98.250852025685518</v>
      </c>
      <c r="AR238" s="50">
        <f t="shared" si="102"/>
        <v>147.71392183637769</v>
      </c>
      <c r="AS238" s="116"/>
      <c r="AU238" s="100"/>
    </row>
    <row r="239" spans="9:47" x14ac:dyDescent="0.3">
      <c r="I239" s="134">
        <v>13.46</v>
      </c>
      <c r="J239" s="96">
        <f t="shared" ref="J239:J298" si="111">+$J$232+I239</f>
        <v>58.992712454360635</v>
      </c>
      <c r="K239" s="122">
        <f t="shared" si="104"/>
        <v>0.3534979423868313</v>
      </c>
      <c r="L239" s="48">
        <f t="shared" si="105"/>
        <v>4.0762257591348256E-5</v>
      </c>
      <c r="M239" s="122">
        <f t="shared" si="106"/>
        <v>0</v>
      </c>
      <c r="N239" s="108">
        <f t="shared" si="107"/>
        <v>0</v>
      </c>
      <c r="O239" s="50">
        <f t="shared" si="108"/>
        <v>0</v>
      </c>
      <c r="P239" s="50">
        <f t="shared" ref="P239:P248" si="112">+AR222</f>
        <v>91.594045724277976</v>
      </c>
      <c r="Q239" s="207">
        <f t="shared" si="109"/>
        <v>91.594045724277976</v>
      </c>
      <c r="R239" s="142"/>
      <c r="AE239" s="122">
        <v>40</v>
      </c>
      <c r="AF239" s="122">
        <f t="shared" si="93"/>
        <v>0.17102593010146563</v>
      </c>
      <c r="AG239" s="48">
        <f t="shared" si="94"/>
        <v>4.3864702449895349E-5</v>
      </c>
      <c r="AH239" s="122">
        <f t="shared" si="110"/>
        <v>0.71756588431443702</v>
      </c>
      <c r="AI239" s="108">
        <f t="shared" si="95"/>
        <v>6364809.3938690564</v>
      </c>
      <c r="AJ239" s="50">
        <f t="shared" si="96"/>
        <v>47.748809843535248</v>
      </c>
      <c r="AK239" s="122"/>
      <c r="AL239" s="48"/>
      <c r="AM239" s="122"/>
      <c r="AN239" s="108"/>
      <c r="AO239" s="50"/>
      <c r="AP239" s="50">
        <f t="shared" si="101"/>
        <v>47.748809843535248</v>
      </c>
      <c r="AQ239" s="50">
        <f>+X153</f>
        <v>100.20322692713772</v>
      </c>
      <c r="AR239" s="50">
        <f t="shared" si="102"/>
        <v>147.95203677067298</v>
      </c>
      <c r="AS239" s="119">
        <f>+AS230+5</f>
        <v>45.19</v>
      </c>
      <c r="AT239" s="100"/>
      <c r="AU239" s="100">
        <f>+AS239+$AE$218</f>
        <v>48.65</v>
      </c>
    </row>
    <row r="240" spans="9:47" s="20" customFormat="1" x14ac:dyDescent="0.3">
      <c r="I240" s="98">
        <v>15</v>
      </c>
      <c r="J240" s="96">
        <f t="shared" si="111"/>
        <v>60.532712454360635</v>
      </c>
      <c r="K240" s="102"/>
      <c r="L240" s="102"/>
      <c r="M240" s="102"/>
      <c r="N240" s="102"/>
      <c r="O240" s="102"/>
      <c r="P240" s="50">
        <f t="shared" si="112"/>
        <v>102.87056391503384</v>
      </c>
      <c r="Q240" s="207">
        <f t="shared" si="109"/>
        <v>102.87056391503384</v>
      </c>
      <c r="R240" s="142"/>
      <c r="AE240" s="102">
        <v>40.409999999999997</v>
      </c>
      <c r="AF240" s="122">
        <f t="shared" si="93"/>
        <v>0.17102593010146563</v>
      </c>
      <c r="AG240" s="48">
        <f t="shared" si="94"/>
        <v>4.3864702449895349E-5</v>
      </c>
      <c r="AH240" s="122">
        <f t="shared" si="110"/>
        <v>0.52592335355299791</v>
      </c>
      <c r="AI240" s="108">
        <f t="shared" si="95"/>
        <v>4664940.1460150918</v>
      </c>
      <c r="AJ240" s="50">
        <f t="shared" si="96"/>
        <v>34.996388136635957</v>
      </c>
      <c r="AK240" s="122"/>
      <c r="AL240" s="48"/>
      <c r="AM240" s="122"/>
      <c r="AN240" s="108"/>
      <c r="AO240" s="50"/>
      <c r="AP240" s="50">
        <f t="shared" si="101"/>
        <v>34.996388136635957</v>
      </c>
      <c r="AQ240" s="50">
        <f>+X154</f>
        <v>148.68496801932491</v>
      </c>
      <c r="AR240" s="50">
        <f t="shared" si="102"/>
        <v>183.68135615596088</v>
      </c>
      <c r="AS240" s="119"/>
      <c r="AT240" s="100"/>
      <c r="AU240" s="100"/>
    </row>
    <row r="241" spans="9:47" s="20" customFormat="1" x14ac:dyDescent="0.3">
      <c r="I241" s="134">
        <v>18.46</v>
      </c>
      <c r="J241" s="96">
        <f t="shared" si="111"/>
        <v>63.992712454360635</v>
      </c>
      <c r="K241" s="102"/>
      <c r="L241" s="102"/>
      <c r="M241" s="102"/>
      <c r="N241" s="102"/>
      <c r="O241" s="102"/>
      <c r="P241" s="50">
        <f t="shared" si="112"/>
        <v>117.56536164790388</v>
      </c>
      <c r="Q241" s="207">
        <f t="shared" si="109"/>
        <v>117.56536164790388</v>
      </c>
      <c r="R241" s="142"/>
      <c r="AE241" s="122">
        <v>43.46</v>
      </c>
      <c r="AF241" s="122">
        <f t="shared" si="93"/>
        <v>0.17102593010146563</v>
      </c>
      <c r="AG241" s="48">
        <f t="shared" si="94"/>
        <v>4.3864702449895349E-5</v>
      </c>
      <c r="AH241" s="122">
        <f t="shared" si="110"/>
        <v>0.51649831105653377</v>
      </c>
      <c r="AI241" s="108">
        <f t="shared" si="95"/>
        <v>4581340.0190714542</v>
      </c>
      <c r="AJ241" s="50">
        <f t="shared" si="96"/>
        <v>34.36921985596878</v>
      </c>
      <c r="AK241" s="122"/>
      <c r="AL241" s="48"/>
      <c r="AM241" s="122"/>
      <c r="AN241" s="108"/>
      <c r="AO241" s="50"/>
      <c r="AP241" s="50">
        <f t="shared" si="101"/>
        <v>34.36921985596878</v>
      </c>
      <c r="AQ241" s="50">
        <f>+X155</f>
        <v>230.76812148220696</v>
      </c>
      <c r="AR241" s="50">
        <f t="shared" si="102"/>
        <v>265.13734133817576</v>
      </c>
      <c r="AS241" s="119">
        <f>+AS231+5</f>
        <v>46.95</v>
      </c>
      <c r="AT241" s="100"/>
      <c r="AU241" s="100">
        <f t="shared" ref="AU241:AU277" si="113">+AS241+$AE$218</f>
        <v>50.410000000000004</v>
      </c>
    </row>
    <row r="242" spans="9:47" x14ac:dyDescent="0.3">
      <c r="I242" s="98">
        <v>20</v>
      </c>
      <c r="J242" s="96">
        <f t="shared" si="111"/>
        <v>65.532712454360635</v>
      </c>
      <c r="K242" s="102"/>
      <c r="L242" s="102"/>
      <c r="M242" s="102"/>
      <c r="N242" s="102"/>
      <c r="O242" s="102"/>
      <c r="P242" s="50">
        <f t="shared" si="112"/>
        <v>121.45420576495887</v>
      </c>
      <c r="Q242" s="207">
        <f t="shared" si="109"/>
        <v>121.45420576495887</v>
      </c>
      <c r="R242" s="142"/>
      <c r="AE242" s="122">
        <v>43.61</v>
      </c>
      <c r="AF242" s="122">
        <f t="shared" si="93"/>
        <v>0.17102593010146563</v>
      </c>
      <c r="AG242" s="48">
        <f t="shared" si="94"/>
        <v>4.3864702449895349E-5</v>
      </c>
      <c r="AH242" s="122">
        <f t="shared" si="110"/>
        <v>0.42915958392263209</v>
      </c>
      <c r="AI242" s="108">
        <f t="shared" si="95"/>
        <v>3806645.5093937465</v>
      </c>
      <c r="AJ242" s="50">
        <f t="shared" si="96"/>
        <v>28.557460455119607</v>
      </c>
      <c r="AK242" s="122"/>
      <c r="AL242" s="48"/>
      <c r="AM242" s="122"/>
      <c r="AN242" s="108"/>
      <c r="AO242" s="50"/>
      <c r="AP242" s="50">
        <f t="shared" si="101"/>
        <v>28.557460455119607</v>
      </c>
      <c r="AQ242" s="50">
        <f>+((AQ243-AQ241)*(AE242-AE241)/(AE243-AE241))+AQ241</f>
        <v>231.25653247388951</v>
      </c>
      <c r="AR242" s="50">
        <f t="shared" si="102"/>
        <v>259.81399292900909</v>
      </c>
      <c r="AS242" s="116">
        <v>50</v>
      </c>
      <c r="AT242" s="20"/>
      <c r="AU242" s="100">
        <f t="shared" si="113"/>
        <v>53.46</v>
      </c>
    </row>
    <row r="243" spans="9:47" s="20" customFormat="1" x14ac:dyDescent="0.3">
      <c r="I243" s="134">
        <v>23.46</v>
      </c>
      <c r="J243" s="96">
        <f t="shared" si="111"/>
        <v>68.992712454360628</v>
      </c>
      <c r="K243" s="102"/>
      <c r="L243" s="102"/>
      <c r="M243" s="102"/>
      <c r="N243" s="102"/>
      <c r="O243" s="102"/>
      <c r="P243" s="50">
        <f t="shared" si="112"/>
        <v>130.19147891106942</v>
      </c>
      <c r="Q243" s="207">
        <f t="shared" si="109"/>
        <v>130.19147891106942</v>
      </c>
      <c r="R243" s="142"/>
      <c r="AE243" s="102">
        <v>45</v>
      </c>
      <c r="AF243" s="122">
        <f t="shared" si="93"/>
        <v>0.17102593010146563</v>
      </c>
      <c r="AG243" s="48">
        <f t="shared" si="94"/>
        <v>4.3864702449895349E-5</v>
      </c>
      <c r="AH243" s="122">
        <f t="shared" si="110"/>
        <v>0.4033978010989635</v>
      </c>
      <c r="AI243" s="108">
        <f t="shared" si="95"/>
        <v>3578138.4957478065</v>
      </c>
      <c r="AJ243" s="50">
        <f t="shared" si="96"/>
        <v>26.843200487962672</v>
      </c>
      <c r="AK243" s="122"/>
      <c r="AL243" s="48"/>
      <c r="AM243" s="122"/>
      <c r="AN243" s="108"/>
      <c r="AO243" s="50"/>
      <c r="AP243" s="50">
        <f t="shared" si="101"/>
        <v>26.843200487962672</v>
      </c>
      <c r="AQ243" s="50">
        <f>+X156</f>
        <v>235.78247433014775</v>
      </c>
      <c r="AR243" s="50">
        <f t="shared" si="102"/>
        <v>262.62567481811044</v>
      </c>
      <c r="AS243" s="119">
        <f>+AS239+5</f>
        <v>50.19</v>
      </c>
      <c r="AU243" s="100">
        <f t="shared" si="113"/>
        <v>53.65</v>
      </c>
    </row>
    <row r="244" spans="9:47" x14ac:dyDescent="0.3">
      <c r="I244" s="98">
        <v>25</v>
      </c>
      <c r="J244" s="96">
        <f t="shared" si="111"/>
        <v>70.532712454360635</v>
      </c>
      <c r="K244" s="102"/>
      <c r="L244" s="102"/>
      <c r="M244" s="102"/>
      <c r="N244" s="102"/>
      <c r="O244" s="102"/>
      <c r="P244" s="50">
        <f t="shared" si="112"/>
        <v>130.36469513557253</v>
      </c>
      <c r="Q244" s="207">
        <f t="shared" si="109"/>
        <v>130.36469513557253</v>
      </c>
      <c r="R244" s="142"/>
      <c r="AE244" s="122">
        <v>45.41</v>
      </c>
      <c r="AF244" s="122">
        <f t="shared" si="93"/>
        <v>0.17102593010146563</v>
      </c>
      <c r="AG244" s="48">
        <f t="shared" si="94"/>
        <v>4.3864702449895349E-5</v>
      </c>
      <c r="AH244" s="122">
        <f t="shared" si="110"/>
        <v>0.21175527033752428</v>
      </c>
      <c r="AI244" s="108">
        <f t="shared" si="95"/>
        <v>1878269.2478938403</v>
      </c>
      <c r="AJ244" s="50">
        <f t="shared" si="96"/>
        <v>14.090778781063376</v>
      </c>
      <c r="AK244" s="122"/>
      <c r="AL244" s="48"/>
      <c r="AM244" s="122"/>
      <c r="AN244" s="108"/>
      <c r="AO244" s="50"/>
      <c r="AP244" s="50">
        <f t="shared" si="101"/>
        <v>14.090778781063376</v>
      </c>
      <c r="AQ244" s="50">
        <f>+X157</f>
        <v>280.46428144519666</v>
      </c>
      <c r="AR244" s="50">
        <f t="shared" si="102"/>
        <v>294.55506022626003</v>
      </c>
      <c r="AS244" s="119">
        <f>+AS241+5</f>
        <v>51.95</v>
      </c>
      <c r="AT244" s="100"/>
      <c r="AU244" s="100">
        <f t="shared" si="113"/>
        <v>55.410000000000004</v>
      </c>
    </row>
    <row r="245" spans="9:47" s="20" customFormat="1" x14ac:dyDescent="0.3">
      <c r="I245" s="134">
        <v>28.46</v>
      </c>
      <c r="J245" s="96">
        <f t="shared" si="111"/>
        <v>73.992712454360628</v>
      </c>
      <c r="K245" s="102"/>
      <c r="L245" s="102"/>
      <c r="M245" s="102"/>
      <c r="N245" s="102"/>
      <c r="O245" s="102"/>
      <c r="P245" s="50">
        <f t="shared" si="112"/>
        <v>128.6324934768046</v>
      </c>
      <c r="Q245" s="207">
        <f t="shared" si="109"/>
        <v>128.6324934768046</v>
      </c>
      <c r="R245" s="142"/>
      <c r="AE245" s="102">
        <v>48.46</v>
      </c>
      <c r="AF245" s="122">
        <f t="shared" si="93"/>
        <v>0.17102593010146563</v>
      </c>
      <c r="AG245" s="48">
        <f t="shared" si="94"/>
        <v>4.3864702449895349E-5</v>
      </c>
      <c r="AH245" s="122">
        <f t="shared" si="110"/>
        <v>0.19981688317533652</v>
      </c>
      <c r="AI245" s="108">
        <f t="shared" si="95"/>
        <v>1772375.753765235</v>
      </c>
      <c r="AJ245" s="50">
        <f t="shared" si="96"/>
        <v>13.296365625551633</v>
      </c>
      <c r="AK245" s="122"/>
      <c r="AL245" s="48"/>
      <c r="AM245" s="122"/>
      <c r="AN245" s="108"/>
      <c r="AO245" s="50"/>
      <c r="AP245" s="50">
        <f t="shared" si="101"/>
        <v>13.296365625551633</v>
      </c>
      <c r="AQ245" s="50">
        <f>+X158</f>
        <v>339.59178505541206</v>
      </c>
      <c r="AR245" s="50">
        <f t="shared" si="102"/>
        <v>352.88815068096369</v>
      </c>
      <c r="AS245" s="116">
        <v>55</v>
      </c>
      <c r="AT245" s="100"/>
      <c r="AU245" s="100">
        <f t="shared" si="113"/>
        <v>58.46</v>
      </c>
    </row>
    <row r="246" spans="9:47" x14ac:dyDescent="0.3">
      <c r="I246" s="98">
        <v>30</v>
      </c>
      <c r="J246" s="96">
        <f t="shared" si="111"/>
        <v>75.532712454360635</v>
      </c>
      <c r="K246" s="102"/>
      <c r="L246" s="102"/>
      <c r="M246" s="102"/>
      <c r="N246" s="102"/>
      <c r="O246" s="102"/>
      <c r="P246" s="50">
        <f t="shared" si="112"/>
        <v>128.06112332384197</v>
      </c>
      <c r="Q246" s="207">
        <f t="shared" si="109"/>
        <v>128.06112332384197</v>
      </c>
      <c r="R246" s="142"/>
      <c r="AE246" s="122">
        <v>48.65</v>
      </c>
      <c r="AF246" s="122">
        <f t="shared" si="93"/>
        <v>0.17102593010146563</v>
      </c>
      <c r="AG246" s="48">
        <f t="shared" si="94"/>
        <v>4.3864702449895349E-5</v>
      </c>
      <c r="AH246" s="122">
        <f t="shared" si="110"/>
        <v>0.11499150070715858</v>
      </c>
      <c r="AI246" s="108">
        <f t="shared" si="95"/>
        <v>1019974.6112724966</v>
      </c>
      <c r="AJ246" s="50">
        <f t="shared" si="96"/>
        <v>7.6518510995470326</v>
      </c>
      <c r="AK246" s="122"/>
      <c r="AL246" s="48"/>
      <c r="AM246" s="122"/>
      <c r="AN246" s="108"/>
      <c r="AO246" s="50"/>
      <c r="AP246" s="50">
        <f t="shared" si="101"/>
        <v>7.6518510995470326</v>
      </c>
      <c r="AQ246" s="50">
        <f>+((AQ247-AQ245)*(AE246-AE245)/(AE247-AE245))+AQ245</f>
        <v>340.03742414833806</v>
      </c>
      <c r="AR246" s="50">
        <f t="shared" si="102"/>
        <v>347.68927524788512</v>
      </c>
      <c r="AS246" s="119">
        <f>+AS243+5</f>
        <v>55.19</v>
      </c>
      <c r="AT246" s="20"/>
      <c r="AU246" s="100">
        <f t="shared" si="113"/>
        <v>58.65</v>
      </c>
    </row>
    <row r="247" spans="9:47" s="20" customFormat="1" x14ac:dyDescent="0.3">
      <c r="I247" s="134">
        <v>33.46</v>
      </c>
      <c r="J247" s="96">
        <f t="shared" si="111"/>
        <v>78.992712454360628</v>
      </c>
      <c r="K247" s="102"/>
      <c r="L247" s="102"/>
      <c r="M247" s="102"/>
      <c r="N247" s="102"/>
      <c r="O247" s="102"/>
      <c r="P247" s="50">
        <f t="shared" si="112"/>
        <v>128.06112332384197</v>
      </c>
      <c r="Q247" s="207">
        <f t="shared" si="109"/>
        <v>128.06112332384197</v>
      </c>
      <c r="R247" s="142"/>
      <c r="AE247" s="102">
        <v>50</v>
      </c>
      <c r="AF247" s="122">
        <f t="shared" si="93"/>
        <v>0.17102593010146563</v>
      </c>
      <c r="AG247" s="48">
        <f t="shared" si="94"/>
        <v>4.3864702449895349E-5</v>
      </c>
      <c r="AH247" s="122">
        <f t="shared" si="110"/>
        <v>8.9229717883489879E-2</v>
      </c>
      <c r="AI247" s="108">
        <f t="shared" si="95"/>
        <v>791467.59762655525</v>
      </c>
      <c r="AJ247" s="50">
        <f t="shared" si="96"/>
        <v>5.9375911323900903</v>
      </c>
      <c r="AK247" s="122"/>
      <c r="AL247" s="48"/>
      <c r="AM247" s="122"/>
      <c r="AN247" s="108"/>
      <c r="AO247" s="50"/>
      <c r="AP247" s="50">
        <f t="shared" si="101"/>
        <v>5.9375911323900903</v>
      </c>
      <c r="AQ247" s="50">
        <f>+X159</f>
        <v>343.20380717702301</v>
      </c>
      <c r="AR247" s="50">
        <f t="shared" si="102"/>
        <v>349.14139830941309</v>
      </c>
      <c r="AS247" s="119">
        <f>+AS244+5</f>
        <v>56.95</v>
      </c>
      <c r="AU247" s="100">
        <f t="shared" si="113"/>
        <v>60.410000000000004</v>
      </c>
    </row>
    <row r="248" spans="9:47" x14ac:dyDescent="0.3">
      <c r="I248" s="98">
        <v>35</v>
      </c>
      <c r="J248" s="96">
        <f t="shared" si="111"/>
        <v>80.532712454360635</v>
      </c>
      <c r="K248" s="102"/>
      <c r="L248" s="102"/>
      <c r="M248" s="102"/>
      <c r="N248" s="102"/>
      <c r="O248" s="102"/>
      <c r="P248" s="50">
        <f t="shared" si="112"/>
        <v>128.06112332384197</v>
      </c>
      <c r="Q248" s="207">
        <f t="shared" si="109"/>
        <v>128.06112332384197</v>
      </c>
      <c r="R248" s="142"/>
      <c r="AE248" s="122">
        <v>50.41</v>
      </c>
      <c r="AF248" s="122">
        <f t="shared" si="93"/>
        <v>0.17102593010146563</v>
      </c>
      <c r="AG248" s="48">
        <f t="shared" si="94"/>
        <v>4.3864702449895349E-5</v>
      </c>
      <c r="AH248" s="122">
        <f t="shared" si="110"/>
        <v>0</v>
      </c>
      <c r="AI248" s="108">
        <f t="shared" si="95"/>
        <v>0</v>
      </c>
      <c r="AJ248" s="50">
        <f t="shared" si="96"/>
        <v>0</v>
      </c>
      <c r="AK248" s="122"/>
      <c r="AL248" s="48"/>
      <c r="AM248" s="122"/>
      <c r="AN248" s="108"/>
      <c r="AO248" s="50"/>
      <c r="AP248" s="50">
        <f t="shared" si="101"/>
        <v>0</v>
      </c>
      <c r="AQ248" s="50">
        <f>+X160</f>
        <v>375.35218235721038</v>
      </c>
      <c r="AR248" s="50">
        <f t="shared" si="102"/>
        <v>375.35218235721038</v>
      </c>
      <c r="AS248" s="116">
        <v>60</v>
      </c>
      <c r="AT248" s="100"/>
      <c r="AU248" s="100">
        <f t="shared" si="113"/>
        <v>63.46</v>
      </c>
    </row>
    <row r="249" spans="9:47" s="20" customFormat="1" x14ac:dyDescent="0.3">
      <c r="I249" s="134">
        <f>31.95+I233</f>
        <v>35.409999999999997</v>
      </c>
      <c r="J249" s="96">
        <f t="shared" si="111"/>
        <v>80.942712454360631</v>
      </c>
      <c r="K249" s="102"/>
      <c r="L249" s="102"/>
      <c r="M249" s="102"/>
      <c r="N249" s="102"/>
      <c r="O249" s="102"/>
      <c r="P249" s="50">
        <f>+AR233</f>
        <v>128.06112332384197</v>
      </c>
      <c r="Q249" s="207">
        <f t="shared" si="109"/>
        <v>128.06112332384197</v>
      </c>
      <c r="R249" s="142"/>
      <c r="AE249" s="102">
        <v>53.46</v>
      </c>
      <c r="AF249" s="122"/>
      <c r="AG249" s="48"/>
      <c r="AH249" s="122"/>
      <c r="AI249" s="108"/>
      <c r="AJ249" s="50"/>
      <c r="AK249" s="122"/>
      <c r="AL249" s="48"/>
      <c r="AM249" s="122"/>
      <c r="AN249" s="108"/>
      <c r="AO249" s="50"/>
      <c r="AP249" s="50">
        <f t="shared" si="101"/>
        <v>0</v>
      </c>
      <c r="AQ249" s="50">
        <f>+X161</f>
        <v>425.14093107477379</v>
      </c>
      <c r="AR249" s="50">
        <f t="shared" si="102"/>
        <v>425.14093107477379</v>
      </c>
      <c r="AS249" s="119">
        <f>+AS246+5</f>
        <v>60.19</v>
      </c>
      <c r="AT249" s="100"/>
      <c r="AU249" s="100">
        <f t="shared" si="113"/>
        <v>63.65</v>
      </c>
    </row>
    <row r="250" spans="9:47" x14ac:dyDescent="0.3">
      <c r="I250" s="98">
        <v>38.46</v>
      </c>
      <c r="J250" s="96">
        <f t="shared" si="111"/>
        <v>83.992712454360628</v>
      </c>
      <c r="K250" s="102"/>
      <c r="L250" s="102"/>
      <c r="M250" s="102"/>
      <c r="N250" s="102"/>
      <c r="O250" s="102"/>
      <c r="P250" s="50">
        <f>+AR236</f>
        <v>153.0836576725483</v>
      </c>
      <c r="Q250" s="207">
        <f t="shared" si="109"/>
        <v>153.0836576725483</v>
      </c>
      <c r="R250" s="142"/>
      <c r="AE250" s="122">
        <v>53.65</v>
      </c>
      <c r="AF250" s="122"/>
      <c r="AG250" s="48"/>
      <c r="AH250" s="122"/>
      <c r="AI250" s="108"/>
      <c r="AJ250" s="50"/>
      <c r="AK250" s="122"/>
      <c r="AL250" s="48"/>
      <c r="AM250" s="122"/>
      <c r="AN250" s="108"/>
      <c r="AO250" s="50"/>
      <c r="AP250" s="50">
        <f t="shared" si="101"/>
        <v>0</v>
      </c>
      <c r="AQ250" s="50">
        <f>+((AQ251-AQ249)*(AE250-AE249)/(AE251-AE249))+AQ249</f>
        <v>425.51618474627469</v>
      </c>
      <c r="AR250" s="50">
        <f t="shared" si="102"/>
        <v>425.51618474627469</v>
      </c>
      <c r="AS250" s="119">
        <f>+AS247+5</f>
        <v>61.95</v>
      </c>
      <c r="AU250" s="100">
        <f t="shared" si="113"/>
        <v>65.41</v>
      </c>
    </row>
    <row r="251" spans="9:47" x14ac:dyDescent="0.3">
      <c r="I251" s="134">
        <v>38.65</v>
      </c>
      <c r="J251" s="96">
        <f t="shared" si="111"/>
        <v>84.182712454360626</v>
      </c>
      <c r="K251" s="102"/>
      <c r="L251" s="102"/>
      <c r="M251" s="102"/>
      <c r="N251" s="102"/>
      <c r="O251" s="102"/>
      <c r="P251" s="50">
        <f>+AR238</f>
        <v>147.71392183637769</v>
      </c>
      <c r="Q251" s="207">
        <f t="shared" si="109"/>
        <v>147.71392183637769</v>
      </c>
      <c r="R251" s="142"/>
      <c r="AE251" s="102">
        <v>55</v>
      </c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50">
        <f t="shared" ref="AQ251:AQ286" si="114">+X162</f>
        <v>428.18246083325494</v>
      </c>
      <c r="AR251" s="50">
        <f t="shared" si="102"/>
        <v>428.18246083325494</v>
      </c>
      <c r="AS251" s="116">
        <v>65</v>
      </c>
      <c r="AU251" s="100">
        <f t="shared" si="113"/>
        <v>68.459999999999994</v>
      </c>
    </row>
    <row r="252" spans="9:47" x14ac:dyDescent="0.3">
      <c r="I252" s="134">
        <v>40</v>
      </c>
      <c r="J252" s="96">
        <f t="shared" si="111"/>
        <v>85.532712454360635</v>
      </c>
      <c r="K252" s="102"/>
      <c r="L252" s="102"/>
      <c r="M252" s="102"/>
      <c r="N252" s="102"/>
      <c r="O252" s="102"/>
      <c r="P252" s="50">
        <f t="shared" ref="P252:P298" si="115">+AR239</f>
        <v>147.95203677067298</v>
      </c>
      <c r="Q252" s="207">
        <f t="shared" si="109"/>
        <v>147.95203677067298</v>
      </c>
      <c r="R252" s="142"/>
      <c r="AE252" s="122">
        <f t="shared" ref="AE252:AE285" si="116">+AU244</f>
        <v>55.410000000000004</v>
      </c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50">
        <f t="shared" si="114"/>
        <v>442.82228707924668</v>
      </c>
      <c r="AR252" s="50">
        <f t="shared" si="102"/>
        <v>442.82228707924668</v>
      </c>
      <c r="AS252" s="119">
        <f>+AS249+5</f>
        <v>65.19</v>
      </c>
      <c r="AT252" s="100"/>
      <c r="AU252" s="100">
        <f t="shared" si="113"/>
        <v>68.649999999999991</v>
      </c>
    </row>
    <row r="253" spans="9:47" x14ac:dyDescent="0.3">
      <c r="I253" s="98">
        <v>40.409999999999997</v>
      </c>
      <c r="J253" s="96">
        <f t="shared" si="111"/>
        <v>85.942712454360631</v>
      </c>
      <c r="K253" s="102"/>
      <c r="L253" s="102"/>
      <c r="M253" s="102"/>
      <c r="N253" s="102"/>
      <c r="O253" s="102"/>
      <c r="P253" s="50">
        <f t="shared" si="115"/>
        <v>183.68135615596088</v>
      </c>
      <c r="Q253" s="207">
        <f t="shared" si="109"/>
        <v>183.68135615596088</v>
      </c>
      <c r="R253" s="142"/>
      <c r="AE253" s="122">
        <f t="shared" si="116"/>
        <v>58.46</v>
      </c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50">
        <f t="shared" si="114"/>
        <v>469.96069981779146</v>
      </c>
      <c r="AR253" s="50">
        <f t="shared" si="102"/>
        <v>469.96069981779146</v>
      </c>
      <c r="AS253" s="119">
        <f>+AS250+5</f>
        <v>66.95</v>
      </c>
      <c r="AT253" s="100"/>
      <c r="AU253" s="100">
        <f t="shared" si="113"/>
        <v>70.41</v>
      </c>
    </row>
    <row r="254" spans="9:47" x14ac:dyDescent="0.3">
      <c r="I254" s="134">
        <v>43.46</v>
      </c>
      <c r="J254" s="96">
        <f t="shared" si="111"/>
        <v>88.992712454360628</v>
      </c>
      <c r="K254" s="102"/>
      <c r="L254" s="102"/>
      <c r="M254" s="102"/>
      <c r="N254" s="102"/>
      <c r="O254" s="102"/>
      <c r="P254" s="50">
        <f t="shared" si="115"/>
        <v>265.13734133817576</v>
      </c>
      <c r="Q254" s="207">
        <f t="shared" si="109"/>
        <v>265.13734133817576</v>
      </c>
      <c r="R254" s="142"/>
      <c r="AE254" s="122">
        <f t="shared" si="116"/>
        <v>58.65</v>
      </c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50">
        <f t="shared" si="114"/>
        <v>471.67795630114699</v>
      </c>
      <c r="AR254" s="50">
        <f t="shared" si="102"/>
        <v>471.67795630114699</v>
      </c>
      <c r="AS254" s="119">
        <f t="shared" ref="AS254:AS270" si="117">+AS252+5</f>
        <v>70.19</v>
      </c>
      <c r="AU254" s="100">
        <f t="shared" si="113"/>
        <v>73.649999999999991</v>
      </c>
    </row>
    <row r="255" spans="9:47" x14ac:dyDescent="0.3">
      <c r="I255" s="134">
        <v>43.61</v>
      </c>
      <c r="J255" s="96">
        <f t="shared" si="111"/>
        <v>89.142712454360634</v>
      </c>
      <c r="K255" s="102"/>
      <c r="L255" s="102"/>
      <c r="M255" s="102"/>
      <c r="N255" s="102"/>
      <c r="O255" s="102"/>
      <c r="P255" s="50">
        <f t="shared" si="115"/>
        <v>259.81399292900909</v>
      </c>
      <c r="Q255" s="207">
        <f t="shared" si="109"/>
        <v>259.81399292900909</v>
      </c>
      <c r="R255" s="142"/>
      <c r="AE255" s="122">
        <f t="shared" si="116"/>
        <v>60.410000000000004</v>
      </c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50">
        <f t="shared" si="114"/>
        <v>487.8763125878022</v>
      </c>
      <c r="AR255" s="50">
        <f t="shared" si="102"/>
        <v>487.8763125878022</v>
      </c>
      <c r="AS255" s="119">
        <f t="shared" si="117"/>
        <v>71.95</v>
      </c>
      <c r="AU255" s="100">
        <f t="shared" si="113"/>
        <v>75.41</v>
      </c>
    </row>
    <row r="256" spans="9:47" x14ac:dyDescent="0.3">
      <c r="I256" s="98">
        <v>45</v>
      </c>
      <c r="J256" s="96">
        <f t="shared" si="111"/>
        <v>90.532712454360635</v>
      </c>
      <c r="K256" s="102"/>
      <c r="L256" s="102"/>
      <c r="M256" s="102"/>
      <c r="N256" s="102"/>
      <c r="O256" s="102"/>
      <c r="P256" s="50">
        <f t="shared" si="115"/>
        <v>262.62567481811044</v>
      </c>
      <c r="Q256" s="207">
        <f t="shared" si="109"/>
        <v>262.62567481811044</v>
      </c>
      <c r="R256" s="142"/>
      <c r="AE256" s="122">
        <f t="shared" si="116"/>
        <v>63.46</v>
      </c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50">
        <f t="shared" si="114"/>
        <v>507.38495971795851</v>
      </c>
      <c r="AR256" s="50">
        <f t="shared" si="102"/>
        <v>507.38495971795851</v>
      </c>
      <c r="AS256" s="119">
        <f t="shared" si="117"/>
        <v>75.19</v>
      </c>
      <c r="AT256" s="100"/>
      <c r="AU256" s="100">
        <f t="shared" si="113"/>
        <v>78.649999999999991</v>
      </c>
    </row>
    <row r="257" spans="9:47" x14ac:dyDescent="0.3">
      <c r="I257" s="134">
        <v>45.41</v>
      </c>
      <c r="J257" s="96">
        <f t="shared" si="111"/>
        <v>90.942712454360631</v>
      </c>
      <c r="K257" s="102"/>
      <c r="L257" s="102"/>
      <c r="M257" s="102"/>
      <c r="N257" s="102"/>
      <c r="O257" s="102"/>
      <c r="P257" s="50">
        <f t="shared" si="115"/>
        <v>294.55506022626003</v>
      </c>
      <c r="Q257" s="207">
        <f t="shared" si="109"/>
        <v>294.55506022626003</v>
      </c>
      <c r="R257" s="142"/>
      <c r="AE257" s="122">
        <f t="shared" si="116"/>
        <v>63.65</v>
      </c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50">
        <f t="shared" si="114"/>
        <v>508.57671754121043</v>
      </c>
      <c r="AR257" s="50">
        <f t="shared" si="102"/>
        <v>508.57671754121043</v>
      </c>
      <c r="AS257" s="119">
        <f t="shared" si="117"/>
        <v>76.95</v>
      </c>
      <c r="AT257" s="100"/>
      <c r="AU257" s="100">
        <f t="shared" si="113"/>
        <v>80.41</v>
      </c>
    </row>
    <row r="258" spans="9:47" x14ac:dyDescent="0.3">
      <c r="I258" s="98">
        <v>48.46</v>
      </c>
      <c r="J258" s="96">
        <f t="shared" si="111"/>
        <v>93.992712454360628</v>
      </c>
      <c r="K258" s="102"/>
      <c r="L258" s="102"/>
      <c r="M258" s="102"/>
      <c r="N258" s="102"/>
      <c r="O258" s="102"/>
      <c r="P258" s="50">
        <f t="shared" si="115"/>
        <v>352.88815068096369</v>
      </c>
      <c r="Q258" s="207">
        <f t="shared" si="109"/>
        <v>352.88815068096369</v>
      </c>
      <c r="R258" s="142"/>
      <c r="AE258" s="122">
        <f t="shared" si="116"/>
        <v>65.41</v>
      </c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50">
        <f t="shared" si="114"/>
        <v>520.66239386419727</v>
      </c>
      <c r="AR258" s="50">
        <f t="shared" si="102"/>
        <v>520.66239386419727</v>
      </c>
      <c r="AS258" s="119">
        <f t="shared" si="117"/>
        <v>80.19</v>
      </c>
      <c r="AU258" s="100">
        <f t="shared" si="113"/>
        <v>83.649999999999991</v>
      </c>
    </row>
    <row r="259" spans="9:47" x14ac:dyDescent="0.3">
      <c r="I259" s="134">
        <v>48.65</v>
      </c>
      <c r="J259" s="96">
        <f t="shared" si="111"/>
        <v>94.182712454360626</v>
      </c>
      <c r="K259" s="102"/>
      <c r="L259" s="102"/>
      <c r="M259" s="102"/>
      <c r="N259" s="102"/>
      <c r="O259" s="102"/>
      <c r="P259" s="50">
        <f t="shared" si="115"/>
        <v>347.68927524788512</v>
      </c>
      <c r="Q259" s="207">
        <f t="shared" si="109"/>
        <v>347.68927524788512</v>
      </c>
      <c r="R259" s="142"/>
      <c r="AE259" s="122">
        <f t="shared" si="116"/>
        <v>68.459999999999994</v>
      </c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50">
        <f t="shared" si="114"/>
        <v>525.20567944321601</v>
      </c>
      <c r="AR259" s="50">
        <f t="shared" si="102"/>
        <v>525.20567944321601</v>
      </c>
      <c r="AS259" s="119">
        <f t="shared" si="117"/>
        <v>81.95</v>
      </c>
      <c r="AU259" s="100">
        <f t="shared" si="113"/>
        <v>85.41</v>
      </c>
    </row>
    <row r="260" spans="9:47" x14ac:dyDescent="0.3">
      <c r="I260" s="98">
        <v>50</v>
      </c>
      <c r="J260" s="96">
        <f t="shared" si="111"/>
        <v>95.532712454360635</v>
      </c>
      <c r="K260" s="102"/>
      <c r="L260" s="102"/>
      <c r="M260" s="102"/>
      <c r="N260" s="102"/>
      <c r="O260" s="102"/>
      <c r="P260" s="50">
        <f t="shared" si="115"/>
        <v>349.14139830941309</v>
      </c>
      <c r="Q260" s="207">
        <f t="shared" si="109"/>
        <v>349.14139830941309</v>
      </c>
      <c r="R260" s="142"/>
      <c r="AE260" s="122">
        <f t="shared" si="116"/>
        <v>68.649999999999991</v>
      </c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50">
        <f t="shared" si="114"/>
        <v>525.48322283697053</v>
      </c>
      <c r="AR260" s="50">
        <f t="shared" si="102"/>
        <v>525.48322283697053</v>
      </c>
      <c r="AS260" s="119">
        <f t="shared" si="117"/>
        <v>85.19</v>
      </c>
      <c r="AT260" s="100"/>
      <c r="AU260" s="100">
        <f t="shared" si="113"/>
        <v>88.649999999999991</v>
      </c>
    </row>
    <row r="261" spans="9:47" x14ac:dyDescent="0.3">
      <c r="I261" s="134">
        <v>50.41</v>
      </c>
      <c r="J261" s="96">
        <f t="shared" si="111"/>
        <v>95.942712454360631</v>
      </c>
      <c r="K261" s="102"/>
      <c r="L261" s="102"/>
      <c r="M261" s="102"/>
      <c r="N261" s="102"/>
      <c r="O261" s="102"/>
      <c r="P261" s="50">
        <f t="shared" si="115"/>
        <v>375.35218235721038</v>
      </c>
      <c r="Q261" s="207">
        <f t="shared" si="109"/>
        <v>375.35218235721038</v>
      </c>
      <c r="R261" s="142"/>
      <c r="AE261" s="122">
        <f t="shared" si="116"/>
        <v>70.41</v>
      </c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50">
        <f t="shared" si="114"/>
        <v>526.17847788768972</v>
      </c>
      <c r="AR261" s="50">
        <f t="shared" si="102"/>
        <v>526.17847788768972</v>
      </c>
      <c r="AS261" s="119">
        <f t="shared" si="117"/>
        <v>86.95</v>
      </c>
      <c r="AT261" s="100"/>
      <c r="AU261" s="100">
        <f t="shared" si="113"/>
        <v>90.41</v>
      </c>
    </row>
    <row r="262" spans="9:47" x14ac:dyDescent="0.3">
      <c r="I262" s="98">
        <v>53.46</v>
      </c>
      <c r="J262" s="96">
        <f t="shared" si="111"/>
        <v>98.992712454360628</v>
      </c>
      <c r="K262" s="102"/>
      <c r="L262" s="102"/>
      <c r="M262" s="102"/>
      <c r="N262" s="102"/>
      <c r="O262" s="102"/>
      <c r="P262" s="50">
        <f t="shared" si="115"/>
        <v>425.14093107477379</v>
      </c>
      <c r="Q262" s="207">
        <f t="shared" si="109"/>
        <v>425.14093107477379</v>
      </c>
      <c r="R262" s="142"/>
      <c r="AE262" s="122">
        <f t="shared" si="116"/>
        <v>73.649999999999991</v>
      </c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50">
        <f t="shared" si="114"/>
        <v>521.0900596046813</v>
      </c>
      <c r="AR262" s="50">
        <f t="shared" si="102"/>
        <v>521.0900596046813</v>
      </c>
      <c r="AS262" s="119">
        <f t="shared" si="117"/>
        <v>90.19</v>
      </c>
      <c r="AU262" s="100">
        <f t="shared" si="113"/>
        <v>93.649999999999991</v>
      </c>
    </row>
    <row r="263" spans="9:47" x14ac:dyDescent="0.3">
      <c r="I263" s="134">
        <v>53.65</v>
      </c>
      <c r="J263" s="96">
        <f t="shared" si="111"/>
        <v>99.182712454360626</v>
      </c>
      <c r="K263" s="102"/>
      <c r="L263" s="102"/>
      <c r="M263" s="102"/>
      <c r="N263" s="102"/>
      <c r="O263" s="102"/>
      <c r="P263" s="50">
        <f t="shared" si="115"/>
        <v>425.51618474627469</v>
      </c>
      <c r="Q263" s="207">
        <f t="shared" si="109"/>
        <v>425.51618474627469</v>
      </c>
      <c r="R263" s="142"/>
      <c r="AE263" s="122">
        <f t="shared" si="116"/>
        <v>75.41</v>
      </c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50">
        <f t="shared" si="114"/>
        <v>504.27676572120504</v>
      </c>
      <c r="AR263" s="50">
        <f t="shared" si="102"/>
        <v>504.27676572120504</v>
      </c>
      <c r="AS263" s="119">
        <f t="shared" si="117"/>
        <v>91.95</v>
      </c>
      <c r="AU263" s="100">
        <f t="shared" si="113"/>
        <v>95.41</v>
      </c>
    </row>
    <row r="264" spans="9:47" x14ac:dyDescent="0.3">
      <c r="I264" s="98">
        <v>55</v>
      </c>
      <c r="J264" s="96">
        <f t="shared" si="111"/>
        <v>100.53271245436063</v>
      </c>
      <c r="K264" s="102"/>
      <c r="L264" s="102"/>
      <c r="M264" s="102"/>
      <c r="N264" s="102"/>
      <c r="O264" s="102"/>
      <c r="P264" s="50">
        <f t="shared" si="115"/>
        <v>428.18246083325494</v>
      </c>
      <c r="Q264" s="207">
        <f t="shared" si="109"/>
        <v>428.18246083325494</v>
      </c>
      <c r="R264" s="142"/>
      <c r="AE264" s="122">
        <f t="shared" si="116"/>
        <v>78.649999999999991</v>
      </c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50">
        <f t="shared" si="114"/>
        <v>483.99669600355787</v>
      </c>
      <c r="AR264" s="50">
        <f t="shared" si="102"/>
        <v>483.99669600355787</v>
      </c>
      <c r="AS264" s="119">
        <f t="shared" si="117"/>
        <v>95.19</v>
      </c>
      <c r="AT264" s="100"/>
      <c r="AU264" s="100">
        <f t="shared" si="113"/>
        <v>98.649999999999991</v>
      </c>
    </row>
    <row r="265" spans="9:47" x14ac:dyDescent="0.3">
      <c r="I265" s="134">
        <f t="shared" ref="I265:I298" si="118">+AE252</f>
        <v>55.410000000000004</v>
      </c>
      <c r="J265" s="96">
        <f t="shared" si="111"/>
        <v>100.94271245436065</v>
      </c>
      <c r="K265" s="102"/>
      <c r="L265" s="102"/>
      <c r="M265" s="102"/>
      <c r="N265" s="102"/>
      <c r="O265" s="102"/>
      <c r="P265" s="50">
        <f t="shared" si="115"/>
        <v>442.82228707924668</v>
      </c>
      <c r="Q265" s="207">
        <f t="shared" si="109"/>
        <v>442.82228707924668</v>
      </c>
      <c r="R265" s="142"/>
      <c r="AE265" s="122">
        <f t="shared" si="116"/>
        <v>80.41</v>
      </c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50">
        <f t="shared" si="114"/>
        <v>472.98347393958875</v>
      </c>
      <c r="AR265" s="50">
        <f t="shared" si="102"/>
        <v>472.98347393958875</v>
      </c>
      <c r="AS265" s="119">
        <f t="shared" si="117"/>
        <v>96.95</v>
      </c>
      <c r="AT265" s="100"/>
      <c r="AU265" s="100">
        <f t="shared" si="113"/>
        <v>100.41</v>
      </c>
    </row>
    <row r="266" spans="9:47" x14ac:dyDescent="0.3">
      <c r="I266" s="134">
        <f t="shared" si="118"/>
        <v>58.46</v>
      </c>
      <c r="J266" s="96">
        <f t="shared" si="111"/>
        <v>103.99271245436063</v>
      </c>
      <c r="K266" s="102"/>
      <c r="L266" s="102"/>
      <c r="M266" s="102"/>
      <c r="N266" s="102"/>
      <c r="O266" s="102"/>
      <c r="P266" s="50">
        <f t="shared" si="115"/>
        <v>469.96069981779146</v>
      </c>
      <c r="Q266" s="207">
        <f t="shared" si="109"/>
        <v>469.96069981779146</v>
      </c>
      <c r="R266" s="142"/>
      <c r="AE266" s="122">
        <f t="shared" si="116"/>
        <v>83.649999999999991</v>
      </c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50">
        <f t="shared" si="114"/>
        <v>456.31304401136379</v>
      </c>
      <c r="AR266" s="50">
        <f t="shared" si="102"/>
        <v>456.31304401136379</v>
      </c>
      <c r="AS266" s="119">
        <f t="shared" si="117"/>
        <v>100.19</v>
      </c>
      <c r="AU266" s="100">
        <f t="shared" si="113"/>
        <v>103.64999999999999</v>
      </c>
    </row>
    <row r="267" spans="9:47" x14ac:dyDescent="0.3">
      <c r="I267" s="134">
        <f t="shared" si="118"/>
        <v>58.65</v>
      </c>
      <c r="J267" s="96">
        <f t="shared" si="111"/>
        <v>104.18271245436063</v>
      </c>
      <c r="K267" s="102"/>
      <c r="L267" s="102"/>
      <c r="M267" s="102"/>
      <c r="N267" s="102"/>
      <c r="O267" s="102"/>
      <c r="P267" s="50">
        <f t="shared" si="115"/>
        <v>471.67795630114699</v>
      </c>
      <c r="Q267" s="207">
        <f t="shared" si="109"/>
        <v>471.67795630114699</v>
      </c>
      <c r="R267" s="142"/>
      <c r="AE267" s="122">
        <f t="shared" si="116"/>
        <v>85.41</v>
      </c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50">
        <f t="shared" si="114"/>
        <v>443.13382835361176</v>
      </c>
      <c r="AR267" s="50">
        <f t="shared" si="102"/>
        <v>443.13382835361176</v>
      </c>
      <c r="AS267" s="119">
        <f t="shared" si="117"/>
        <v>101.95</v>
      </c>
      <c r="AU267" s="100">
        <f t="shared" si="113"/>
        <v>105.41</v>
      </c>
    </row>
    <row r="268" spans="9:47" x14ac:dyDescent="0.3">
      <c r="I268" s="134">
        <f t="shared" si="118"/>
        <v>60.410000000000004</v>
      </c>
      <c r="J268" s="96">
        <f t="shared" si="111"/>
        <v>105.94271245436065</v>
      </c>
      <c r="K268" s="102"/>
      <c r="L268" s="102"/>
      <c r="M268" s="102"/>
      <c r="N268" s="102"/>
      <c r="O268" s="102"/>
      <c r="P268" s="50">
        <f t="shared" si="115"/>
        <v>487.8763125878022</v>
      </c>
      <c r="Q268" s="207">
        <f t="shared" si="109"/>
        <v>487.8763125878022</v>
      </c>
      <c r="R268" s="142"/>
      <c r="AE268" s="122">
        <f t="shared" si="116"/>
        <v>88.649999999999991</v>
      </c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50">
        <f t="shared" si="114"/>
        <v>434.79727680751444</v>
      </c>
      <c r="AR268" s="50">
        <f t="shared" si="102"/>
        <v>434.79727680751444</v>
      </c>
      <c r="AS268" s="119">
        <f t="shared" si="117"/>
        <v>105.19</v>
      </c>
      <c r="AT268" s="100"/>
      <c r="AU268" s="100">
        <f t="shared" si="113"/>
        <v>108.64999999999999</v>
      </c>
    </row>
    <row r="269" spans="9:47" x14ac:dyDescent="0.3">
      <c r="I269" s="134">
        <f t="shared" si="118"/>
        <v>63.46</v>
      </c>
      <c r="J269" s="96">
        <f t="shared" si="111"/>
        <v>108.99271245436063</v>
      </c>
      <c r="K269" s="102"/>
      <c r="L269" s="102"/>
      <c r="M269" s="102"/>
      <c r="N269" s="102"/>
      <c r="O269" s="102"/>
      <c r="P269" s="50">
        <f t="shared" si="115"/>
        <v>507.38495971795851</v>
      </c>
      <c r="Q269" s="207">
        <f t="shared" si="109"/>
        <v>507.38495971795851</v>
      </c>
      <c r="R269" s="142"/>
      <c r="AE269" s="122">
        <f t="shared" si="116"/>
        <v>90.41</v>
      </c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50">
        <f t="shared" si="114"/>
        <v>438.49240615089792</v>
      </c>
      <c r="AR269" s="50">
        <f t="shared" si="102"/>
        <v>438.49240615089792</v>
      </c>
      <c r="AS269" s="119">
        <f t="shared" si="117"/>
        <v>106.95</v>
      </c>
      <c r="AT269" s="100"/>
      <c r="AU269" s="100">
        <f t="shared" si="113"/>
        <v>110.41</v>
      </c>
    </row>
    <row r="270" spans="9:47" x14ac:dyDescent="0.3">
      <c r="I270" s="134">
        <f t="shared" si="118"/>
        <v>63.65</v>
      </c>
      <c r="J270" s="96">
        <f t="shared" si="111"/>
        <v>109.18271245436063</v>
      </c>
      <c r="K270" s="102"/>
      <c r="L270" s="102"/>
      <c r="M270" s="102"/>
      <c r="N270" s="102"/>
      <c r="O270" s="102"/>
      <c r="P270" s="50">
        <f t="shared" si="115"/>
        <v>508.57671754121043</v>
      </c>
      <c r="Q270" s="207">
        <f t="shared" si="109"/>
        <v>508.57671754121043</v>
      </c>
      <c r="R270" s="142"/>
      <c r="AE270" s="122">
        <f t="shared" si="116"/>
        <v>93.649999999999991</v>
      </c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50">
        <f t="shared" si="114"/>
        <v>469.23112614830859</v>
      </c>
      <c r="AR270" s="50">
        <f t="shared" si="102"/>
        <v>469.23112614830859</v>
      </c>
      <c r="AS270" s="119">
        <f t="shared" si="117"/>
        <v>110.19</v>
      </c>
      <c r="AU270" s="100">
        <f t="shared" si="113"/>
        <v>113.64999999999999</v>
      </c>
    </row>
    <row r="271" spans="9:47" x14ac:dyDescent="0.3">
      <c r="I271" s="134">
        <f t="shared" si="118"/>
        <v>65.41</v>
      </c>
      <c r="J271" s="96">
        <f t="shared" si="111"/>
        <v>110.94271245436063</v>
      </c>
      <c r="K271" s="102"/>
      <c r="L271" s="102"/>
      <c r="M271" s="102"/>
      <c r="N271" s="102"/>
      <c r="O271" s="102"/>
      <c r="P271" s="50">
        <f t="shared" si="115"/>
        <v>520.66239386419727</v>
      </c>
      <c r="Q271" s="207">
        <f t="shared" si="109"/>
        <v>520.66239386419727</v>
      </c>
      <c r="R271" s="142"/>
      <c r="AE271" s="122">
        <f t="shared" si="116"/>
        <v>95.41</v>
      </c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50">
        <f t="shared" si="114"/>
        <v>485.92398539420509</v>
      </c>
      <c r="AR271" s="50">
        <f t="shared" si="102"/>
        <v>485.92398539420509</v>
      </c>
      <c r="AS271" s="119">
        <f t="shared" ref="AS271:AS276" si="119">+AS270+5</f>
        <v>115.19</v>
      </c>
      <c r="AU271" s="100">
        <f t="shared" si="113"/>
        <v>118.64999999999999</v>
      </c>
    </row>
    <row r="272" spans="9:47" x14ac:dyDescent="0.3">
      <c r="I272" s="134">
        <f t="shared" si="118"/>
        <v>68.459999999999994</v>
      </c>
      <c r="J272" s="96">
        <f t="shared" si="111"/>
        <v>113.99271245436063</v>
      </c>
      <c r="K272" s="102"/>
      <c r="L272" s="102"/>
      <c r="M272" s="102"/>
      <c r="N272" s="102"/>
      <c r="O272" s="102"/>
      <c r="P272" s="50">
        <f t="shared" si="115"/>
        <v>525.20567944321601</v>
      </c>
      <c r="Q272" s="207">
        <f t="shared" si="109"/>
        <v>525.20567944321601</v>
      </c>
      <c r="R272" s="142"/>
      <c r="AE272" s="122">
        <f t="shared" si="116"/>
        <v>98.649999999999991</v>
      </c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50">
        <f t="shared" si="114"/>
        <v>482.9878172449404</v>
      </c>
      <c r="AR272" s="50">
        <f t="shared" si="102"/>
        <v>482.9878172449404</v>
      </c>
      <c r="AS272" s="119">
        <f t="shared" si="119"/>
        <v>120.19</v>
      </c>
      <c r="AT272" s="100"/>
      <c r="AU272" s="100">
        <f t="shared" si="113"/>
        <v>123.64999999999999</v>
      </c>
    </row>
    <row r="273" spans="9:47" x14ac:dyDescent="0.3">
      <c r="I273" s="134">
        <f t="shared" si="118"/>
        <v>68.649999999999991</v>
      </c>
      <c r="J273" s="96">
        <f t="shared" si="111"/>
        <v>114.18271245436063</v>
      </c>
      <c r="K273" s="102"/>
      <c r="L273" s="102"/>
      <c r="M273" s="102"/>
      <c r="N273" s="102"/>
      <c r="O273" s="102"/>
      <c r="P273" s="50">
        <f t="shared" si="115"/>
        <v>525.48322283697053</v>
      </c>
      <c r="Q273" s="207">
        <f t="shared" si="109"/>
        <v>525.48322283697053</v>
      </c>
      <c r="R273" s="142"/>
      <c r="AE273" s="122">
        <f t="shared" si="116"/>
        <v>100.41</v>
      </c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50">
        <f t="shared" si="114"/>
        <v>481.39331228044972</v>
      </c>
      <c r="AR273" s="50">
        <f t="shared" si="102"/>
        <v>481.39331228044972</v>
      </c>
      <c r="AS273" s="119">
        <f t="shared" si="119"/>
        <v>125.19</v>
      </c>
      <c r="AT273" s="100"/>
      <c r="AU273" s="100">
        <f t="shared" si="113"/>
        <v>128.65</v>
      </c>
    </row>
    <row r="274" spans="9:47" x14ac:dyDescent="0.3">
      <c r="I274" s="134">
        <f t="shared" si="118"/>
        <v>70.41</v>
      </c>
      <c r="J274" s="96">
        <f t="shared" si="111"/>
        <v>115.94271245436063</v>
      </c>
      <c r="K274" s="102"/>
      <c r="L274" s="102"/>
      <c r="M274" s="102"/>
      <c r="N274" s="102"/>
      <c r="O274" s="102"/>
      <c r="P274" s="50">
        <f t="shared" si="115"/>
        <v>526.17847788768972</v>
      </c>
      <c r="Q274" s="207">
        <f t="shared" si="109"/>
        <v>526.17847788768972</v>
      </c>
      <c r="R274" s="142"/>
      <c r="AE274" s="122">
        <f t="shared" si="116"/>
        <v>103.64999999999999</v>
      </c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50">
        <f t="shared" si="114"/>
        <v>466.12623980880232</v>
      </c>
      <c r="AR274" s="50">
        <f t="shared" si="102"/>
        <v>466.12623980880232</v>
      </c>
      <c r="AS274" s="119">
        <f t="shared" si="119"/>
        <v>130.19</v>
      </c>
      <c r="AU274" s="100">
        <f t="shared" si="113"/>
        <v>133.65</v>
      </c>
    </row>
    <row r="275" spans="9:47" x14ac:dyDescent="0.3">
      <c r="I275" s="134">
        <f t="shared" si="118"/>
        <v>73.649999999999991</v>
      </c>
      <c r="J275" s="96">
        <f t="shared" si="111"/>
        <v>119.18271245436063</v>
      </c>
      <c r="K275" s="102"/>
      <c r="L275" s="102"/>
      <c r="M275" s="102"/>
      <c r="N275" s="102"/>
      <c r="O275" s="102"/>
      <c r="P275" s="50">
        <f t="shared" si="115"/>
        <v>521.0900596046813</v>
      </c>
      <c r="Q275" s="207">
        <f t="shared" si="109"/>
        <v>521.0900596046813</v>
      </c>
      <c r="R275" s="142"/>
      <c r="AE275" s="122">
        <f t="shared" si="116"/>
        <v>105.41</v>
      </c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50">
        <f t="shared" si="114"/>
        <v>449.86367227972767</v>
      </c>
      <c r="AR275" s="50">
        <f t="shared" si="102"/>
        <v>449.86367227972767</v>
      </c>
      <c r="AS275" s="119">
        <f t="shared" si="119"/>
        <v>135.19</v>
      </c>
      <c r="AU275" s="100">
        <f t="shared" si="113"/>
        <v>138.65</v>
      </c>
    </row>
    <row r="276" spans="9:47" x14ac:dyDescent="0.3">
      <c r="I276" s="134">
        <f t="shared" si="118"/>
        <v>75.41</v>
      </c>
      <c r="J276" s="96">
        <f t="shared" si="111"/>
        <v>120.94271245436063</v>
      </c>
      <c r="K276" s="102"/>
      <c r="L276" s="102"/>
      <c r="M276" s="102"/>
      <c r="N276" s="102"/>
      <c r="O276" s="102"/>
      <c r="P276" s="50">
        <f t="shared" si="115"/>
        <v>504.27676572120504</v>
      </c>
      <c r="Q276" s="207">
        <f t="shared" si="109"/>
        <v>504.27676572120504</v>
      </c>
      <c r="R276" s="142"/>
      <c r="AE276" s="122">
        <f t="shared" si="116"/>
        <v>108.64999999999999</v>
      </c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50">
        <f t="shared" si="114"/>
        <v>422.90567720138449</v>
      </c>
      <c r="AR276" s="50">
        <f t="shared" si="102"/>
        <v>422.90567720138449</v>
      </c>
      <c r="AS276" s="119">
        <f t="shared" si="119"/>
        <v>140.19</v>
      </c>
      <c r="AT276" s="100"/>
      <c r="AU276" s="100">
        <f t="shared" si="113"/>
        <v>143.65</v>
      </c>
    </row>
    <row r="277" spans="9:47" x14ac:dyDescent="0.3">
      <c r="I277" s="134">
        <f t="shared" si="118"/>
        <v>78.649999999999991</v>
      </c>
      <c r="J277" s="96">
        <f t="shared" si="111"/>
        <v>124.18271245436063</v>
      </c>
      <c r="K277" s="102"/>
      <c r="L277" s="102"/>
      <c r="M277" s="102"/>
      <c r="N277" s="102"/>
      <c r="O277" s="102"/>
      <c r="P277" s="50">
        <f t="shared" si="115"/>
        <v>483.99669600355787</v>
      </c>
      <c r="Q277" s="207">
        <f t="shared" si="109"/>
        <v>483.99669600355787</v>
      </c>
      <c r="R277" s="142"/>
      <c r="AE277" s="122">
        <f t="shared" si="116"/>
        <v>110.41</v>
      </c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50">
        <f t="shared" si="114"/>
        <v>404.36104348786711</v>
      </c>
      <c r="AR277" s="50">
        <f t="shared" si="102"/>
        <v>404.36104348786711</v>
      </c>
      <c r="AS277" s="119">
        <f t="shared" ref="AS277" si="120">+AS276+5</f>
        <v>145.19</v>
      </c>
      <c r="AT277" s="100"/>
      <c r="AU277" s="100">
        <f t="shared" si="113"/>
        <v>148.65</v>
      </c>
    </row>
    <row r="278" spans="9:47" x14ac:dyDescent="0.3">
      <c r="I278" s="134">
        <f t="shared" si="118"/>
        <v>80.41</v>
      </c>
      <c r="J278" s="96">
        <f t="shared" si="111"/>
        <v>125.94271245436063</v>
      </c>
      <c r="K278" s="102"/>
      <c r="L278" s="102"/>
      <c r="M278" s="102"/>
      <c r="N278" s="102"/>
      <c r="O278" s="102"/>
      <c r="P278" s="50">
        <f t="shared" si="115"/>
        <v>472.98347393958875</v>
      </c>
      <c r="Q278" s="207">
        <f t="shared" si="109"/>
        <v>472.98347393958875</v>
      </c>
      <c r="R278" s="142"/>
      <c r="AE278" s="122">
        <f t="shared" si="116"/>
        <v>113.64999999999999</v>
      </c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50">
        <f t="shared" si="114"/>
        <v>359.19269739274375</v>
      </c>
      <c r="AR278" s="50">
        <f t="shared" si="102"/>
        <v>359.19269739274375</v>
      </c>
      <c r="AS278" s="20"/>
      <c r="AU278" s="100"/>
    </row>
    <row r="279" spans="9:47" x14ac:dyDescent="0.3">
      <c r="I279" s="134">
        <f t="shared" si="118"/>
        <v>83.649999999999991</v>
      </c>
      <c r="J279" s="96">
        <f t="shared" si="111"/>
        <v>129.18271245436063</v>
      </c>
      <c r="K279" s="102"/>
      <c r="L279" s="102"/>
      <c r="M279" s="102"/>
      <c r="N279" s="102"/>
      <c r="O279" s="102"/>
      <c r="P279" s="50">
        <f t="shared" si="115"/>
        <v>456.31304401136379</v>
      </c>
      <c r="Q279" s="207">
        <f t="shared" si="109"/>
        <v>456.31304401136379</v>
      </c>
      <c r="R279" s="142"/>
      <c r="AE279" s="122">
        <f t="shared" si="116"/>
        <v>118.64999999999999</v>
      </c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50">
        <f t="shared" si="114"/>
        <v>267.84760812010211</v>
      </c>
      <c r="AR279" s="50">
        <f t="shared" si="102"/>
        <v>267.84760812010211</v>
      </c>
      <c r="AS279" s="20"/>
      <c r="AU279" s="100"/>
    </row>
    <row r="280" spans="9:47" x14ac:dyDescent="0.3">
      <c r="I280" s="134">
        <f t="shared" si="118"/>
        <v>85.41</v>
      </c>
      <c r="J280" s="96">
        <f t="shared" si="111"/>
        <v>130.94271245436062</v>
      </c>
      <c r="K280" s="102"/>
      <c r="L280" s="102"/>
      <c r="M280" s="102"/>
      <c r="N280" s="102"/>
      <c r="O280" s="102"/>
      <c r="P280" s="50">
        <f t="shared" si="115"/>
        <v>443.13382835361176</v>
      </c>
      <c r="Q280" s="207">
        <f t="shared" si="109"/>
        <v>443.13382835361176</v>
      </c>
      <c r="R280" s="142"/>
      <c r="AE280" s="122">
        <f t="shared" si="116"/>
        <v>123.64999999999999</v>
      </c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50">
        <f t="shared" si="114"/>
        <v>199.98329918832465</v>
      </c>
      <c r="AR280" s="50">
        <f t="shared" si="102"/>
        <v>199.98329918832465</v>
      </c>
      <c r="AS280" s="20"/>
      <c r="AT280" s="100"/>
      <c r="AU280" s="100"/>
    </row>
    <row r="281" spans="9:47" x14ac:dyDescent="0.3">
      <c r="I281" s="134">
        <f t="shared" si="118"/>
        <v>88.649999999999991</v>
      </c>
      <c r="J281" s="96">
        <f t="shared" si="111"/>
        <v>134.18271245436063</v>
      </c>
      <c r="K281" s="102"/>
      <c r="L281" s="102"/>
      <c r="M281" s="102"/>
      <c r="N281" s="102"/>
      <c r="O281" s="102"/>
      <c r="P281" s="50">
        <f t="shared" si="115"/>
        <v>434.79727680751444</v>
      </c>
      <c r="Q281" s="207">
        <f t="shared" si="109"/>
        <v>434.79727680751444</v>
      </c>
      <c r="R281" s="142"/>
      <c r="AE281" s="122">
        <f t="shared" si="116"/>
        <v>128.65</v>
      </c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50">
        <f t="shared" si="114"/>
        <v>157.17727468818197</v>
      </c>
      <c r="AR281" s="50">
        <f t="shared" si="102"/>
        <v>157.17727468818197</v>
      </c>
      <c r="AS281" s="20"/>
      <c r="AT281" s="100"/>
      <c r="AU281" s="100"/>
    </row>
    <row r="282" spans="9:47" x14ac:dyDescent="0.3">
      <c r="I282" s="134">
        <f t="shared" si="118"/>
        <v>90.41</v>
      </c>
      <c r="J282" s="96">
        <f t="shared" si="111"/>
        <v>135.94271245436062</v>
      </c>
      <c r="K282" s="102"/>
      <c r="L282" s="102"/>
      <c r="M282" s="102"/>
      <c r="N282" s="102"/>
      <c r="O282" s="102"/>
      <c r="P282" s="50">
        <f t="shared" si="115"/>
        <v>438.49240615089792</v>
      </c>
      <c r="Q282" s="207">
        <f t="shared" si="109"/>
        <v>438.49240615089792</v>
      </c>
      <c r="R282" s="142"/>
      <c r="AE282" s="122">
        <f t="shared" si="116"/>
        <v>133.65</v>
      </c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50">
        <f t="shared" si="114"/>
        <v>123.43073505404108</v>
      </c>
      <c r="AR282" s="50">
        <f t="shared" si="102"/>
        <v>123.43073505404108</v>
      </c>
      <c r="AS282" s="20"/>
      <c r="AU282" s="100"/>
    </row>
    <row r="283" spans="9:47" x14ac:dyDescent="0.3">
      <c r="I283" s="134">
        <f t="shared" si="118"/>
        <v>93.649999999999991</v>
      </c>
      <c r="J283" s="96">
        <f t="shared" si="111"/>
        <v>139.18271245436063</v>
      </c>
      <c r="K283" s="102"/>
      <c r="L283" s="102"/>
      <c r="M283" s="102"/>
      <c r="N283" s="102"/>
      <c r="O283" s="102"/>
      <c r="P283" s="50">
        <f t="shared" si="115"/>
        <v>469.23112614830859</v>
      </c>
      <c r="Q283" s="207">
        <f t="shared" si="109"/>
        <v>469.23112614830859</v>
      </c>
      <c r="R283" s="142"/>
      <c r="AE283" s="122">
        <f t="shared" si="116"/>
        <v>138.65</v>
      </c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50">
        <f t="shared" si="114"/>
        <v>89.684195419900192</v>
      </c>
      <c r="AR283" s="50">
        <f t="shared" si="102"/>
        <v>89.684195419900192</v>
      </c>
      <c r="AS283" s="20"/>
      <c r="AU283" s="100"/>
    </row>
    <row r="284" spans="9:47" x14ac:dyDescent="0.3">
      <c r="I284" s="134">
        <f t="shared" si="118"/>
        <v>95.41</v>
      </c>
      <c r="J284" s="96">
        <f t="shared" si="111"/>
        <v>140.94271245436062</v>
      </c>
      <c r="K284" s="102"/>
      <c r="L284" s="102"/>
      <c r="M284" s="102"/>
      <c r="N284" s="102"/>
      <c r="O284" s="102"/>
      <c r="P284" s="50">
        <f t="shared" si="115"/>
        <v>485.92398539420509</v>
      </c>
      <c r="Q284" s="207">
        <f t="shared" si="109"/>
        <v>485.92398539420509</v>
      </c>
      <c r="R284" s="142"/>
      <c r="AE284" s="122">
        <f t="shared" si="116"/>
        <v>143.65</v>
      </c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50">
        <f t="shared" si="114"/>
        <v>55.937655785759311</v>
      </c>
      <c r="AR284" s="50">
        <f t="shared" si="102"/>
        <v>55.937655785759311</v>
      </c>
      <c r="AS284" s="20"/>
      <c r="AT284" s="100"/>
      <c r="AU284" s="100"/>
    </row>
    <row r="285" spans="9:47" x14ac:dyDescent="0.3">
      <c r="I285" s="134">
        <f t="shared" si="118"/>
        <v>98.649999999999991</v>
      </c>
      <c r="J285" s="96">
        <f t="shared" si="111"/>
        <v>144.18271245436063</v>
      </c>
      <c r="K285" s="102"/>
      <c r="L285" s="102"/>
      <c r="M285" s="102"/>
      <c r="N285" s="102"/>
      <c r="O285" s="102"/>
      <c r="P285" s="50">
        <f t="shared" si="115"/>
        <v>482.9878172449404</v>
      </c>
      <c r="Q285" s="207">
        <f t="shared" si="109"/>
        <v>482.9878172449404</v>
      </c>
      <c r="R285" s="142"/>
      <c r="AE285" s="122">
        <f t="shared" si="116"/>
        <v>148.65</v>
      </c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50">
        <f t="shared" si="114"/>
        <v>22.191116151618417</v>
      </c>
      <c r="AR285" s="50">
        <f t="shared" si="102"/>
        <v>22.191116151618417</v>
      </c>
      <c r="AS285" s="20"/>
      <c r="AT285" s="100"/>
      <c r="AU285" s="100"/>
    </row>
    <row r="286" spans="9:47" ht="16.2" thickBot="1" x14ac:dyDescent="0.35">
      <c r="I286" s="134">
        <f t="shared" si="118"/>
        <v>100.41</v>
      </c>
      <c r="J286" s="96">
        <f t="shared" si="111"/>
        <v>145.94271245436062</v>
      </c>
      <c r="K286" s="102"/>
      <c r="L286" s="102"/>
      <c r="M286" s="102"/>
      <c r="N286" s="102"/>
      <c r="O286" s="102"/>
      <c r="P286" s="50">
        <f t="shared" si="115"/>
        <v>481.39331228044972</v>
      </c>
      <c r="Q286" s="207">
        <f t="shared" si="109"/>
        <v>481.39331228044972</v>
      </c>
      <c r="R286" s="142"/>
      <c r="AE286" s="125"/>
      <c r="AF286" s="126"/>
      <c r="AG286" s="126"/>
      <c r="AH286" s="126"/>
      <c r="AI286" s="126"/>
      <c r="AJ286" s="126"/>
      <c r="AK286" s="126"/>
      <c r="AL286" s="126"/>
      <c r="AM286" s="126"/>
      <c r="AN286" s="126"/>
      <c r="AO286" s="126"/>
      <c r="AP286" s="126"/>
      <c r="AQ286" s="127">
        <f t="shared" si="114"/>
        <v>0</v>
      </c>
      <c r="AR286" s="127">
        <f t="shared" ref="AR286" si="121">+AP286+AQ286</f>
        <v>0</v>
      </c>
      <c r="AS286" s="20"/>
      <c r="AU286" s="100"/>
    </row>
    <row r="287" spans="9:47" ht="16.2" thickTop="1" x14ac:dyDescent="0.3">
      <c r="I287" s="134">
        <f t="shared" si="118"/>
        <v>103.64999999999999</v>
      </c>
      <c r="J287" s="96">
        <f t="shared" si="111"/>
        <v>149.18271245436063</v>
      </c>
      <c r="K287" s="102"/>
      <c r="L287" s="102"/>
      <c r="M287" s="102"/>
      <c r="N287" s="102"/>
      <c r="O287" s="102"/>
      <c r="P287" s="50">
        <f t="shared" si="115"/>
        <v>466.12623980880232</v>
      </c>
      <c r="Q287" s="207">
        <f t="shared" ref="Q287:Q298" si="122">+O287+P287</f>
        <v>466.12623980880232</v>
      </c>
      <c r="R287" s="142"/>
      <c r="AQ287" s="89"/>
      <c r="AS287" s="20"/>
      <c r="AU287" s="100"/>
    </row>
    <row r="288" spans="9:47" x14ac:dyDescent="0.3">
      <c r="I288" s="134">
        <f t="shared" si="118"/>
        <v>105.41</v>
      </c>
      <c r="J288" s="96">
        <f t="shared" si="111"/>
        <v>150.94271245436062</v>
      </c>
      <c r="K288" s="102"/>
      <c r="L288" s="102"/>
      <c r="M288" s="102"/>
      <c r="N288" s="102"/>
      <c r="O288" s="102"/>
      <c r="P288" s="50">
        <f t="shared" si="115"/>
        <v>449.86367227972767</v>
      </c>
      <c r="Q288" s="207">
        <f t="shared" si="122"/>
        <v>449.86367227972767</v>
      </c>
      <c r="R288" s="142"/>
      <c r="V288" s="89"/>
      <c r="Y288" s="100"/>
      <c r="Z288" s="100"/>
    </row>
    <row r="289" spans="9:26" x14ac:dyDescent="0.3">
      <c r="I289" s="134">
        <f t="shared" si="118"/>
        <v>108.64999999999999</v>
      </c>
      <c r="J289" s="96">
        <f t="shared" si="111"/>
        <v>154.18271245436063</v>
      </c>
      <c r="K289" s="102"/>
      <c r="L289" s="102"/>
      <c r="M289" s="102"/>
      <c r="N289" s="102"/>
      <c r="O289" s="102"/>
      <c r="P289" s="50">
        <f t="shared" si="115"/>
        <v>422.90567720138449</v>
      </c>
      <c r="Q289" s="207">
        <f t="shared" si="122"/>
        <v>422.90567720138449</v>
      </c>
      <c r="R289" s="142"/>
      <c r="V289" s="89"/>
      <c r="Y289" s="100"/>
      <c r="Z289" s="100"/>
    </row>
    <row r="290" spans="9:26" x14ac:dyDescent="0.3">
      <c r="I290" s="134">
        <f t="shared" si="118"/>
        <v>110.41</v>
      </c>
      <c r="J290" s="96">
        <f t="shared" si="111"/>
        <v>155.94271245436062</v>
      </c>
      <c r="K290" s="102"/>
      <c r="L290" s="102"/>
      <c r="M290" s="102"/>
      <c r="N290" s="102"/>
      <c r="O290" s="102"/>
      <c r="P290" s="50">
        <f t="shared" si="115"/>
        <v>404.36104348786711</v>
      </c>
      <c r="Q290" s="207">
        <f t="shared" si="122"/>
        <v>404.36104348786711</v>
      </c>
      <c r="R290" s="142"/>
      <c r="V290" s="89"/>
      <c r="Z290" s="100"/>
    </row>
    <row r="291" spans="9:26" x14ac:dyDescent="0.3">
      <c r="I291" s="134">
        <f t="shared" si="118"/>
        <v>113.64999999999999</v>
      </c>
      <c r="J291" s="96">
        <f t="shared" si="111"/>
        <v>159.18271245436063</v>
      </c>
      <c r="K291" s="102"/>
      <c r="L291" s="102"/>
      <c r="M291" s="102"/>
      <c r="N291" s="102"/>
      <c r="O291" s="102"/>
      <c r="P291" s="50">
        <f t="shared" si="115"/>
        <v>359.19269739274375</v>
      </c>
      <c r="Q291" s="207">
        <f t="shared" si="122"/>
        <v>359.19269739274375</v>
      </c>
      <c r="R291" s="142"/>
      <c r="V291" s="89"/>
      <c r="Z291" s="100"/>
    </row>
    <row r="292" spans="9:26" x14ac:dyDescent="0.3">
      <c r="I292" s="134">
        <f t="shared" si="118"/>
        <v>118.64999999999999</v>
      </c>
      <c r="J292" s="96">
        <f t="shared" si="111"/>
        <v>164.18271245436063</v>
      </c>
      <c r="K292" s="102"/>
      <c r="L292" s="102"/>
      <c r="M292" s="102"/>
      <c r="N292" s="102"/>
      <c r="O292" s="102"/>
      <c r="P292" s="50">
        <f t="shared" si="115"/>
        <v>267.84760812010211</v>
      </c>
      <c r="Q292" s="207">
        <f t="shared" si="122"/>
        <v>267.84760812010211</v>
      </c>
      <c r="R292" s="142"/>
      <c r="Y292" s="100"/>
      <c r="Z292" s="100"/>
    </row>
    <row r="293" spans="9:26" x14ac:dyDescent="0.3">
      <c r="I293" s="134">
        <f t="shared" si="118"/>
        <v>123.64999999999999</v>
      </c>
      <c r="J293" s="96">
        <f t="shared" si="111"/>
        <v>169.18271245436063</v>
      </c>
      <c r="K293" s="102"/>
      <c r="L293" s="102"/>
      <c r="M293" s="102"/>
      <c r="N293" s="102"/>
      <c r="O293" s="102"/>
      <c r="P293" s="50">
        <f t="shared" si="115"/>
        <v>199.98329918832465</v>
      </c>
      <c r="Q293" s="207">
        <f t="shared" si="122"/>
        <v>199.98329918832465</v>
      </c>
      <c r="R293" s="142"/>
      <c r="Y293" s="100"/>
      <c r="Z293" s="100"/>
    </row>
    <row r="294" spans="9:26" x14ac:dyDescent="0.3">
      <c r="I294" s="134">
        <f t="shared" si="118"/>
        <v>128.65</v>
      </c>
      <c r="J294" s="96">
        <f t="shared" si="111"/>
        <v>174.18271245436063</v>
      </c>
      <c r="K294" s="102"/>
      <c r="L294" s="102"/>
      <c r="M294" s="102"/>
      <c r="N294" s="102"/>
      <c r="O294" s="102"/>
      <c r="P294" s="50">
        <f t="shared" si="115"/>
        <v>157.17727468818197</v>
      </c>
      <c r="Q294" s="207">
        <f t="shared" si="122"/>
        <v>157.17727468818197</v>
      </c>
      <c r="R294" s="142"/>
      <c r="Z294" s="100"/>
    </row>
    <row r="295" spans="9:26" x14ac:dyDescent="0.3">
      <c r="I295" s="134">
        <f t="shared" si="118"/>
        <v>133.65</v>
      </c>
      <c r="J295" s="96">
        <f t="shared" si="111"/>
        <v>179.18271245436063</v>
      </c>
      <c r="K295" s="102"/>
      <c r="L295" s="102"/>
      <c r="M295" s="102"/>
      <c r="N295" s="102"/>
      <c r="O295" s="102"/>
      <c r="P295" s="50">
        <f t="shared" si="115"/>
        <v>123.43073505404108</v>
      </c>
      <c r="Q295" s="207">
        <f t="shared" si="122"/>
        <v>123.43073505404108</v>
      </c>
      <c r="R295" s="142"/>
      <c r="Z295" s="100"/>
    </row>
    <row r="296" spans="9:26" x14ac:dyDescent="0.3">
      <c r="I296" s="134">
        <f t="shared" si="118"/>
        <v>138.65</v>
      </c>
      <c r="J296" s="96">
        <f t="shared" si="111"/>
        <v>184.18271245436063</v>
      </c>
      <c r="K296" s="102"/>
      <c r="L296" s="102"/>
      <c r="M296" s="102"/>
      <c r="N296" s="102"/>
      <c r="O296" s="102"/>
      <c r="P296" s="50">
        <f t="shared" si="115"/>
        <v>89.684195419900192</v>
      </c>
      <c r="Q296" s="207">
        <f t="shared" si="122"/>
        <v>89.684195419900192</v>
      </c>
      <c r="R296" s="142"/>
      <c r="Y296" s="100"/>
      <c r="Z296" s="100"/>
    </row>
    <row r="297" spans="9:26" x14ac:dyDescent="0.3">
      <c r="I297" s="134">
        <f t="shared" si="118"/>
        <v>143.65</v>
      </c>
      <c r="J297" s="96">
        <f t="shared" si="111"/>
        <v>189.18271245436063</v>
      </c>
      <c r="K297" s="102"/>
      <c r="L297" s="102"/>
      <c r="M297" s="102"/>
      <c r="N297" s="102"/>
      <c r="O297" s="102"/>
      <c r="P297" s="50">
        <f t="shared" si="115"/>
        <v>55.937655785759311</v>
      </c>
      <c r="Q297" s="207">
        <f t="shared" si="122"/>
        <v>55.937655785759311</v>
      </c>
      <c r="R297" s="142"/>
      <c r="Y297" s="100"/>
      <c r="Z297" s="100"/>
    </row>
    <row r="298" spans="9:26" ht="16.2" thickBot="1" x14ac:dyDescent="0.35">
      <c r="I298" s="134">
        <f t="shared" si="118"/>
        <v>148.65</v>
      </c>
      <c r="J298" s="99">
        <f t="shared" si="111"/>
        <v>194.18271245436063</v>
      </c>
      <c r="K298" s="106"/>
      <c r="L298" s="106"/>
      <c r="M298" s="106"/>
      <c r="N298" s="106"/>
      <c r="O298" s="106"/>
      <c r="P298" s="55">
        <f t="shared" si="115"/>
        <v>22.191116151618417</v>
      </c>
      <c r="Q298" s="208">
        <f t="shared" si="122"/>
        <v>22.191116151618417</v>
      </c>
      <c r="R298" s="183"/>
      <c r="Z298" s="100"/>
    </row>
    <row r="299" spans="9:26" x14ac:dyDescent="0.3">
      <c r="P299" s="89"/>
      <c r="Z299" s="100"/>
    </row>
    <row r="300" spans="9:26" x14ac:dyDescent="0.3">
      <c r="Y300" s="100"/>
      <c r="Z300" s="100"/>
    </row>
    <row r="301" spans="9:26" x14ac:dyDescent="0.3">
      <c r="Y301" s="100"/>
      <c r="Z301" s="100"/>
    </row>
    <row r="302" spans="9:26" x14ac:dyDescent="0.3">
      <c r="Z302" s="100"/>
    </row>
    <row r="303" spans="9:26" x14ac:dyDescent="0.3">
      <c r="Z303" s="100"/>
    </row>
    <row r="304" spans="9:26" x14ac:dyDescent="0.3">
      <c r="Y304" s="100"/>
      <c r="Z304" s="100"/>
    </row>
    <row r="305" spans="25:26" x14ac:dyDescent="0.3">
      <c r="Y305" s="100"/>
      <c r="Z305" s="100"/>
    </row>
    <row r="306" spans="25:26" x14ac:dyDescent="0.3">
      <c r="Z306" s="100"/>
    </row>
  </sheetData>
  <mergeCells count="345">
    <mergeCell ref="Q295:R295"/>
    <mergeCell ref="Q296:R296"/>
    <mergeCell ref="Q297:R297"/>
    <mergeCell ref="Q298:R298"/>
    <mergeCell ref="Q286:R286"/>
    <mergeCell ref="Q287:R287"/>
    <mergeCell ref="Q288:R288"/>
    <mergeCell ref="Q289:R289"/>
    <mergeCell ref="Q290:R290"/>
    <mergeCell ref="Q291:R291"/>
    <mergeCell ref="Q292:R292"/>
    <mergeCell ref="Q293:R293"/>
    <mergeCell ref="Q294:R294"/>
    <mergeCell ref="Q277:R277"/>
    <mergeCell ref="Q278:R278"/>
    <mergeCell ref="Q279:R279"/>
    <mergeCell ref="Q280:R280"/>
    <mergeCell ref="Q281:R281"/>
    <mergeCell ref="Q282:R282"/>
    <mergeCell ref="Q283:R283"/>
    <mergeCell ref="Q284:R284"/>
    <mergeCell ref="Q285:R285"/>
    <mergeCell ref="Q268:R268"/>
    <mergeCell ref="Q269:R269"/>
    <mergeCell ref="Q270:R270"/>
    <mergeCell ref="Q271:R271"/>
    <mergeCell ref="Q272:R272"/>
    <mergeCell ref="Q273:R273"/>
    <mergeCell ref="Q274:R274"/>
    <mergeCell ref="Q275:R275"/>
    <mergeCell ref="Q276:R276"/>
    <mergeCell ref="Q259:R259"/>
    <mergeCell ref="Q260:R260"/>
    <mergeCell ref="Q261:R261"/>
    <mergeCell ref="Q262:R262"/>
    <mergeCell ref="Q263:R263"/>
    <mergeCell ref="Q264:R264"/>
    <mergeCell ref="Q265:R265"/>
    <mergeCell ref="Q266:R266"/>
    <mergeCell ref="Q267:R267"/>
    <mergeCell ref="Q250:R250"/>
    <mergeCell ref="Q251:R251"/>
    <mergeCell ref="Q252:R252"/>
    <mergeCell ref="Q253:R253"/>
    <mergeCell ref="Q254:R254"/>
    <mergeCell ref="Q255:R255"/>
    <mergeCell ref="Q256:R256"/>
    <mergeCell ref="Q257:R257"/>
    <mergeCell ref="Q258:R258"/>
    <mergeCell ref="Q241:R241"/>
    <mergeCell ref="Q242:R242"/>
    <mergeCell ref="Q243:R243"/>
    <mergeCell ref="Q244:R244"/>
    <mergeCell ref="Q245:R245"/>
    <mergeCell ref="Q246:R246"/>
    <mergeCell ref="Q247:R247"/>
    <mergeCell ref="Q248:R248"/>
    <mergeCell ref="Q249:R249"/>
    <mergeCell ref="Q232:R232"/>
    <mergeCell ref="Q233:R233"/>
    <mergeCell ref="Q234:R234"/>
    <mergeCell ref="Q235:R235"/>
    <mergeCell ref="Q236:R236"/>
    <mergeCell ref="Q237:R237"/>
    <mergeCell ref="Q238:R238"/>
    <mergeCell ref="Q239:R239"/>
    <mergeCell ref="Q240:R240"/>
    <mergeCell ref="Q223:R223"/>
    <mergeCell ref="Q224:R224"/>
    <mergeCell ref="Q225:R225"/>
    <mergeCell ref="Q226:R226"/>
    <mergeCell ref="Q227:R227"/>
    <mergeCell ref="Q228:R228"/>
    <mergeCell ref="Q229:R229"/>
    <mergeCell ref="Q230:R230"/>
    <mergeCell ref="Q231:R231"/>
    <mergeCell ref="K216:L216"/>
    <mergeCell ref="K217:L217"/>
    <mergeCell ref="J218:P218"/>
    <mergeCell ref="K219:M219"/>
    <mergeCell ref="K220:M220"/>
    <mergeCell ref="Q221:R221"/>
    <mergeCell ref="Q222:R222"/>
    <mergeCell ref="K211:L211"/>
    <mergeCell ref="K212:L212"/>
    <mergeCell ref="K213:L213"/>
    <mergeCell ref="K214:L214"/>
    <mergeCell ref="K215:L215"/>
    <mergeCell ref="AL209:AM209"/>
    <mergeCell ref="AF210:AG210"/>
    <mergeCell ref="AL210:AM210"/>
    <mergeCell ref="AF211:AG211"/>
    <mergeCell ref="AL211:AM211"/>
    <mergeCell ref="AE200:AG200"/>
    <mergeCell ref="AK200:AM200"/>
    <mergeCell ref="AE201:AG201"/>
    <mergeCell ref="AK201:AM201"/>
    <mergeCell ref="AF205:AG205"/>
    <mergeCell ref="AL205:AM205"/>
    <mergeCell ref="AF206:AG206"/>
    <mergeCell ref="AF215:AH215"/>
    <mergeCell ref="AK215:AM215"/>
    <mergeCell ref="P48:R48"/>
    <mergeCell ref="K49:M49"/>
    <mergeCell ref="P49:R49"/>
    <mergeCell ref="K48:M48"/>
    <mergeCell ref="P94:R94"/>
    <mergeCell ref="K95:M95"/>
    <mergeCell ref="P95:R95"/>
    <mergeCell ref="K94:M94"/>
    <mergeCell ref="K86:L86"/>
    <mergeCell ref="Q86:R86"/>
    <mergeCell ref="K87:L87"/>
    <mergeCell ref="Q87:R87"/>
    <mergeCell ref="Q91:R91"/>
    <mergeCell ref="K92:L92"/>
    <mergeCell ref="Q92:R92"/>
    <mergeCell ref="K139:L139"/>
    <mergeCell ref="Q139:R139"/>
    <mergeCell ref="J126:X126"/>
    <mergeCell ref="K134:L134"/>
    <mergeCell ref="Q134:R134"/>
    <mergeCell ref="K135:L135"/>
    <mergeCell ref="AF212:AG212"/>
    <mergeCell ref="J140:U140"/>
    <mergeCell ref="K141:M141"/>
    <mergeCell ref="P141:R141"/>
    <mergeCell ref="K142:M142"/>
    <mergeCell ref="P142:R142"/>
    <mergeCell ref="AE213:AP213"/>
    <mergeCell ref="J128:L128"/>
    <mergeCell ref="P128:R128"/>
    <mergeCell ref="K132:L132"/>
    <mergeCell ref="Q132:R132"/>
    <mergeCell ref="K133:L133"/>
    <mergeCell ref="Q133:R133"/>
    <mergeCell ref="AL206:AM206"/>
    <mergeCell ref="AL212:AM212"/>
    <mergeCell ref="AE199:AP199"/>
    <mergeCell ref="J204:P204"/>
    <mergeCell ref="J205:L205"/>
    <mergeCell ref="J206:L206"/>
    <mergeCell ref="K210:L210"/>
    <mergeCell ref="AF207:AG207"/>
    <mergeCell ref="AL207:AM207"/>
    <mergeCell ref="AF208:AG208"/>
    <mergeCell ref="AL208:AM208"/>
    <mergeCell ref="AF209:AG209"/>
    <mergeCell ref="K137:L137"/>
    <mergeCell ref="Q137:R137"/>
    <mergeCell ref="K138:L138"/>
    <mergeCell ref="Q138:R138"/>
    <mergeCell ref="J127:L127"/>
    <mergeCell ref="P127:R127"/>
    <mergeCell ref="Q135:R135"/>
    <mergeCell ref="J47:U47"/>
    <mergeCell ref="J93:U93"/>
    <mergeCell ref="F26:G26"/>
    <mergeCell ref="B27:C27"/>
    <mergeCell ref="B41:C41"/>
    <mergeCell ref="F41:G41"/>
    <mergeCell ref="B42:C42"/>
    <mergeCell ref="F42:G42"/>
    <mergeCell ref="AF214:AH214"/>
    <mergeCell ref="AK214:AM214"/>
    <mergeCell ref="J80:L80"/>
    <mergeCell ref="P80:R80"/>
    <mergeCell ref="J81:L81"/>
    <mergeCell ref="P81:R81"/>
    <mergeCell ref="K85:L85"/>
    <mergeCell ref="Q85:R85"/>
    <mergeCell ref="J79:W79"/>
    <mergeCell ref="K88:L88"/>
    <mergeCell ref="Q88:R88"/>
    <mergeCell ref="K89:L89"/>
    <mergeCell ref="Q89:R89"/>
    <mergeCell ref="K90:L90"/>
    <mergeCell ref="Q90:R90"/>
    <mergeCell ref="K91:L91"/>
    <mergeCell ref="K136:L136"/>
    <mergeCell ref="Q136:R136"/>
    <mergeCell ref="J16:U16"/>
    <mergeCell ref="B28:C28"/>
    <mergeCell ref="F28:G28"/>
    <mergeCell ref="B29:C29"/>
    <mergeCell ref="F29:G29"/>
    <mergeCell ref="B30:C30"/>
    <mergeCell ref="F30:G30"/>
    <mergeCell ref="AG22:AH22"/>
    <mergeCell ref="AG28:AH28"/>
    <mergeCell ref="K18:M18"/>
    <mergeCell ref="P18:R18"/>
    <mergeCell ref="A17:G17"/>
    <mergeCell ref="A18:C18"/>
    <mergeCell ref="E18:G18"/>
    <mergeCell ref="A19:C19"/>
    <mergeCell ref="E19:G19"/>
    <mergeCell ref="B23:C23"/>
    <mergeCell ref="F27:G27"/>
    <mergeCell ref="F23:G23"/>
    <mergeCell ref="B24:C24"/>
    <mergeCell ref="F24:G24"/>
    <mergeCell ref="B25:C25"/>
    <mergeCell ref="F25:G25"/>
    <mergeCell ref="B26:C26"/>
    <mergeCell ref="A3:C3"/>
    <mergeCell ref="A4:C4"/>
    <mergeCell ref="F10:G10"/>
    <mergeCell ref="F11:G11"/>
    <mergeCell ref="F12:G12"/>
    <mergeCell ref="F13:G13"/>
    <mergeCell ref="F14:G14"/>
    <mergeCell ref="F15:G15"/>
    <mergeCell ref="B13:C13"/>
    <mergeCell ref="B14:C14"/>
    <mergeCell ref="B15:C15"/>
    <mergeCell ref="F8:G8"/>
    <mergeCell ref="F9:G9"/>
    <mergeCell ref="B8:C8"/>
    <mergeCell ref="E4:G4"/>
    <mergeCell ref="AG12:AH12"/>
    <mergeCell ref="AK5:AL5"/>
    <mergeCell ref="AG6:AH6"/>
    <mergeCell ref="AI6:AJ6"/>
    <mergeCell ref="AK6:AL6"/>
    <mergeCell ref="AG7:AH7"/>
    <mergeCell ref="AI7:AJ7"/>
    <mergeCell ref="AK7:AL7"/>
    <mergeCell ref="AH4:AJ4"/>
    <mergeCell ref="AG5:AH5"/>
    <mergeCell ref="AI5:AJ5"/>
    <mergeCell ref="AG2:AJ2"/>
    <mergeCell ref="AG3:AJ3"/>
    <mergeCell ref="AG10:AH10"/>
    <mergeCell ref="AG11:AH11"/>
    <mergeCell ref="A2:G2"/>
    <mergeCell ref="K17:M17"/>
    <mergeCell ref="P17:R17"/>
    <mergeCell ref="Q14:R14"/>
    <mergeCell ref="K15:L15"/>
    <mergeCell ref="Q15:R15"/>
    <mergeCell ref="J2:U2"/>
    <mergeCell ref="AG16:AH16"/>
    <mergeCell ref="K11:L11"/>
    <mergeCell ref="Q11:R11"/>
    <mergeCell ref="K12:L12"/>
    <mergeCell ref="Q12:R12"/>
    <mergeCell ref="K13:L13"/>
    <mergeCell ref="Q13:R13"/>
    <mergeCell ref="K14:L14"/>
    <mergeCell ref="E3:G3"/>
    <mergeCell ref="B9:C9"/>
    <mergeCell ref="B10:C10"/>
    <mergeCell ref="B11:C11"/>
    <mergeCell ref="B12:C12"/>
    <mergeCell ref="B45:C45"/>
    <mergeCell ref="F45:G45"/>
    <mergeCell ref="A32:G32"/>
    <mergeCell ref="A33:C33"/>
    <mergeCell ref="E33:G33"/>
    <mergeCell ref="A34:C34"/>
    <mergeCell ref="E34:G34"/>
    <mergeCell ref="B38:C38"/>
    <mergeCell ref="F38:G38"/>
    <mergeCell ref="B39:C39"/>
    <mergeCell ref="F39:G39"/>
    <mergeCell ref="B43:C43"/>
    <mergeCell ref="F43:G43"/>
    <mergeCell ref="B44:C44"/>
    <mergeCell ref="B40:C40"/>
    <mergeCell ref="F40:G40"/>
    <mergeCell ref="F44:G44"/>
    <mergeCell ref="K46:L46"/>
    <mergeCell ref="Q46:R46"/>
    <mergeCell ref="J33:U33"/>
    <mergeCell ref="K41:L41"/>
    <mergeCell ref="Q41:R41"/>
    <mergeCell ref="K42:L42"/>
    <mergeCell ref="B71:C71"/>
    <mergeCell ref="F71:G71"/>
    <mergeCell ref="A65:C65"/>
    <mergeCell ref="E65:G65"/>
    <mergeCell ref="B69:C69"/>
    <mergeCell ref="F69:G69"/>
    <mergeCell ref="B70:C70"/>
    <mergeCell ref="F70:G70"/>
    <mergeCell ref="B61:C61"/>
    <mergeCell ref="F61:G61"/>
    <mergeCell ref="A63:G63"/>
    <mergeCell ref="A64:C64"/>
    <mergeCell ref="E64:G64"/>
    <mergeCell ref="A50:C50"/>
    <mergeCell ref="E50:G50"/>
    <mergeCell ref="B54:C54"/>
    <mergeCell ref="F54:G54"/>
    <mergeCell ref="A48:G48"/>
    <mergeCell ref="J3:L3"/>
    <mergeCell ref="P3:R3"/>
    <mergeCell ref="J4:L4"/>
    <mergeCell ref="P4:R4"/>
    <mergeCell ref="K8:L8"/>
    <mergeCell ref="Q8:R8"/>
    <mergeCell ref="K9:L9"/>
    <mergeCell ref="Q9:R9"/>
    <mergeCell ref="K10:L10"/>
    <mergeCell ref="Q10:R10"/>
    <mergeCell ref="B74:C74"/>
    <mergeCell ref="F74:G74"/>
    <mergeCell ref="B75:C75"/>
    <mergeCell ref="F75:G75"/>
    <mergeCell ref="B76:C76"/>
    <mergeCell ref="F76:G76"/>
    <mergeCell ref="B72:C72"/>
    <mergeCell ref="F72:G72"/>
    <mergeCell ref="B73:C73"/>
    <mergeCell ref="F73:G73"/>
    <mergeCell ref="B60:C60"/>
    <mergeCell ref="F60:G60"/>
    <mergeCell ref="B55:C55"/>
    <mergeCell ref="F55:G55"/>
    <mergeCell ref="B56:C56"/>
    <mergeCell ref="F56:G56"/>
    <mergeCell ref="B57:C57"/>
    <mergeCell ref="F57:G57"/>
    <mergeCell ref="A49:C49"/>
    <mergeCell ref="E49:G49"/>
    <mergeCell ref="B58:C58"/>
    <mergeCell ref="F58:G58"/>
    <mergeCell ref="B59:C59"/>
    <mergeCell ref="F59:G59"/>
    <mergeCell ref="Q42:R42"/>
    <mergeCell ref="K43:L43"/>
    <mergeCell ref="Q43:R43"/>
    <mergeCell ref="K44:L44"/>
    <mergeCell ref="Q44:R44"/>
    <mergeCell ref="K45:L45"/>
    <mergeCell ref="Q45:R45"/>
    <mergeCell ref="J34:L34"/>
    <mergeCell ref="P34:R34"/>
    <mergeCell ref="J35:L35"/>
    <mergeCell ref="P35:R35"/>
    <mergeCell ref="K39:L39"/>
    <mergeCell ref="Q39:R39"/>
    <mergeCell ref="K40:L40"/>
    <mergeCell ref="Q40:R40"/>
  </mergeCells>
  <conditionalFormatting sqref="O20:O32">
    <cfRule type="top10" dxfId="19" priority="20" rank="1"/>
  </conditionalFormatting>
  <conditionalFormatting sqref="T20:T32">
    <cfRule type="top10" dxfId="18" priority="19" rank="1"/>
  </conditionalFormatting>
  <conditionalFormatting sqref="U20:U32">
    <cfRule type="top10" dxfId="17" priority="18" rank="1"/>
  </conditionalFormatting>
  <conditionalFormatting sqref="O51:O78">
    <cfRule type="top10" dxfId="16" priority="17" rank="1"/>
  </conditionalFormatting>
  <conditionalFormatting sqref="T51:T78 T80:T84">
    <cfRule type="top10" dxfId="15" priority="16" rank="1"/>
  </conditionalFormatting>
  <conditionalFormatting sqref="U51:U78 U80:U84">
    <cfRule type="top10" dxfId="14" priority="15" rank="1"/>
  </conditionalFormatting>
  <conditionalFormatting sqref="O97:O124">
    <cfRule type="top10" dxfId="13" priority="14" rank="1"/>
  </conditionalFormatting>
  <conditionalFormatting sqref="T97:T124">
    <cfRule type="top10" dxfId="12" priority="13" rank="1"/>
  </conditionalFormatting>
  <conditionalFormatting sqref="U97:U124">
    <cfRule type="top10" dxfId="11" priority="12" rank="1"/>
  </conditionalFormatting>
  <conditionalFormatting sqref="AJ217:AJ250">
    <cfRule type="top10" dxfId="10" priority="8" rank="1"/>
  </conditionalFormatting>
  <conditionalFormatting sqref="AO217:AO250">
    <cfRule type="top10" dxfId="9" priority="7" rank="1"/>
  </conditionalFormatting>
  <conditionalFormatting sqref="AP217:AP250">
    <cfRule type="top10" dxfId="8" priority="6" rank="1"/>
  </conditionalFormatting>
  <conditionalFormatting sqref="W97:X121">
    <cfRule type="top10" dxfId="7" priority="5" rank="1"/>
  </conditionalFormatting>
  <conditionalFormatting sqref="O144:O178">
    <cfRule type="top10" dxfId="6" priority="21" rank="1"/>
  </conditionalFormatting>
  <conditionalFormatting sqref="T144:T172">
    <cfRule type="top10" dxfId="5" priority="23" rank="1"/>
  </conditionalFormatting>
  <conditionalFormatting sqref="U144:U172">
    <cfRule type="top10" dxfId="4" priority="25" rank="1"/>
  </conditionalFormatting>
  <conditionalFormatting sqref="X144:X198 AS199">
    <cfRule type="top10" dxfId="3" priority="4" rank="1"/>
  </conditionalFormatting>
  <conditionalFormatting sqref="AR217:AR286">
    <cfRule type="top10" dxfId="2" priority="3" percent="1" rank="1"/>
  </conditionalFormatting>
  <conditionalFormatting sqref="O222:O239">
    <cfRule type="top10" dxfId="1" priority="2" rank="1"/>
  </conditionalFormatting>
  <conditionalFormatting sqref="Q222:R298">
    <cfRule type="top10" dxfId="0" priority="1" percent="1" rank="1"/>
  </conditionalFormatting>
  <dataValidations disablePrompts="1" count="1">
    <dataValidation type="list" allowBlank="1" showInputMessage="1" showErrorMessage="1" sqref="AI10">
      <formula1>$AH$23:$AO$23</formula1>
    </dataValidation>
  </dataValidations>
  <pageMargins left="0.7" right="0.7" top="0.75" bottom="0.75" header="0.3" footer="0.3"/>
  <pageSetup scale="10" orientation="landscape" r:id="rId1"/>
  <headerFooter>
    <oddHeader>&amp;LCentro Universitario de Occidente&amp;CHidrología&amp;RCálculo de caudales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view="pageLayout" zoomScaleNormal="100" workbookViewId="0">
      <selection activeCell="A15" sqref="A15"/>
    </sheetView>
  </sheetViews>
  <sheetFormatPr baseColWidth="10" defaultRowHeight="15.6" x14ac:dyDescent="0.3"/>
  <cols>
    <col min="1" max="3" width="11.5546875" style="20"/>
    <col min="4" max="4" width="12.5546875" style="20" bestFit="1" customWidth="1"/>
    <col min="5" max="5" width="11.5546875" style="20"/>
    <col min="6" max="6" width="12.5546875" style="20" bestFit="1" customWidth="1"/>
    <col min="7" max="16384" width="11.5546875" style="20"/>
  </cols>
  <sheetData>
    <row r="1" spans="1:7" ht="18.600000000000001" thickBot="1" x14ac:dyDescent="0.35">
      <c r="A1" s="184" t="s">
        <v>146</v>
      </c>
      <c r="B1" s="185"/>
      <c r="C1" s="185"/>
      <c r="D1" s="185"/>
      <c r="E1" s="185"/>
      <c r="F1" s="185"/>
      <c r="G1" s="186"/>
    </row>
    <row r="2" spans="1:7" ht="16.2" thickBot="1" x14ac:dyDescent="0.35"/>
    <row r="3" spans="1:7" ht="16.2" thickBot="1" x14ac:dyDescent="0.35">
      <c r="A3" s="195" t="s">
        <v>156</v>
      </c>
      <c r="B3" s="196"/>
      <c r="C3" s="196"/>
      <c r="D3" s="196"/>
      <c r="E3" s="196"/>
      <c r="F3" s="196"/>
      <c r="G3" s="197"/>
    </row>
    <row r="4" spans="1:7" x14ac:dyDescent="0.3">
      <c r="A4" s="20" t="s">
        <v>150</v>
      </c>
      <c r="B4" s="20">
        <v>0.3</v>
      </c>
      <c r="E4" s="20" t="s">
        <v>149</v>
      </c>
      <c r="F4" s="92">
        <f>+(1/B4)*((B5/B6)^(2/3))*(B7^(1/2))</f>
        <v>1.6411132326381215</v>
      </c>
    </row>
    <row r="5" spans="1:7" x14ac:dyDescent="0.3">
      <c r="A5" s="20" t="s">
        <v>147</v>
      </c>
      <c r="B5" s="20">
        <v>249</v>
      </c>
    </row>
    <row r="6" spans="1:7" x14ac:dyDescent="0.3">
      <c r="A6" s="20" t="s">
        <v>148</v>
      </c>
      <c r="B6" s="20">
        <f>39.4+(8/3)*(8.2^2)/39.4</f>
        <v>43.950930626057527</v>
      </c>
      <c r="E6" s="20" t="s">
        <v>152</v>
      </c>
      <c r="F6" s="89">
        <f>+B5*F4</f>
        <v>408.63719492689222</v>
      </c>
    </row>
    <row r="7" spans="1:7" ht="16.2" thickBot="1" x14ac:dyDescent="0.35">
      <c r="A7" s="20" t="s">
        <v>151</v>
      </c>
      <c r="B7" s="95">
        <f>+'Carac. Geomorf.'!E7</f>
        <v>2.4E-2</v>
      </c>
    </row>
    <row r="8" spans="1:7" x14ac:dyDescent="0.3">
      <c r="D8" s="112" t="s">
        <v>153</v>
      </c>
      <c r="E8" s="113" t="s">
        <v>154</v>
      </c>
      <c r="F8" s="114" t="s">
        <v>155</v>
      </c>
    </row>
    <row r="9" spans="1:7" ht="16.2" thickBot="1" x14ac:dyDescent="0.35">
      <c r="D9" s="135">
        <f>+F6</f>
        <v>408.63719492689222</v>
      </c>
      <c r="E9" s="106" t="s">
        <v>154</v>
      </c>
      <c r="F9" s="136">
        <f>+Caudales!Q274</f>
        <v>526.17847788768972</v>
      </c>
    </row>
    <row r="11" spans="1:7" ht="16.2" thickBot="1" x14ac:dyDescent="0.35"/>
    <row r="12" spans="1:7" x14ac:dyDescent="0.3">
      <c r="A12" s="159" t="s">
        <v>186</v>
      </c>
      <c r="B12" s="173"/>
      <c r="C12" s="173"/>
      <c r="D12" s="173"/>
      <c r="E12" s="173"/>
      <c r="F12" s="173"/>
      <c r="G12" s="160"/>
    </row>
    <row r="13" spans="1:7" x14ac:dyDescent="0.3">
      <c r="A13" s="209"/>
      <c r="B13" s="178"/>
      <c r="C13" s="178"/>
      <c r="D13" s="178"/>
      <c r="E13" s="178"/>
      <c r="F13" s="178"/>
      <c r="G13" s="168"/>
    </row>
    <row r="14" spans="1:7" ht="16.2" thickBot="1" x14ac:dyDescent="0.35">
      <c r="A14" s="164"/>
      <c r="B14" s="165"/>
      <c r="C14" s="165"/>
      <c r="D14" s="165"/>
      <c r="E14" s="165"/>
      <c r="F14" s="165"/>
      <c r="G14" s="166"/>
    </row>
  </sheetData>
  <mergeCells count="3">
    <mergeCell ref="A1:G1"/>
    <mergeCell ref="A3:G3"/>
    <mergeCell ref="A12:G14"/>
  </mergeCells>
  <pageMargins left="0.7" right="0.7" top="0.75" bottom="0.75" header="0.3" footer="0.3"/>
  <pageSetup orientation="portrait" r:id="rId1"/>
  <headerFooter>
    <oddHeader>&amp;LCentro Universitario de Occidente&amp;CHidrología&amp;RCapacidad de los ríos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Uso de Suelo</vt:lpstr>
      <vt:lpstr>Carac. Geomorf.</vt:lpstr>
      <vt:lpstr>T.C.</vt:lpstr>
      <vt:lpstr>T.TRASNP.</vt:lpstr>
      <vt:lpstr>Caudales</vt:lpstr>
      <vt:lpstr>Capacidad de los ríos</vt:lpstr>
      <vt:lpstr>Caudales!Área_de_impresión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lastPrinted>2024-04-30T01:47:49Z</cp:lastPrinted>
  <dcterms:created xsi:type="dcterms:W3CDTF">2024-04-23T16:40:21Z</dcterms:created>
  <dcterms:modified xsi:type="dcterms:W3CDTF">2024-04-30T01:49:36Z</dcterms:modified>
</cp:coreProperties>
</file>