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Primer-Semestre-24\Hidrologia\"/>
    </mc:Choice>
  </mc:AlternateContent>
  <xr:revisionPtr revIDLastSave="0" documentId="13_ncr:1_{2891F1C8-2658-435E-97A6-A7AEDD42FC92}" xr6:coauthVersionLast="47" xr6:coauthVersionMax="47" xr10:uidLastSave="{00000000-0000-0000-0000-000000000000}"/>
  <bookViews>
    <workbookView xWindow="-108" yWindow="-108" windowWidth="23256" windowHeight="12576" activeTab="2" xr2:uid="{C5E04946-4308-48CD-9A46-277FA9CC3DE1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3" l="1"/>
  <c r="B52" i="3"/>
  <c r="AC7" i="3" s="1"/>
  <c r="B50" i="3"/>
  <c r="B49" i="3"/>
  <c r="B48" i="3"/>
  <c r="AC18" i="3" l="1"/>
  <c r="AC6" i="3"/>
  <c r="AC17" i="3"/>
  <c r="AC5" i="3"/>
  <c r="AC16" i="3"/>
  <c r="AC27" i="3"/>
  <c r="AC15" i="3"/>
  <c r="AC26" i="3"/>
  <c r="AC14" i="3"/>
  <c r="AC25" i="3"/>
  <c r="AC13" i="3"/>
  <c r="AC24" i="3"/>
  <c r="AC12" i="3"/>
  <c r="AC23" i="3"/>
  <c r="AC11" i="3"/>
  <c r="AC22" i="3"/>
  <c r="AC10" i="3"/>
  <c r="AC4" i="3"/>
  <c r="AC21" i="3"/>
  <c r="AC9" i="3"/>
  <c r="AC8" i="3"/>
  <c r="AC20" i="3"/>
  <c r="AC19" i="3"/>
  <c r="C46" i="1" l="1"/>
  <c r="C24" i="3" s="1"/>
  <c r="C47" i="1"/>
  <c r="C48" i="1"/>
  <c r="C26" i="3" s="1"/>
  <c r="G46" i="1"/>
  <c r="G52" i="1" s="1"/>
  <c r="G47" i="1"/>
  <c r="G48" i="1"/>
  <c r="G26" i="3" s="1"/>
  <c r="F28" i="3"/>
  <c r="F27" i="3"/>
  <c r="F26" i="3"/>
  <c r="F25" i="3"/>
  <c r="F24" i="3"/>
  <c r="B28" i="3"/>
  <c r="S6" i="3" s="1"/>
  <c r="B27" i="3"/>
  <c r="B26" i="3"/>
  <c r="B25" i="3"/>
  <c r="B24" i="3"/>
  <c r="F51" i="3"/>
  <c r="C50" i="3"/>
  <c r="F32" i="3"/>
  <c r="F31" i="3"/>
  <c r="F30" i="3"/>
  <c r="F122" i="1"/>
  <c r="B122" i="1"/>
  <c r="F121" i="1"/>
  <c r="B121" i="1"/>
  <c r="C123" i="1" s="1"/>
  <c r="F120" i="1"/>
  <c r="B120" i="1"/>
  <c r="F112" i="1"/>
  <c r="B112" i="1"/>
  <c r="F111" i="1"/>
  <c r="B111" i="1"/>
  <c r="F110" i="1"/>
  <c r="B110" i="1"/>
  <c r="F101" i="1"/>
  <c r="B101" i="1"/>
  <c r="F100" i="1"/>
  <c r="B100" i="1"/>
  <c r="F99" i="1"/>
  <c r="B99" i="1"/>
  <c r="G90" i="1"/>
  <c r="G95" i="1" s="1"/>
  <c r="C90" i="1"/>
  <c r="B95" i="1" s="1"/>
  <c r="G89" i="1"/>
  <c r="C89" i="1"/>
  <c r="C49" i="3" s="1"/>
  <c r="G88" i="1"/>
  <c r="G94" i="1" s="1"/>
  <c r="C88" i="1"/>
  <c r="F80" i="1"/>
  <c r="B80" i="1"/>
  <c r="F79" i="1"/>
  <c r="G81" i="1" s="1"/>
  <c r="B79" i="1"/>
  <c r="C81" i="1" s="1"/>
  <c r="F78" i="1"/>
  <c r="B78" i="1"/>
  <c r="F70" i="1"/>
  <c r="B70" i="1"/>
  <c r="F69" i="1"/>
  <c r="B69" i="1"/>
  <c r="F68" i="1"/>
  <c r="B68" i="1"/>
  <c r="F59" i="1"/>
  <c r="B59" i="1"/>
  <c r="F58" i="1"/>
  <c r="B58" i="1"/>
  <c r="F57" i="1"/>
  <c r="B57" i="1"/>
  <c r="B94" i="1" l="1"/>
  <c r="C48" i="3"/>
  <c r="B52" i="1"/>
  <c r="X8" i="3"/>
  <c r="X20" i="3"/>
  <c r="X9" i="3"/>
  <c r="X21" i="3"/>
  <c r="X4" i="3"/>
  <c r="X22" i="3"/>
  <c r="X23" i="3"/>
  <c r="X10" i="3"/>
  <c r="X11" i="3"/>
  <c r="X12" i="3"/>
  <c r="X24" i="3"/>
  <c r="X19" i="3"/>
  <c r="X13" i="3"/>
  <c r="X25" i="3"/>
  <c r="X14" i="3"/>
  <c r="X26" i="3"/>
  <c r="X15" i="3"/>
  <c r="X27" i="3"/>
  <c r="X16" i="3"/>
  <c r="X5" i="3"/>
  <c r="X17" i="3"/>
  <c r="X7" i="3"/>
  <c r="X6" i="3"/>
  <c r="X18" i="3"/>
  <c r="G24" i="3"/>
  <c r="B53" i="1"/>
  <c r="G96" i="1"/>
  <c r="F124" i="1"/>
  <c r="F125" i="1" s="1"/>
  <c r="F102" i="1"/>
  <c r="F104" i="1" s="1"/>
  <c r="F105" i="1" s="1"/>
  <c r="F106" i="1" s="1"/>
  <c r="F113" i="1"/>
  <c r="F115" i="1" s="1"/>
  <c r="F116" i="1" s="1"/>
  <c r="F117" i="1" s="1"/>
  <c r="E123" i="1"/>
  <c r="G123" i="1"/>
  <c r="B96" i="1"/>
  <c r="B10" i="2" s="1"/>
  <c r="B113" i="1"/>
  <c r="A118" i="1" s="1"/>
  <c r="B102" i="1"/>
  <c r="B104" i="1" s="1"/>
  <c r="B105" i="1" s="1"/>
  <c r="B106" i="1" s="1"/>
  <c r="C10" i="2" s="1"/>
  <c r="D18" i="2" s="1"/>
  <c r="B53" i="3" s="1"/>
  <c r="B124" i="1"/>
  <c r="A123" i="1"/>
  <c r="B82" i="1"/>
  <c r="B71" i="1"/>
  <c r="A76" i="1" s="1"/>
  <c r="F60" i="1"/>
  <c r="F62" i="1" s="1"/>
  <c r="F63" i="1" s="1"/>
  <c r="F64" i="1" s="1"/>
  <c r="C9" i="2" s="1"/>
  <c r="D17" i="2" s="1"/>
  <c r="F29" i="3" s="1"/>
  <c r="F71" i="1"/>
  <c r="E76" i="1" s="1"/>
  <c r="G53" i="1"/>
  <c r="G54" i="1" s="1"/>
  <c r="B9" i="2" s="1"/>
  <c r="G25" i="3"/>
  <c r="F82" i="1"/>
  <c r="F83" i="1" s="1"/>
  <c r="E9" i="2" s="1"/>
  <c r="S4" i="3"/>
  <c r="S27" i="3"/>
  <c r="S25" i="3"/>
  <c r="S13" i="3"/>
  <c r="S24" i="3"/>
  <c r="S12" i="3"/>
  <c r="S23" i="3"/>
  <c r="S11" i="3"/>
  <c r="S9" i="3"/>
  <c r="S20" i="3"/>
  <c r="S8" i="3"/>
  <c r="S17" i="3"/>
  <c r="S26" i="3"/>
  <c r="S22" i="3"/>
  <c r="S21" i="3"/>
  <c r="S19" i="3"/>
  <c r="S7" i="3"/>
  <c r="S5" i="3"/>
  <c r="S16" i="3"/>
  <c r="S15" i="3"/>
  <c r="S14" i="3"/>
  <c r="S10" i="3"/>
  <c r="S18" i="3"/>
  <c r="B60" i="1"/>
  <c r="B62" i="1" s="1"/>
  <c r="B63" i="1" s="1"/>
  <c r="B64" i="1" s="1"/>
  <c r="C8" i="2" s="1"/>
  <c r="D16" i="2" s="1"/>
  <c r="B29" i="3" s="1"/>
  <c r="U5" i="3" s="1"/>
  <c r="C25" i="3"/>
  <c r="A81" i="1"/>
  <c r="U23" i="3"/>
  <c r="U18" i="3"/>
  <c r="U17" i="3"/>
  <c r="F57" i="3"/>
  <c r="E81" i="1"/>
  <c r="B33" i="3" l="1"/>
  <c r="B34" i="3" s="1"/>
  <c r="U6" i="3"/>
  <c r="U24" i="3"/>
  <c r="A37" i="3"/>
  <c r="U26" i="3"/>
  <c r="U21" i="3"/>
  <c r="U8" i="3"/>
  <c r="V8" i="3" s="1"/>
  <c r="U12" i="3"/>
  <c r="U9" i="3"/>
  <c r="U13" i="3"/>
  <c r="U15" i="3"/>
  <c r="V15" i="3" s="1"/>
  <c r="Z16" i="3"/>
  <c r="AA16" i="3" s="1"/>
  <c r="Z24" i="3"/>
  <c r="Z21" i="3"/>
  <c r="Z12" i="3"/>
  <c r="AA12" i="3" s="1"/>
  <c r="Z9" i="3"/>
  <c r="AA9" i="3" s="1"/>
  <c r="Z18" i="3"/>
  <c r="AA18" i="3" s="1"/>
  <c r="Z27" i="3"/>
  <c r="AA27" i="3" s="1"/>
  <c r="Z6" i="3"/>
  <c r="Z15" i="3"/>
  <c r="Z20" i="3"/>
  <c r="E37" i="3"/>
  <c r="U16" i="3"/>
  <c r="Z5" i="3"/>
  <c r="AA5" i="3" s="1"/>
  <c r="Z23" i="3"/>
  <c r="Z8" i="3"/>
  <c r="U25" i="3"/>
  <c r="V25" i="3" s="1"/>
  <c r="U14" i="3"/>
  <c r="V14" i="3" s="1"/>
  <c r="U10" i="3"/>
  <c r="V10" i="3" s="1"/>
  <c r="Z26" i="3"/>
  <c r="Z11" i="3"/>
  <c r="AA11" i="3" s="1"/>
  <c r="U7" i="3"/>
  <c r="U22" i="3"/>
  <c r="V22" i="3" s="1"/>
  <c r="A84" i="1"/>
  <c r="B54" i="1"/>
  <c r="B8" i="2" s="1"/>
  <c r="Z19" i="3"/>
  <c r="U19" i="3"/>
  <c r="U11" i="3"/>
  <c r="U27" i="3"/>
  <c r="V27" i="3" s="1"/>
  <c r="Z25" i="3"/>
  <c r="AA25" i="3" s="1"/>
  <c r="Z17" i="3"/>
  <c r="AA17" i="3" s="1"/>
  <c r="Z14" i="3"/>
  <c r="AA14" i="3" s="1"/>
  <c r="Z22" i="3"/>
  <c r="AA22" i="3" s="1"/>
  <c r="AE5" i="3"/>
  <c r="AF5" i="3" s="1"/>
  <c r="AE16" i="3"/>
  <c r="AF16" i="3" s="1"/>
  <c r="AE14" i="3"/>
  <c r="AF14" i="3" s="1"/>
  <c r="AE12" i="3"/>
  <c r="AF12" i="3" s="1"/>
  <c r="AE10" i="3"/>
  <c r="AF10" i="3" s="1"/>
  <c r="AE17" i="3"/>
  <c r="AF17" i="3" s="1"/>
  <c r="AE20" i="3"/>
  <c r="AF20" i="3" s="1"/>
  <c r="AE8" i="3"/>
  <c r="AF8" i="3" s="1"/>
  <c r="AE18" i="3"/>
  <c r="AF18" i="3" s="1"/>
  <c r="AE27" i="3"/>
  <c r="AF27" i="3" s="1"/>
  <c r="AE25" i="3"/>
  <c r="AF25" i="3" s="1"/>
  <c r="AE23" i="3"/>
  <c r="AF23" i="3" s="1"/>
  <c r="AE4" i="3"/>
  <c r="AF4" i="3" s="1"/>
  <c r="AE6" i="3"/>
  <c r="AF6" i="3" s="1"/>
  <c r="AE15" i="3"/>
  <c r="AF15" i="3" s="1"/>
  <c r="AE13" i="3"/>
  <c r="AF13" i="3" s="1"/>
  <c r="AE11" i="3"/>
  <c r="AF11" i="3" s="1"/>
  <c r="AE19" i="3"/>
  <c r="AF19" i="3" s="1"/>
  <c r="AE21" i="3"/>
  <c r="AF21" i="3" s="1"/>
  <c r="AE9" i="3"/>
  <c r="AF9" i="3" s="1"/>
  <c r="AE22" i="3"/>
  <c r="AF22" i="3" s="1"/>
  <c r="AE26" i="3"/>
  <c r="AF26" i="3" s="1"/>
  <c r="AE24" i="3"/>
  <c r="AF24" i="3" s="1"/>
  <c r="AE7" i="3"/>
  <c r="AF7" i="3" s="1"/>
  <c r="A61" i="3"/>
  <c r="U4" i="3"/>
  <c r="V4" i="3" s="1"/>
  <c r="Z10" i="3"/>
  <c r="AA10" i="3" s="1"/>
  <c r="F33" i="3"/>
  <c r="F34" i="3" s="1"/>
  <c r="Y26" i="3" s="1"/>
  <c r="Z13" i="3"/>
  <c r="AA13" i="3" s="1"/>
  <c r="Z4" i="3"/>
  <c r="AA4" i="3" s="1"/>
  <c r="Z7" i="3"/>
  <c r="AA7" i="3" s="1"/>
  <c r="B57" i="3"/>
  <c r="B58" i="3" s="1"/>
  <c r="AD27" i="3" s="1"/>
  <c r="U20" i="3"/>
  <c r="V20" i="3" s="1"/>
  <c r="AA24" i="3"/>
  <c r="AA21" i="3"/>
  <c r="AA6" i="3"/>
  <c r="Y16" i="3"/>
  <c r="AB16" i="3" s="1"/>
  <c r="Y17" i="3"/>
  <c r="AD12" i="3"/>
  <c r="AG12" i="3" s="1"/>
  <c r="AD25" i="3"/>
  <c r="AG25" i="3" s="1"/>
  <c r="AD26" i="3"/>
  <c r="AG26" i="3" s="1"/>
  <c r="AD22" i="3"/>
  <c r="AA15" i="3"/>
  <c r="AA20" i="3"/>
  <c r="AA23" i="3"/>
  <c r="AA8" i="3"/>
  <c r="AA26" i="3"/>
  <c r="AA19" i="3"/>
  <c r="A107" i="1"/>
  <c r="V23" i="3"/>
  <c r="E107" i="1"/>
  <c r="E118" i="1"/>
  <c r="E126" i="1"/>
  <c r="B115" i="1"/>
  <c r="B116" i="1" s="1"/>
  <c r="B117" i="1" s="1"/>
  <c r="D10" i="2" s="1"/>
  <c r="B125" i="1"/>
  <c r="E10" i="2" s="1"/>
  <c r="A126" i="1"/>
  <c r="B83" i="1"/>
  <c r="E8" i="2" s="1"/>
  <c r="B73" i="1"/>
  <c r="B74" i="1" s="1"/>
  <c r="B75" i="1" s="1"/>
  <c r="D8" i="2" s="1"/>
  <c r="A65" i="1"/>
  <c r="V24" i="3"/>
  <c r="V13" i="3"/>
  <c r="V5" i="3"/>
  <c r="V26" i="3"/>
  <c r="V9" i="3"/>
  <c r="V6" i="3"/>
  <c r="V17" i="3"/>
  <c r="V21" i="3"/>
  <c r="V18" i="3"/>
  <c r="V16" i="3"/>
  <c r="V7" i="3"/>
  <c r="V19" i="3"/>
  <c r="V11" i="3"/>
  <c r="E65" i="1"/>
  <c r="F73" i="1"/>
  <c r="F74" i="1" s="1"/>
  <c r="F75" i="1" s="1"/>
  <c r="D9" i="2" s="1"/>
  <c r="E84" i="1"/>
  <c r="V12" i="3"/>
  <c r="T6" i="3"/>
  <c r="T18" i="3"/>
  <c r="T7" i="3"/>
  <c r="T19" i="3"/>
  <c r="T8" i="3"/>
  <c r="T20" i="3"/>
  <c r="T9" i="3"/>
  <c r="T21" i="3"/>
  <c r="T10" i="3"/>
  <c r="T22" i="3"/>
  <c r="T11" i="3"/>
  <c r="T23" i="3"/>
  <c r="T12" i="3"/>
  <c r="T24" i="3"/>
  <c r="T17" i="3"/>
  <c r="T13" i="3"/>
  <c r="T25" i="3"/>
  <c r="T15" i="3"/>
  <c r="T16" i="3"/>
  <c r="T4" i="3"/>
  <c r="T14" i="3"/>
  <c r="T26" i="3"/>
  <c r="T27" i="3"/>
  <c r="T5" i="3"/>
  <c r="F12" i="3"/>
  <c r="F11" i="3"/>
  <c r="F10" i="3"/>
  <c r="F8" i="3"/>
  <c r="F7" i="3"/>
  <c r="F6" i="3"/>
  <c r="F5" i="3"/>
  <c r="F4" i="3"/>
  <c r="B8" i="3"/>
  <c r="B7" i="3"/>
  <c r="B6" i="3"/>
  <c r="B5" i="3"/>
  <c r="B4" i="3"/>
  <c r="G6" i="1"/>
  <c r="G6" i="3" s="1"/>
  <c r="G5" i="1"/>
  <c r="G5" i="3" s="1"/>
  <c r="G4" i="1"/>
  <c r="G10" i="1" s="1"/>
  <c r="C6" i="1"/>
  <c r="B11" i="1" s="1"/>
  <c r="C5" i="1"/>
  <c r="C5" i="3" s="1"/>
  <c r="C4" i="1"/>
  <c r="B10" i="1" s="1"/>
  <c r="F38" i="1"/>
  <c r="B38" i="1"/>
  <c r="F15" i="1"/>
  <c r="B26" i="1"/>
  <c r="F27" i="1"/>
  <c r="B36" i="1"/>
  <c r="F17" i="1"/>
  <c r="B37" i="1"/>
  <c r="Y5" i="3" l="1"/>
  <c r="AD4" i="3"/>
  <c r="AG4" i="3" s="1"/>
  <c r="Y13" i="3"/>
  <c r="AD21" i="3"/>
  <c r="AG21" i="3" s="1"/>
  <c r="G11" i="1"/>
  <c r="AD20" i="3"/>
  <c r="AG20" i="3" s="1"/>
  <c r="AD15" i="3"/>
  <c r="AG15" i="3" s="1"/>
  <c r="AG27" i="3"/>
  <c r="Y11" i="3"/>
  <c r="AB11" i="3" s="1"/>
  <c r="Y20" i="3"/>
  <c r="AD9" i="3"/>
  <c r="AG9" i="3" s="1"/>
  <c r="Y23" i="3"/>
  <c r="AB23" i="3" s="1"/>
  <c r="Y12" i="3"/>
  <c r="AB12" i="3" s="1"/>
  <c r="AB17" i="3"/>
  <c r="Y15" i="3"/>
  <c r="AB15" i="3" s="1"/>
  <c r="AD18" i="3"/>
  <c r="AG18" i="3" s="1"/>
  <c r="Y22" i="3"/>
  <c r="Y27" i="3"/>
  <c r="AD8" i="3"/>
  <c r="AG8" i="3" s="1"/>
  <c r="Y24" i="3"/>
  <c r="AB24" i="3" s="1"/>
  <c r="AD6" i="3"/>
  <c r="AG6" i="3" s="1"/>
  <c r="Y4" i="3"/>
  <c r="AB4" i="3" s="1"/>
  <c r="Y14" i="3"/>
  <c r="AB14" i="3" s="1"/>
  <c r="AD5" i="3"/>
  <c r="AG5" i="3" s="1"/>
  <c r="Y9" i="3"/>
  <c r="AB9" i="3" s="1"/>
  <c r="Y25" i="3"/>
  <c r="AB25" i="3" s="1"/>
  <c r="AB13" i="3"/>
  <c r="Y8" i="3"/>
  <c r="AB8" i="3" s="1"/>
  <c r="AG22" i="3"/>
  <c r="AD14" i="3"/>
  <c r="AG14" i="3" s="1"/>
  <c r="Y7" i="3"/>
  <c r="AB7" i="3" s="1"/>
  <c r="AD10" i="3"/>
  <c r="AG10" i="3" s="1"/>
  <c r="AD23" i="3"/>
  <c r="AG23" i="3" s="1"/>
  <c r="Y6" i="3"/>
  <c r="AB6" i="3" s="1"/>
  <c r="AD17" i="3"/>
  <c r="AG17" i="3" s="1"/>
  <c r="AD13" i="3"/>
  <c r="AG13" i="3" s="1"/>
  <c r="Y10" i="3"/>
  <c r="AB10" i="3" s="1"/>
  <c r="Y19" i="3"/>
  <c r="AB19" i="3" s="1"/>
  <c r="AB22" i="3"/>
  <c r="AB26" i="3"/>
  <c r="AD19" i="3"/>
  <c r="AG19" i="3" s="1"/>
  <c r="AD11" i="3"/>
  <c r="AG11" i="3" s="1"/>
  <c r="AD7" i="3"/>
  <c r="AG7" i="3" s="1"/>
  <c r="AD16" i="3"/>
  <c r="AG16" i="3" s="1"/>
  <c r="AD24" i="3"/>
  <c r="AG24" i="3" s="1"/>
  <c r="Y18" i="3"/>
  <c r="AB18" i="3" s="1"/>
  <c r="AB5" i="3"/>
  <c r="Y21" i="3"/>
  <c r="AB21" i="3"/>
  <c r="AB20" i="3"/>
  <c r="W14" i="3"/>
  <c r="W23" i="3"/>
  <c r="AB27" i="3"/>
  <c r="W24" i="3"/>
  <c r="G4" i="3"/>
  <c r="I14" i="3"/>
  <c r="C6" i="3"/>
  <c r="C4" i="3"/>
  <c r="W4" i="3"/>
  <c r="W17" i="3"/>
  <c r="W7" i="3"/>
  <c r="W27" i="3"/>
  <c r="W26" i="3"/>
  <c r="W22" i="3"/>
  <c r="W25" i="3"/>
  <c r="W8" i="3"/>
  <c r="W13" i="3"/>
  <c r="W5" i="3"/>
  <c r="W19" i="3"/>
  <c r="W18" i="3"/>
  <c r="W12" i="3"/>
  <c r="W6" i="3"/>
  <c r="W11" i="3"/>
  <c r="W10" i="3"/>
  <c r="W21" i="3"/>
  <c r="W16" i="3"/>
  <c r="W9" i="3"/>
  <c r="W15" i="3"/>
  <c r="W20" i="3"/>
  <c r="I13" i="3"/>
  <c r="I11" i="3"/>
  <c r="I7" i="3"/>
  <c r="I4" i="3"/>
  <c r="I6" i="3"/>
  <c r="I12" i="3"/>
  <c r="I25" i="3"/>
  <c r="I5" i="3"/>
  <c r="I24" i="3"/>
  <c r="I23" i="3"/>
  <c r="I19" i="3"/>
  <c r="I18" i="3"/>
  <c r="N4" i="3"/>
  <c r="N10" i="3"/>
  <c r="N22" i="3"/>
  <c r="N14" i="3"/>
  <c r="N11" i="3"/>
  <c r="N23" i="3"/>
  <c r="N25" i="3"/>
  <c r="N12" i="3"/>
  <c r="N24" i="3"/>
  <c r="N13" i="3"/>
  <c r="N15" i="3"/>
  <c r="N27" i="3"/>
  <c r="N8" i="3"/>
  <c r="N16" i="3"/>
  <c r="N17" i="3"/>
  <c r="N18" i="3"/>
  <c r="N5" i="3"/>
  <c r="N20" i="3"/>
  <c r="N6" i="3"/>
  <c r="N7" i="3"/>
  <c r="N19" i="3"/>
  <c r="N9" i="3"/>
  <c r="N21" i="3"/>
  <c r="N26" i="3"/>
  <c r="I17" i="3"/>
  <c r="I16" i="3"/>
  <c r="I22" i="3"/>
  <c r="I10" i="3"/>
  <c r="I21" i="3"/>
  <c r="I9" i="3"/>
  <c r="I20" i="3"/>
  <c r="I8" i="3"/>
  <c r="I27" i="3"/>
  <c r="I15" i="3"/>
  <c r="I26" i="3"/>
  <c r="B16" i="1"/>
  <c r="F36" i="1"/>
  <c r="G12" i="1"/>
  <c r="B7" i="2" s="1"/>
  <c r="F16" i="1"/>
  <c r="F18" i="1" s="1"/>
  <c r="F26" i="1"/>
  <c r="F28" i="1"/>
  <c r="F29" i="1" s="1"/>
  <c r="E34" i="1" s="1"/>
  <c r="B15" i="1"/>
  <c r="B12" i="1"/>
  <c r="B6" i="2" s="1"/>
  <c r="B40" i="1"/>
  <c r="C39" i="1"/>
  <c r="A39" i="1"/>
  <c r="F37" i="1"/>
  <c r="B17" i="1"/>
  <c r="B27" i="1"/>
  <c r="B28" i="1"/>
  <c r="B18" i="1" l="1"/>
  <c r="B20" i="1" s="1"/>
  <c r="B21" i="1" s="1"/>
  <c r="B22" i="1" s="1"/>
  <c r="C6" i="2" s="1"/>
  <c r="D14" i="2" s="1"/>
  <c r="B9" i="3" s="1"/>
  <c r="E23" i="1"/>
  <c r="F20" i="1"/>
  <c r="F21" i="1" s="1"/>
  <c r="F22" i="1" s="1"/>
  <c r="C7" i="2" s="1"/>
  <c r="D15" i="2" s="1"/>
  <c r="F9" i="3" s="1"/>
  <c r="F40" i="1"/>
  <c r="F41" i="1" s="1"/>
  <c r="E7" i="2" s="1"/>
  <c r="F31" i="1"/>
  <c r="F32" i="1" s="1"/>
  <c r="F33" i="1" s="1"/>
  <c r="D7" i="2" s="1"/>
  <c r="A42" i="1"/>
  <c r="B41" i="1"/>
  <c r="E6" i="2" s="1"/>
  <c r="G39" i="1"/>
  <c r="E39" i="1"/>
  <c r="B29" i="1"/>
  <c r="E17" i="3" l="1"/>
  <c r="P13" i="3"/>
  <c r="Q13" i="3" s="1"/>
  <c r="P7" i="3"/>
  <c r="Q7" i="3" s="1"/>
  <c r="P19" i="3"/>
  <c r="Q19" i="3" s="1"/>
  <c r="P8" i="3"/>
  <c r="Q8" i="3" s="1"/>
  <c r="P10" i="3"/>
  <c r="Q10" i="3" s="1"/>
  <c r="P14" i="3"/>
  <c r="Q14" i="3" s="1"/>
  <c r="P26" i="3"/>
  <c r="Q26" i="3" s="1"/>
  <c r="P27" i="3"/>
  <c r="Q27" i="3" s="1"/>
  <c r="P15" i="3"/>
  <c r="Q15" i="3" s="1"/>
  <c r="P5" i="3"/>
  <c r="Q5" i="3" s="1"/>
  <c r="P17" i="3"/>
  <c r="Q17" i="3" s="1"/>
  <c r="P24" i="3"/>
  <c r="Q24" i="3" s="1"/>
  <c r="P23" i="3"/>
  <c r="Q23" i="3" s="1"/>
  <c r="P18" i="3"/>
  <c r="Q18" i="3" s="1"/>
  <c r="P21" i="3"/>
  <c r="Q21" i="3" s="1"/>
  <c r="P25" i="3"/>
  <c r="Q25" i="3" s="1"/>
  <c r="P11" i="3"/>
  <c r="Q11" i="3" s="1"/>
  <c r="P6" i="3"/>
  <c r="Q6" i="3" s="1"/>
  <c r="F13" i="3"/>
  <c r="F14" i="3" s="1"/>
  <c r="P12" i="3"/>
  <c r="Q12" i="3" s="1"/>
  <c r="P20" i="3"/>
  <c r="Q20" i="3" s="1"/>
  <c r="P22" i="3"/>
  <c r="Q22" i="3" s="1"/>
  <c r="P16" i="3"/>
  <c r="Q16" i="3" s="1"/>
  <c r="P4" i="3"/>
  <c r="Q4" i="3" s="1"/>
  <c r="P9" i="3"/>
  <c r="Q9" i="3" s="1"/>
  <c r="K19" i="3"/>
  <c r="L19" i="3" s="1"/>
  <c r="K4" i="3"/>
  <c r="L4" i="3" s="1"/>
  <c r="A17" i="3"/>
  <c r="K7" i="3"/>
  <c r="L7" i="3" s="1"/>
  <c r="K14" i="3"/>
  <c r="L14" i="3" s="1"/>
  <c r="B13" i="3"/>
  <c r="B14" i="3" s="1"/>
  <c r="K6" i="3"/>
  <c r="L6" i="3" s="1"/>
  <c r="K18" i="3"/>
  <c r="L18" i="3" s="1"/>
  <c r="K24" i="3"/>
  <c r="L24" i="3" s="1"/>
  <c r="K22" i="3"/>
  <c r="L22" i="3" s="1"/>
  <c r="K5" i="3"/>
  <c r="L5" i="3" s="1"/>
  <c r="K10" i="3"/>
  <c r="L10" i="3" s="1"/>
  <c r="K27" i="3"/>
  <c r="L27" i="3" s="1"/>
  <c r="K17" i="3"/>
  <c r="L17" i="3" s="1"/>
  <c r="K23" i="3"/>
  <c r="L23" i="3" s="1"/>
  <c r="K15" i="3"/>
  <c r="L15" i="3" s="1"/>
  <c r="K16" i="3"/>
  <c r="L16" i="3" s="1"/>
  <c r="K20" i="3"/>
  <c r="L20" i="3" s="1"/>
  <c r="K26" i="3"/>
  <c r="L26" i="3" s="1"/>
  <c r="K25" i="3"/>
  <c r="L25" i="3" s="1"/>
  <c r="K13" i="3"/>
  <c r="L13" i="3" s="1"/>
  <c r="K12" i="3"/>
  <c r="L12" i="3" s="1"/>
  <c r="K8" i="3"/>
  <c r="L8" i="3" s="1"/>
  <c r="K21" i="3"/>
  <c r="L21" i="3" s="1"/>
  <c r="K9" i="3"/>
  <c r="L9" i="3" s="1"/>
  <c r="K11" i="3"/>
  <c r="L11" i="3" s="1"/>
  <c r="A23" i="1"/>
  <c r="E42" i="1"/>
  <c r="B31" i="1"/>
  <c r="B32" i="1" s="1"/>
  <c r="B33" i="1" s="1"/>
  <c r="D6" i="2" s="1"/>
  <c r="A34" i="1"/>
  <c r="O11" i="3" l="1"/>
  <c r="R11" i="3" s="1"/>
  <c r="O4" i="3"/>
  <c r="R4" i="3" s="1"/>
  <c r="O12" i="3"/>
  <c r="R12" i="3" s="1"/>
  <c r="O18" i="3"/>
  <c r="R18" i="3" s="1"/>
  <c r="O13" i="3"/>
  <c r="R13" i="3" s="1"/>
  <c r="O21" i="3"/>
  <c r="R21" i="3" s="1"/>
  <c r="O16" i="3"/>
  <c r="R16" i="3" s="1"/>
  <c r="O7" i="3"/>
  <c r="R7" i="3" s="1"/>
  <c r="O19" i="3"/>
  <c r="R19" i="3" s="1"/>
  <c r="O15" i="3"/>
  <c r="R15" i="3" s="1"/>
  <c r="O10" i="3"/>
  <c r="R10" i="3" s="1"/>
  <c r="O22" i="3"/>
  <c r="R22" i="3" s="1"/>
  <c r="O23" i="3"/>
  <c r="R23" i="3" s="1"/>
  <c r="O14" i="3"/>
  <c r="R14" i="3" s="1"/>
  <c r="O26" i="3"/>
  <c r="R26" i="3" s="1"/>
  <c r="O8" i="3"/>
  <c r="R8" i="3" s="1"/>
  <c r="O9" i="3"/>
  <c r="R9" i="3" s="1"/>
  <c r="O17" i="3"/>
  <c r="R17" i="3" s="1"/>
  <c r="O20" i="3"/>
  <c r="R20" i="3" s="1"/>
  <c r="O27" i="3"/>
  <c r="R27" i="3" s="1"/>
  <c r="O24" i="3"/>
  <c r="R24" i="3" s="1"/>
  <c r="O6" i="3"/>
  <c r="R6" i="3" s="1"/>
  <c r="O5" i="3"/>
  <c r="R5" i="3" s="1"/>
  <c r="O25" i="3"/>
  <c r="R25" i="3" s="1"/>
  <c r="J14" i="3"/>
  <c r="M14" i="3" s="1"/>
  <c r="AH14" i="3" s="1"/>
  <c r="J22" i="3"/>
  <c r="M22" i="3" s="1"/>
  <c r="J18" i="3"/>
  <c r="M18" i="3" s="1"/>
  <c r="J6" i="3"/>
  <c r="M6" i="3" s="1"/>
  <c r="J10" i="3"/>
  <c r="M10" i="3" s="1"/>
  <c r="J27" i="3"/>
  <c r="M27" i="3" s="1"/>
  <c r="J4" i="3"/>
  <c r="M4" i="3" s="1"/>
  <c r="AH4" i="3" s="1"/>
  <c r="J15" i="3"/>
  <c r="M15" i="3" s="1"/>
  <c r="J9" i="3"/>
  <c r="M9" i="3" s="1"/>
  <c r="J20" i="3"/>
  <c r="M20" i="3" s="1"/>
  <c r="AH20" i="3" s="1"/>
  <c r="J12" i="3"/>
  <c r="M12" i="3" s="1"/>
  <c r="AH12" i="3" s="1"/>
  <c r="J8" i="3"/>
  <c r="M8" i="3" s="1"/>
  <c r="AH8" i="3" s="1"/>
  <c r="J23" i="3"/>
  <c r="M23" i="3" s="1"/>
  <c r="J26" i="3"/>
  <c r="M26" i="3" s="1"/>
  <c r="J13" i="3"/>
  <c r="M13" i="3" s="1"/>
  <c r="J17" i="3"/>
  <c r="M17" i="3" s="1"/>
  <c r="J19" i="3"/>
  <c r="M19" i="3" s="1"/>
  <c r="J16" i="3"/>
  <c r="M16" i="3" s="1"/>
  <c r="J25" i="3"/>
  <c r="M25" i="3" s="1"/>
  <c r="J11" i="3"/>
  <c r="M11" i="3" s="1"/>
  <c r="J5" i="3"/>
  <c r="M5" i="3" s="1"/>
  <c r="J21" i="3"/>
  <c r="M21" i="3" s="1"/>
  <c r="AH21" i="3" s="1"/>
  <c r="J24" i="3"/>
  <c r="M24" i="3" s="1"/>
  <c r="AH24" i="3" s="1"/>
  <c r="J7" i="3"/>
  <c r="M7" i="3" s="1"/>
  <c r="AH7" i="3" s="1"/>
  <c r="AH15" i="3" l="1"/>
  <c r="AH16" i="3"/>
  <c r="AH25" i="3"/>
  <c r="AH5" i="3"/>
  <c r="AH19" i="3"/>
  <c r="AH10" i="3"/>
  <c r="AH6" i="3"/>
  <c r="AH23" i="3"/>
  <c r="AH9" i="3"/>
  <c r="AH11" i="3"/>
  <c r="AH18" i="3"/>
  <c r="AH26" i="3"/>
  <c r="AH22" i="3"/>
  <c r="AH27" i="3"/>
  <c r="AH17" i="3"/>
  <c r="AH13" i="3"/>
</calcChain>
</file>

<file path=xl/sharedStrings.xml><?xml version="1.0" encoding="utf-8"?>
<sst xmlns="http://schemas.openxmlformats.org/spreadsheetml/2006/main" count="359" uniqueCount="59">
  <si>
    <t>Cuenca 1</t>
  </si>
  <si>
    <t>Datos</t>
  </si>
  <si>
    <t xml:space="preserve">Longitud </t>
  </si>
  <si>
    <t>Area</t>
  </si>
  <si>
    <t>S</t>
  </si>
  <si>
    <t>H</t>
  </si>
  <si>
    <t>Kirpich</t>
  </si>
  <si>
    <t>L</t>
  </si>
  <si>
    <t>TC</t>
  </si>
  <si>
    <t>Ventura-Heras</t>
  </si>
  <si>
    <t>i</t>
  </si>
  <si>
    <t>s</t>
  </si>
  <si>
    <t>a</t>
  </si>
  <si>
    <t>≤a≤</t>
  </si>
  <si>
    <t>Passini</t>
  </si>
  <si>
    <t>Giandotti</t>
  </si>
  <si>
    <t>≤TC≤</t>
  </si>
  <si>
    <t xml:space="preserve">Tiempo de Concentración </t>
  </si>
  <si>
    <t xml:space="preserve">Metodos </t>
  </si>
  <si>
    <t>Cuenca 2</t>
  </si>
  <si>
    <t>Cuenca 3</t>
  </si>
  <si>
    <t>TC cuencas</t>
  </si>
  <si>
    <t>Tiempos de concentración de cuencas</t>
  </si>
  <si>
    <t>Cuenca</t>
  </si>
  <si>
    <t>Cuenca 4</t>
  </si>
  <si>
    <t>Cuenca 5</t>
  </si>
  <si>
    <t>Cuenca 6</t>
  </si>
  <si>
    <t xml:space="preserve">C. Correntia </t>
  </si>
  <si>
    <t>ANALISIS DE ESTUDIO</t>
  </si>
  <si>
    <t>TC Cuenca 1</t>
  </si>
  <si>
    <t>TC Cuenca 2</t>
  </si>
  <si>
    <t>TC Cuenca 3</t>
  </si>
  <si>
    <t>TC Cuenca 4</t>
  </si>
  <si>
    <t>TC Cuenca 5</t>
  </si>
  <si>
    <t xml:space="preserve">Datos </t>
  </si>
  <si>
    <t>Longitud</t>
  </si>
  <si>
    <t xml:space="preserve">Area </t>
  </si>
  <si>
    <t>C</t>
  </si>
  <si>
    <t>A</t>
  </si>
  <si>
    <t>B</t>
  </si>
  <si>
    <t>n</t>
  </si>
  <si>
    <t>Tiempo total de lluevia en cuenca 1</t>
  </si>
  <si>
    <t>Tiempo</t>
  </si>
  <si>
    <t>a%</t>
  </si>
  <si>
    <t>Metodo Usar</t>
  </si>
  <si>
    <t xml:space="preserve">ESTUDIO DE CAUDALES </t>
  </si>
  <si>
    <t>CUENCA 1</t>
  </si>
  <si>
    <t>CUENCA 2</t>
  </si>
  <si>
    <t>CUENCA 3</t>
  </si>
  <si>
    <t>CUENCA 4</t>
  </si>
  <si>
    <t>CUENCA 5</t>
  </si>
  <si>
    <t>Q1+12+Q3+Q4+Q5</t>
  </si>
  <si>
    <t>Tiempo total de lluevia en cuenca 2</t>
  </si>
  <si>
    <t>Tiempo total de lluevia en cuenca 3</t>
  </si>
  <si>
    <t>Tiempo total de lluevia en cuenca 4</t>
  </si>
  <si>
    <t>Tiempo total de lluevia en cuenca 5</t>
  </si>
  <si>
    <t xml:space="preserve">Tiempo total de lluevia en cuenca </t>
  </si>
  <si>
    <t>Ventura Heras</t>
  </si>
  <si>
    <t>Caudal Maximo que pasa por el punto de analisis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</si>
</sst>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&quot;Q&quot;#,##0;[Red]\-&quot;Q&quot;#,##0"/>
    <numFmt numFmtId="164" formatCode="0.00\ &quot;Km&quot;"/>
    <numFmt numFmtId="165" formatCode="0.00\ &quot;m&quot;"/>
    <numFmt numFmtId="166" formatCode="0.00\ &quot;Km²&quot;"/>
    <numFmt numFmtId="167" formatCode="0.00\ &quot;m²&quot;"/>
    <numFmt numFmtId="168" formatCode="0.00\ &quot;%&quot;"/>
    <numFmt numFmtId="169" formatCode="0.00\ &quot;m/m&quot;"/>
    <numFmt numFmtId="170" formatCode="0.00\ &quot;min&quot;"/>
    <numFmt numFmtId="171" formatCode="0.00\ &quot;horas&quot;"/>
    <numFmt numFmtId="172" formatCode="0.000\ &quot;m/m&quot;"/>
    <numFmt numFmtId="173" formatCode="0.00\ &quot;mm/hr&quot;"/>
    <numFmt numFmtId="174" formatCode="##0.00E+0\ &quot;m/s&quot;"/>
    <numFmt numFmtId="175" formatCode="0.000"/>
    <numFmt numFmtId="176" formatCode="0.0000"/>
    <numFmt numFmtId="177" formatCode="0.00\ &quot;m³/s&quot;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5" fontId="2" fillId="0" borderId="9" xfId="0" applyNumberFormat="1" applyFont="1" applyBorder="1" applyAlignment="1">
      <alignment horizontal="center" vertical="center"/>
    </xf>
    <xf numFmtId="166" fontId="2" fillId="0" borderId="8" xfId="0" applyNumberFormat="1" applyFont="1" applyBorder="1" applyAlignment="1">
      <alignment horizontal="center" vertical="center"/>
    </xf>
    <xf numFmtId="167" fontId="2" fillId="0" borderId="9" xfId="0" applyNumberFormat="1" applyFont="1" applyBorder="1" applyAlignment="1">
      <alignment horizontal="center" vertical="center"/>
    </xf>
    <xf numFmtId="168" fontId="2" fillId="0" borderId="8" xfId="0" applyNumberFormat="1" applyFont="1" applyBorder="1" applyAlignment="1">
      <alignment horizontal="center" vertical="center"/>
    </xf>
    <xf numFmtId="169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169" fontId="2" fillId="0" borderId="16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70" fontId="2" fillId="0" borderId="18" xfId="0" applyNumberFormat="1" applyFont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71" fontId="2" fillId="0" borderId="0" xfId="0" applyNumberFormat="1" applyFont="1" applyAlignment="1">
      <alignment horizontal="center" vertical="center"/>
    </xf>
    <xf numFmtId="171" fontId="2" fillId="0" borderId="16" xfId="0" applyNumberFormat="1" applyFont="1" applyBorder="1" applyAlignment="1">
      <alignment horizontal="center" vertical="center"/>
    </xf>
    <xf numFmtId="170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71" fontId="2" fillId="0" borderId="15" xfId="0" applyNumberFormat="1" applyFont="1" applyBorder="1" applyAlignment="1">
      <alignment horizontal="center" vertical="center"/>
    </xf>
    <xf numFmtId="170" fontId="2" fillId="0" borderId="11" xfId="0" applyNumberFormat="1" applyFont="1" applyBorder="1" applyAlignment="1">
      <alignment horizontal="center" vertical="center"/>
    </xf>
    <xf numFmtId="170" fontId="2" fillId="0" borderId="12" xfId="0" applyNumberFormat="1" applyFont="1" applyBorder="1" applyAlignment="1">
      <alignment horizontal="center" vertical="center"/>
    </xf>
    <xf numFmtId="170" fontId="2" fillId="0" borderId="8" xfId="0" applyNumberFormat="1" applyFont="1" applyBorder="1" applyAlignment="1">
      <alignment horizontal="center" vertical="center"/>
    </xf>
    <xf numFmtId="170" fontId="2" fillId="0" borderId="9" xfId="0" applyNumberFormat="1" applyFont="1" applyBorder="1" applyAlignment="1">
      <alignment horizontal="center" vertical="center"/>
    </xf>
    <xf numFmtId="172" fontId="2" fillId="0" borderId="9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72" fontId="2" fillId="0" borderId="16" xfId="0" applyNumberFormat="1" applyFont="1" applyBorder="1" applyAlignment="1">
      <alignment horizontal="center" vertical="center"/>
    </xf>
    <xf numFmtId="170" fontId="2" fillId="0" borderId="21" xfId="0" applyNumberFormat="1" applyFont="1" applyBorder="1" applyAlignment="1">
      <alignment horizontal="center" vertical="center"/>
    </xf>
    <xf numFmtId="170" fontId="2" fillId="0" borderId="22" xfId="0" applyNumberFormat="1" applyFont="1" applyBorder="1" applyAlignment="1">
      <alignment horizontal="center" vertical="center"/>
    </xf>
    <xf numFmtId="170" fontId="2" fillId="0" borderId="8" xfId="0" applyNumberFormat="1" applyFont="1" applyBorder="1" applyAlignment="1">
      <alignment horizontal="center" vertical="center" wrapText="1"/>
    </xf>
    <xf numFmtId="170" fontId="2" fillId="0" borderId="21" xfId="0" applyNumberFormat="1" applyFont="1" applyBorder="1" applyAlignment="1">
      <alignment horizontal="center" vertical="center" wrapText="1"/>
    </xf>
    <xf numFmtId="170" fontId="2" fillId="0" borderId="1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69" fontId="2" fillId="0" borderId="0" xfId="0" applyNumberFormat="1" applyFont="1" applyAlignment="1">
      <alignment horizontal="center" vertical="center"/>
    </xf>
    <xf numFmtId="170" fontId="3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168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71" fontId="2" fillId="0" borderId="0" xfId="0" applyNumberFormat="1" applyFont="1" applyAlignment="1">
      <alignment vertical="center"/>
    </xf>
    <xf numFmtId="170" fontId="2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175" fontId="0" fillId="0" borderId="8" xfId="0" applyNumberFormat="1" applyBorder="1" applyAlignment="1">
      <alignment horizontal="center" vertical="center"/>
    </xf>
    <xf numFmtId="176" fontId="0" fillId="0" borderId="0" xfId="0" applyNumberFormat="1"/>
    <xf numFmtId="167" fontId="0" fillId="0" borderId="8" xfId="0" applyNumberFormat="1" applyBorder="1" applyAlignment="1">
      <alignment horizontal="center" vertical="center"/>
    </xf>
    <xf numFmtId="170" fontId="1" fillId="0" borderId="0" xfId="0" applyNumberFormat="1" applyFont="1" applyAlignment="1">
      <alignment horizontal="center" vertical="center" wrapText="1"/>
    </xf>
    <xf numFmtId="170" fontId="0" fillId="0" borderId="9" xfId="0" applyNumberFormat="1" applyBorder="1"/>
    <xf numFmtId="165" fontId="2" fillId="0" borderId="26" xfId="0" applyNumberFormat="1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76" fontId="0" fillId="0" borderId="24" xfId="0" applyNumberFormat="1" applyBorder="1" applyAlignment="1">
      <alignment horizontal="center" vertical="center"/>
    </xf>
    <xf numFmtId="170" fontId="2" fillId="0" borderId="0" xfId="0" applyNumberFormat="1" applyFont="1" applyAlignment="1">
      <alignment horizontal="center" vertical="center"/>
    </xf>
    <xf numFmtId="170" fontId="2" fillId="0" borderId="16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165" fontId="2" fillId="0" borderId="9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71" fontId="2" fillId="0" borderId="0" xfId="0" applyNumberFormat="1" applyFont="1" applyAlignment="1">
      <alignment horizontal="center" vertical="center"/>
    </xf>
    <xf numFmtId="171" fontId="2" fillId="0" borderId="16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6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68" fontId="2" fillId="0" borderId="16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4" fontId="2" fillId="0" borderId="34" xfId="0" applyNumberFormat="1" applyFont="1" applyBorder="1" applyAlignment="1">
      <alignment horizontal="center" vertical="center"/>
    </xf>
    <xf numFmtId="174" fontId="2" fillId="0" borderId="35" xfId="0" applyNumberFormat="1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73" fontId="2" fillId="0" borderId="26" xfId="0" applyNumberFormat="1" applyFont="1" applyBorder="1" applyAlignment="1">
      <alignment horizontal="center" vertical="center"/>
    </xf>
    <xf numFmtId="173" fontId="2" fillId="0" borderId="27" xfId="0" applyNumberFormat="1" applyFont="1" applyBorder="1" applyAlignment="1">
      <alignment horizontal="center" vertical="center"/>
    </xf>
    <xf numFmtId="2" fontId="2" fillId="0" borderId="26" xfId="0" applyNumberFormat="1" applyFont="1" applyBorder="1" applyAlignment="1">
      <alignment horizontal="center" vertical="center"/>
    </xf>
    <xf numFmtId="2" fontId="2" fillId="0" borderId="27" xfId="0" applyNumberFormat="1" applyFont="1" applyBorder="1" applyAlignment="1">
      <alignment horizontal="center" vertical="center"/>
    </xf>
    <xf numFmtId="170" fontId="2" fillId="0" borderId="26" xfId="0" applyNumberFormat="1" applyFont="1" applyBorder="1" applyAlignment="1">
      <alignment horizontal="center" vertical="center"/>
    </xf>
    <xf numFmtId="170" fontId="2" fillId="0" borderId="27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165" fontId="2" fillId="0" borderId="26" xfId="0" applyNumberFormat="1" applyFont="1" applyBorder="1" applyAlignment="1">
      <alignment horizontal="center" vertical="center"/>
    </xf>
    <xf numFmtId="165" fontId="2" fillId="0" borderId="27" xfId="0" applyNumberFormat="1" applyFont="1" applyBorder="1" applyAlignment="1">
      <alignment horizontal="center" vertical="center"/>
    </xf>
    <xf numFmtId="174" fontId="2" fillId="0" borderId="11" xfId="0" applyNumberFormat="1" applyFont="1" applyBorder="1" applyAlignment="1">
      <alignment horizontal="center" vertical="center"/>
    </xf>
    <xf numFmtId="174" fontId="2" fillId="0" borderId="12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73" fontId="2" fillId="0" borderId="8" xfId="0" applyNumberFormat="1" applyFont="1" applyBorder="1" applyAlignment="1">
      <alignment horizontal="center" vertical="center"/>
    </xf>
    <xf numFmtId="173" fontId="2" fillId="0" borderId="9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170" fontId="2" fillId="0" borderId="8" xfId="0" applyNumberFormat="1" applyFont="1" applyBorder="1" applyAlignment="1">
      <alignment horizontal="center" vertical="center"/>
    </xf>
    <xf numFmtId="170" fontId="2" fillId="0" borderId="9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170" fontId="0" fillId="0" borderId="12" xfId="0" applyNumberFormat="1" applyBorder="1"/>
    <xf numFmtId="2" fontId="0" fillId="0" borderId="0" xfId="0" applyNumberFormat="1" applyBorder="1"/>
    <xf numFmtId="174" fontId="0" fillId="0" borderId="0" xfId="0" applyNumberFormat="1" applyBorder="1"/>
    <xf numFmtId="175" fontId="0" fillId="0" borderId="0" xfId="0" applyNumberForma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0" xfId="0" applyBorder="1"/>
    <xf numFmtId="176" fontId="0" fillId="0" borderId="0" xfId="0" applyNumberFormat="1" applyBorder="1"/>
    <xf numFmtId="167" fontId="2" fillId="0" borderId="26" xfId="0" applyNumberFormat="1" applyFont="1" applyBorder="1" applyAlignment="1">
      <alignment horizontal="center" vertical="center"/>
    </xf>
    <xf numFmtId="169" fontId="2" fillId="0" borderId="26" xfId="0" applyNumberFormat="1" applyFont="1" applyBorder="1" applyAlignment="1">
      <alignment horizontal="center" vertical="center"/>
    </xf>
    <xf numFmtId="165" fontId="2" fillId="0" borderId="29" xfId="0" applyNumberFormat="1" applyFont="1" applyBorder="1" applyAlignment="1">
      <alignment horizontal="center" vertical="center"/>
    </xf>
    <xf numFmtId="2" fontId="2" fillId="0" borderId="29" xfId="0" applyNumberFormat="1" applyFont="1" applyBorder="1" applyAlignment="1">
      <alignment horizontal="center" vertical="center"/>
    </xf>
    <xf numFmtId="170" fontId="2" fillId="0" borderId="29" xfId="0" applyNumberFormat="1" applyFont="1" applyBorder="1" applyAlignment="1">
      <alignment horizontal="center" vertical="center"/>
    </xf>
    <xf numFmtId="173" fontId="2" fillId="0" borderId="29" xfId="0" applyNumberFormat="1" applyFont="1" applyBorder="1" applyAlignment="1">
      <alignment horizontal="center" vertical="center"/>
    </xf>
    <xf numFmtId="174" fontId="2" fillId="0" borderId="36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0" fillId="0" borderId="13" xfId="0" applyBorder="1"/>
    <xf numFmtId="0" fontId="0" fillId="0" borderId="7" xfId="0" applyBorder="1" applyAlignment="1">
      <alignment horizontal="center" vertical="center"/>
    </xf>
    <xf numFmtId="6" fontId="0" fillId="0" borderId="25" xfId="0" applyNumberFormat="1" applyBorder="1" applyAlignment="1">
      <alignment horizontal="center" vertical="center"/>
    </xf>
    <xf numFmtId="0" fontId="0" fillId="0" borderId="15" xfId="0" applyBorder="1"/>
    <xf numFmtId="177" fontId="0" fillId="0" borderId="9" xfId="0" applyNumberFormat="1" applyBorder="1" applyAlignment="1">
      <alignment horizontal="center" vertical="center"/>
    </xf>
    <xf numFmtId="0" fontId="0" fillId="0" borderId="17" xfId="0" applyBorder="1"/>
    <xf numFmtId="2" fontId="0" fillId="0" borderId="20" xfId="0" applyNumberFormat="1" applyBorder="1"/>
    <xf numFmtId="174" fontId="0" fillId="0" borderId="20" xfId="0" applyNumberFormat="1" applyBorder="1"/>
    <xf numFmtId="175" fontId="0" fillId="0" borderId="11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2" fontId="0" fillId="0" borderId="15" xfId="0" applyNumberFormat="1" applyBorder="1"/>
    <xf numFmtId="2" fontId="0" fillId="0" borderId="17" xfId="0" applyNumberFormat="1" applyBorder="1"/>
    <xf numFmtId="0" fontId="0" fillId="0" borderId="38" xfId="0" applyBorder="1"/>
    <xf numFmtId="2" fontId="0" fillId="0" borderId="39" xfId="0" applyNumberFormat="1" applyBorder="1"/>
    <xf numFmtId="2" fontId="0" fillId="0" borderId="40" xfId="0" applyNumberFormat="1" applyBorder="1"/>
    <xf numFmtId="2" fontId="7" fillId="5" borderId="39" xfId="0" applyNumberFormat="1" applyFont="1" applyFill="1" applyBorder="1"/>
    <xf numFmtId="0" fontId="7" fillId="5" borderId="15" xfId="0" applyFont="1" applyFill="1" applyBorder="1" applyAlignment="1">
      <alignment horizontal="center" wrapText="1"/>
    </xf>
    <xf numFmtId="0" fontId="7" fillId="5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A9D18-C706-4FA3-9BE8-1F5705F34C1B}">
  <dimension ref="A1:G303"/>
  <sheetViews>
    <sheetView view="pageLayout" topLeftCell="A103" zoomScaleNormal="100" workbookViewId="0">
      <selection sqref="A1:G127"/>
    </sheetView>
  </sheetViews>
  <sheetFormatPr baseColWidth="10" defaultRowHeight="15.6" x14ac:dyDescent="0.3"/>
  <cols>
    <col min="1" max="1" width="11.77734375" style="1" customWidth="1"/>
    <col min="2" max="2" width="11.21875" style="1" customWidth="1"/>
    <col min="3" max="3" width="17.6640625" style="1" customWidth="1"/>
    <col min="4" max="4" width="8.77734375" style="30" customWidth="1"/>
    <col min="5" max="5" width="11.88671875" style="1" customWidth="1"/>
    <col min="6" max="6" width="11.6640625" style="1" bestFit="1" customWidth="1"/>
    <col min="7" max="7" width="17" style="1" customWidth="1"/>
    <col min="8" max="16384" width="11.5546875" style="1"/>
  </cols>
  <sheetData>
    <row r="1" spans="1:7" ht="18" thickBot="1" x14ac:dyDescent="0.35">
      <c r="A1" s="71" t="s">
        <v>28</v>
      </c>
      <c r="B1" s="72"/>
      <c r="C1" s="72"/>
      <c r="D1" s="72"/>
      <c r="E1" s="72"/>
      <c r="F1" s="72"/>
      <c r="G1" s="73"/>
    </row>
    <row r="2" spans="1:7" x14ac:dyDescent="0.3">
      <c r="A2" s="74" t="s">
        <v>0</v>
      </c>
      <c r="B2" s="75"/>
      <c r="C2" s="76"/>
      <c r="E2" s="74" t="s">
        <v>19</v>
      </c>
      <c r="F2" s="75"/>
      <c r="G2" s="76"/>
    </row>
    <row r="3" spans="1:7" x14ac:dyDescent="0.3">
      <c r="A3" s="89" t="s">
        <v>1</v>
      </c>
      <c r="B3" s="90"/>
      <c r="C3" s="91"/>
      <c r="E3" s="89" t="s">
        <v>1</v>
      </c>
      <c r="F3" s="90"/>
      <c r="G3" s="91"/>
    </row>
    <row r="4" spans="1:7" x14ac:dyDescent="0.3">
      <c r="A4" s="2" t="s">
        <v>2</v>
      </c>
      <c r="B4" s="5">
        <v>8.1</v>
      </c>
      <c r="C4" s="6">
        <f>B4*1000</f>
        <v>8100</v>
      </c>
      <c r="E4" s="2" t="s">
        <v>2</v>
      </c>
      <c r="F4" s="5">
        <v>8.1999999999999993</v>
      </c>
      <c r="G4" s="6">
        <f>F4*1000</f>
        <v>8200</v>
      </c>
    </row>
    <row r="5" spans="1:7" x14ac:dyDescent="0.3">
      <c r="A5" s="2" t="s">
        <v>3</v>
      </c>
      <c r="B5" s="7">
        <v>54.3</v>
      </c>
      <c r="C5" s="8">
        <f>B5*1000000</f>
        <v>54300000</v>
      </c>
      <c r="E5" s="2" t="s">
        <v>3</v>
      </c>
      <c r="F5" s="7">
        <v>47.5</v>
      </c>
      <c r="G5" s="8">
        <f>F5*1000000</f>
        <v>47500000</v>
      </c>
    </row>
    <row r="6" spans="1:7" x14ac:dyDescent="0.3">
      <c r="A6" s="2" t="s">
        <v>4</v>
      </c>
      <c r="B6" s="9">
        <v>5.0999999999999996</v>
      </c>
      <c r="C6" s="29">
        <f>B6/100</f>
        <v>5.0999999999999997E-2</v>
      </c>
      <c r="E6" s="2" t="s">
        <v>4</v>
      </c>
      <c r="F6" s="9">
        <v>4</v>
      </c>
      <c r="G6" s="29">
        <f>F6/100</f>
        <v>0.04</v>
      </c>
    </row>
    <row r="7" spans="1:7" x14ac:dyDescent="0.3">
      <c r="A7" s="2" t="s">
        <v>5</v>
      </c>
      <c r="B7" s="64">
        <v>413.1</v>
      </c>
      <c r="C7" s="65"/>
      <c r="E7" s="2" t="s">
        <v>5</v>
      </c>
      <c r="F7" s="64">
        <v>328</v>
      </c>
      <c r="G7" s="65"/>
    </row>
    <row r="8" spans="1:7" ht="16.2" thickBot="1" x14ac:dyDescent="0.35">
      <c r="A8" s="11" t="s">
        <v>27</v>
      </c>
      <c r="B8" s="66">
        <v>0.32</v>
      </c>
      <c r="C8" s="67"/>
      <c r="E8" s="11" t="s">
        <v>27</v>
      </c>
      <c r="F8" s="66">
        <v>0.62</v>
      </c>
      <c r="G8" s="67"/>
    </row>
    <row r="9" spans="1:7" x14ac:dyDescent="0.3">
      <c r="A9" s="62" t="s">
        <v>6</v>
      </c>
      <c r="B9" s="63"/>
      <c r="F9" s="62" t="s">
        <v>6</v>
      </c>
      <c r="G9" s="63"/>
    </row>
    <row r="10" spans="1:7" x14ac:dyDescent="0.3">
      <c r="A10" s="12" t="s">
        <v>7</v>
      </c>
      <c r="B10" s="13">
        <f>+C4</f>
        <v>8100</v>
      </c>
      <c r="F10" s="12" t="s">
        <v>7</v>
      </c>
      <c r="G10" s="13">
        <f>+G4</f>
        <v>8200</v>
      </c>
    </row>
    <row r="11" spans="1:7" x14ac:dyDescent="0.3">
      <c r="A11" s="12" t="s">
        <v>4</v>
      </c>
      <c r="B11" s="31">
        <f>+C6</f>
        <v>5.0999999999999997E-2</v>
      </c>
      <c r="F11" s="12" t="s">
        <v>4</v>
      </c>
      <c r="G11" s="14">
        <f>+G6</f>
        <v>0.04</v>
      </c>
    </row>
    <row r="12" spans="1:7" ht="16.2" thickBot="1" x14ac:dyDescent="0.35">
      <c r="A12" s="15" t="s">
        <v>8</v>
      </c>
      <c r="B12" s="16">
        <f>0.02*(B10^0.77)*(B11^-0.385)</f>
        <v>64.290816651234238</v>
      </c>
      <c r="F12" s="15" t="s">
        <v>8</v>
      </c>
      <c r="G12" s="16">
        <f>0.02*(G10^0.77)*(G11^-0.385)</f>
        <v>71.264552987657467</v>
      </c>
    </row>
    <row r="13" spans="1:7" ht="16.2" thickBot="1" x14ac:dyDescent="0.35"/>
    <row r="14" spans="1:7" x14ac:dyDescent="0.3">
      <c r="A14" s="68" t="s">
        <v>9</v>
      </c>
      <c r="B14" s="69"/>
      <c r="C14" s="70"/>
      <c r="E14" s="68" t="s">
        <v>9</v>
      </c>
      <c r="F14" s="69"/>
      <c r="G14" s="70"/>
    </row>
    <row r="15" spans="1:7" x14ac:dyDescent="0.3">
      <c r="A15" s="12" t="s">
        <v>10</v>
      </c>
      <c r="B15" s="86">
        <f>+B6</f>
        <v>5.0999999999999996</v>
      </c>
      <c r="C15" s="92"/>
      <c r="E15" s="12" t="s">
        <v>10</v>
      </c>
      <c r="F15" s="86">
        <f>+F6</f>
        <v>4</v>
      </c>
      <c r="G15" s="92"/>
    </row>
    <row r="16" spans="1:7" x14ac:dyDescent="0.3">
      <c r="A16" s="12" t="s">
        <v>11</v>
      </c>
      <c r="B16" s="82">
        <f>+B5</f>
        <v>54.3</v>
      </c>
      <c r="C16" s="87"/>
      <c r="E16" s="12" t="s">
        <v>11</v>
      </c>
      <c r="F16" s="82">
        <f>+F5</f>
        <v>47.5</v>
      </c>
      <c r="G16" s="87"/>
    </row>
    <row r="17" spans="1:7" x14ac:dyDescent="0.3">
      <c r="A17" s="12" t="s">
        <v>7</v>
      </c>
      <c r="B17" s="77">
        <f>+B4</f>
        <v>8.1</v>
      </c>
      <c r="C17" s="88"/>
      <c r="E17" s="12" t="s">
        <v>7</v>
      </c>
      <c r="F17" s="77">
        <f>+F4</f>
        <v>8.1999999999999993</v>
      </c>
      <c r="G17" s="88"/>
    </row>
    <row r="18" spans="1:7" x14ac:dyDescent="0.3">
      <c r="A18" s="12" t="s">
        <v>12</v>
      </c>
      <c r="B18" s="84">
        <f>+B17/(B16^0.5)</f>
        <v>1.0992212210550156</v>
      </c>
      <c r="C18" s="85"/>
      <c r="E18" s="12" t="s">
        <v>12</v>
      </c>
      <c r="F18" s="84">
        <f>+F17/(F16^0.5)</f>
        <v>1.1897810501804191</v>
      </c>
      <c r="G18" s="85"/>
    </row>
    <row r="19" spans="1:7" x14ac:dyDescent="0.3">
      <c r="A19" s="12">
        <v>0.05</v>
      </c>
      <c r="B19" s="1" t="s">
        <v>13</v>
      </c>
      <c r="C19" s="19">
        <v>0.5</v>
      </c>
      <c r="E19" s="12">
        <v>0.05</v>
      </c>
      <c r="F19" s="1" t="s">
        <v>13</v>
      </c>
      <c r="G19" s="19">
        <v>0.5</v>
      </c>
    </row>
    <row r="20" spans="1:7" x14ac:dyDescent="0.3">
      <c r="A20" s="12" t="s">
        <v>12</v>
      </c>
      <c r="B20" s="83">
        <f>+IF(B18&lt;A19,A19,IF(B18&gt;C19,C19,B18))</f>
        <v>0.5</v>
      </c>
      <c r="C20" s="78"/>
      <c r="E20" s="12" t="s">
        <v>12</v>
      </c>
      <c r="F20" s="83">
        <f>+IF(F18&lt;E19,E19,IF(F18&gt;G19,G19,F18))</f>
        <v>0.5</v>
      </c>
      <c r="G20" s="78"/>
    </row>
    <row r="21" spans="1:7" x14ac:dyDescent="0.3">
      <c r="A21" s="12" t="s">
        <v>8</v>
      </c>
      <c r="B21" s="80">
        <f>+B20*((B16^0.5)/B15)</f>
        <v>0.72243660497806039</v>
      </c>
      <c r="C21" s="81"/>
      <c r="E21" s="12" t="s">
        <v>8</v>
      </c>
      <c r="F21" s="80">
        <f>+F20*((F16^0.5)/F15)</f>
        <v>0.86150304700563884</v>
      </c>
      <c r="G21" s="81"/>
    </row>
    <row r="22" spans="1:7" x14ac:dyDescent="0.3">
      <c r="A22" s="12" t="s">
        <v>8</v>
      </c>
      <c r="B22" s="57">
        <f>+B21*60</f>
        <v>43.346196298683623</v>
      </c>
      <c r="C22" s="58"/>
      <c r="E22" s="12" t="s">
        <v>8</v>
      </c>
      <c r="F22" s="57">
        <f>+F21*60</f>
        <v>51.690182820338329</v>
      </c>
      <c r="G22" s="58"/>
    </row>
    <row r="23" spans="1:7" ht="16.2" thickBot="1" x14ac:dyDescent="0.35">
      <c r="A23" s="59" t="str">
        <f>+IF(B18&lt;A19,"alejamiento medio menor a límites",IF(B18&gt;C19,"alejamiento medio mayor a límites","alejamiento medio cumple con límites"))</f>
        <v>alejamiento medio mayor a límites</v>
      </c>
      <c r="B23" s="60"/>
      <c r="C23" s="61"/>
      <c r="E23" s="59" t="str">
        <f>+IF(F18&lt;E19,"alejamiento medio menor a límites",IF(F18&gt;G19,"alejamiento medio mayor a límites","alejamiento medio cumple con límites"))</f>
        <v>alejamiento medio mayor a límites</v>
      </c>
      <c r="F23" s="60"/>
      <c r="G23" s="61"/>
    </row>
    <row r="24" spans="1:7" ht="16.2" thickBot="1" x14ac:dyDescent="0.35"/>
    <row r="25" spans="1:7" x14ac:dyDescent="0.3">
      <c r="A25" s="68" t="s">
        <v>14</v>
      </c>
      <c r="B25" s="69"/>
      <c r="C25" s="70"/>
      <c r="E25" s="68" t="s">
        <v>14</v>
      </c>
      <c r="F25" s="69"/>
      <c r="G25" s="70"/>
    </row>
    <row r="26" spans="1:7" x14ac:dyDescent="0.3">
      <c r="A26" s="12" t="s">
        <v>10</v>
      </c>
      <c r="B26" s="86">
        <f>+B6</f>
        <v>5.0999999999999996</v>
      </c>
      <c r="C26" s="78"/>
      <c r="E26" s="12" t="s">
        <v>10</v>
      </c>
      <c r="F26" s="86">
        <f>+F6</f>
        <v>4</v>
      </c>
      <c r="G26" s="78"/>
    </row>
    <row r="27" spans="1:7" x14ac:dyDescent="0.3">
      <c r="A27" s="12" t="s">
        <v>11</v>
      </c>
      <c r="B27" s="82">
        <f>+B5</f>
        <v>54.3</v>
      </c>
      <c r="C27" s="78"/>
      <c r="E27" s="12" t="s">
        <v>11</v>
      </c>
      <c r="F27" s="82">
        <f>+F5</f>
        <v>47.5</v>
      </c>
      <c r="G27" s="78"/>
    </row>
    <row r="28" spans="1:7" x14ac:dyDescent="0.3">
      <c r="A28" s="12" t="s">
        <v>7</v>
      </c>
      <c r="B28" s="77">
        <f>+B4</f>
        <v>8.1</v>
      </c>
      <c r="C28" s="78"/>
      <c r="E28" s="12" t="s">
        <v>7</v>
      </c>
      <c r="F28" s="77">
        <f>+F4</f>
        <v>8.1999999999999993</v>
      </c>
      <c r="G28" s="78"/>
    </row>
    <row r="29" spans="1:7" x14ac:dyDescent="0.3">
      <c r="A29" s="12" t="s">
        <v>12</v>
      </c>
      <c r="B29" s="84">
        <f>+B28/(B27^0.5)</f>
        <v>1.0992212210550156</v>
      </c>
      <c r="C29" s="85"/>
      <c r="E29" s="12" t="s">
        <v>12</v>
      </c>
      <c r="F29" s="84">
        <f>+F28/(F27^0.5)</f>
        <v>1.1897810501804191</v>
      </c>
      <c r="G29" s="85"/>
    </row>
    <row r="30" spans="1:7" x14ac:dyDescent="0.3">
      <c r="A30" s="12">
        <v>0.04</v>
      </c>
      <c r="B30" s="1" t="s">
        <v>13</v>
      </c>
      <c r="C30" s="19">
        <v>0.13</v>
      </c>
      <c r="E30" s="12">
        <v>0.04</v>
      </c>
      <c r="F30" s="1" t="s">
        <v>13</v>
      </c>
      <c r="G30" s="19">
        <v>0.13</v>
      </c>
    </row>
    <row r="31" spans="1:7" x14ac:dyDescent="0.3">
      <c r="A31" s="12" t="s">
        <v>12</v>
      </c>
      <c r="B31" s="83">
        <f>+IF(B29&lt;A30,A30,IF(B29&gt;C30,C30,B29))</f>
        <v>0.13</v>
      </c>
      <c r="C31" s="78"/>
      <c r="E31" s="12" t="s">
        <v>12</v>
      </c>
      <c r="F31" s="83">
        <f>+IF(F29&lt;E30,E30,IF(F29&gt;G30,G30,F29))</f>
        <v>0.13</v>
      </c>
      <c r="G31" s="78"/>
    </row>
    <row r="32" spans="1:7" x14ac:dyDescent="0.3">
      <c r="A32" s="12" t="s">
        <v>8</v>
      </c>
      <c r="B32" s="80">
        <f>+B31*((B27*B28)^(1/3))/(B26^0.5)</f>
        <v>0.4377772751394729</v>
      </c>
      <c r="C32" s="81"/>
      <c r="E32" s="12" t="s">
        <v>8</v>
      </c>
      <c r="F32" s="80">
        <f>+F31*((F27*F28)^(1/3))/(F26^0.5)</f>
        <v>0.47469629708954347</v>
      </c>
      <c r="G32" s="81"/>
    </row>
    <row r="33" spans="1:7" x14ac:dyDescent="0.3">
      <c r="A33" s="12" t="s">
        <v>8</v>
      </c>
      <c r="B33" s="57">
        <f>+B32*60</f>
        <v>26.266636508368375</v>
      </c>
      <c r="C33" s="58"/>
      <c r="E33" s="12" t="s">
        <v>8</v>
      </c>
      <c r="F33" s="57">
        <f>+F32*60</f>
        <v>28.481777825372607</v>
      </c>
      <c r="G33" s="58"/>
    </row>
    <row r="34" spans="1:7" ht="16.2" thickBot="1" x14ac:dyDescent="0.35">
      <c r="A34" s="59" t="str">
        <f>+IF(B29&lt;A30,"alejamiento medio menor a límites",IF(B29&gt;C30,"alejamiento medio mayor a límites","alejamiento medio cumple con límites"))</f>
        <v>alejamiento medio mayor a límites</v>
      </c>
      <c r="B34" s="60"/>
      <c r="C34" s="61"/>
      <c r="E34" s="59" t="str">
        <f>+IF(F29&lt;E30,"alejamiento medio menor a límites",IF(F29&gt;G30,"alejamiento medio mayor a límites","alejamiento medio cumple con límites"))</f>
        <v>alejamiento medio mayor a límites</v>
      </c>
      <c r="F34" s="60"/>
      <c r="G34" s="61"/>
    </row>
    <row r="35" spans="1:7" x14ac:dyDescent="0.3">
      <c r="A35" s="68" t="s">
        <v>15</v>
      </c>
      <c r="B35" s="69"/>
      <c r="C35" s="70"/>
      <c r="E35" s="68" t="s">
        <v>15</v>
      </c>
      <c r="F35" s="69"/>
      <c r="G35" s="70"/>
    </row>
    <row r="36" spans="1:7" x14ac:dyDescent="0.3">
      <c r="A36" s="12" t="s">
        <v>4</v>
      </c>
      <c r="B36" s="82">
        <f>+B5</f>
        <v>54.3</v>
      </c>
      <c r="C36" s="78"/>
      <c r="E36" s="12" t="s">
        <v>4</v>
      </c>
      <c r="F36" s="82">
        <f>+F5</f>
        <v>47.5</v>
      </c>
      <c r="G36" s="78"/>
    </row>
    <row r="37" spans="1:7" x14ac:dyDescent="0.3">
      <c r="A37" s="12" t="s">
        <v>7</v>
      </c>
      <c r="B37" s="77">
        <f>+B4</f>
        <v>8.1</v>
      </c>
      <c r="C37" s="78"/>
      <c r="E37" s="12" t="s">
        <v>7</v>
      </c>
      <c r="F37" s="77">
        <f>+F4</f>
        <v>8.1999999999999993</v>
      </c>
      <c r="G37" s="78"/>
    </row>
    <row r="38" spans="1:7" x14ac:dyDescent="0.3">
      <c r="A38" s="12" t="s">
        <v>5</v>
      </c>
      <c r="B38" s="79">
        <f>+B7</f>
        <v>413.1</v>
      </c>
      <c r="C38" s="78"/>
      <c r="E38" s="12" t="s">
        <v>5</v>
      </c>
      <c r="F38" s="79">
        <f>+F7</f>
        <v>328</v>
      </c>
      <c r="G38" s="78"/>
    </row>
    <row r="39" spans="1:7" x14ac:dyDescent="0.3">
      <c r="A39" s="24">
        <f>+B37/3600</f>
        <v>2.2499999999999998E-3</v>
      </c>
      <c r="B39" s="1" t="s">
        <v>16</v>
      </c>
      <c r="C39" s="21">
        <f>+(B37/3600)+1.5</f>
        <v>1.5022500000000001</v>
      </c>
      <c r="E39" s="24">
        <f>+F37/3600</f>
        <v>2.2777777777777774E-3</v>
      </c>
      <c r="F39" s="1" t="s">
        <v>16</v>
      </c>
      <c r="G39" s="21">
        <f>+(F37/3600)+1.5</f>
        <v>1.5022777777777778</v>
      </c>
    </row>
    <row r="40" spans="1:7" x14ac:dyDescent="0.3">
      <c r="A40" s="12" t="s">
        <v>8</v>
      </c>
      <c r="B40" s="80">
        <f>+(4*(B36^0.5)+1.5*B37)/(0.8*(B38^0.5))</f>
        <v>2.5600059581527113</v>
      </c>
      <c r="C40" s="81"/>
      <c r="E40" s="12" t="s">
        <v>8</v>
      </c>
      <c r="F40" s="80">
        <f>+(4*(F36^0.5)+1.5*F37)/(0.8*(F38^0.5))</f>
        <v>2.7516842806796413</v>
      </c>
      <c r="G40" s="81"/>
    </row>
    <row r="41" spans="1:7" x14ac:dyDescent="0.3">
      <c r="A41" s="12" t="s">
        <v>8</v>
      </c>
      <c r="B41" s="57">
        <f>+B40*60</f>
        <v>153.60035748916266</v>
      </c>
      <c r="C41" s="58"/>
      <c r="E41" s="12" t="s">
        <v>8</v>
      </c>
      <c r="F41" s="57">
        <f>+F40*60</f>
        <v>165.10105684077848</v>
      </c>
      <c r="G41" s="58"/>
    </row>
    <row r="42" spans="1:7" ht="16.2" thickBot="1" x14ac:dyDescent="0.35">
      <c r="A42" s="59" t="str">
        <f>+IF(B40&lt;A39,"tiempo de cosncentración menor a límites",IF(B40&gt;C39,"tiempo de cosncentración mayor a límites","tiempo de cosncentración cumple con límites"))</f>
        <v>tiempo de cosncentración mayor a límites</v>
      </c>
      <c r="B42" s="60"/>
      <c r="C42" s="61"/>
      <c r="E42" s="59" t="str">
        <f>+IF(F40&lt;E39,"tiempo de cosncentración menor a límites",IF(F40&gt;G39,"tiempo de cosncentración mayor a límites","tiempo de cosncentración cumple con límites"))</f>
        <v>tiempo de cosncentración mayor a límites</v>
      </c>
      <c r="F42" s="60"/>
      <c r="G42" s="61"/>
    </row>
    <row r="43" spans="1:7" ht="18" thickBot="1" x14ac:dyDescent="0.35">
      <c r="A43" s="71" t="s">
        <v>28</v>
      </c>
      <c r="B43" s="72"/>
      <c r="C43" s="72"/>
      <c r="D43" s="72"/>
      <c r="E43" s="72"/>
      <c r="F43" s="72"/>
      <c r="G43" s="73"/>
    </row>
    <row r="44" spans="1:7" x14ac:dyDescent="0.3">
      <c r="A44" s="74" t="s">
        <v>20</v>
      </c>
      <c r="B44" s="75"/>
      <c r="C44" s="76"/>
      <c r="E44" s="74" t="s">
        <v>24</v>
      </c>
      <c r="F44" s="75"/>
      <c r="G44" s="76"/>
    </row>
    <row r="45" spans="1:7" x14ac:dyDescent="0.3">
      <c r="A45" s="89" t="s">
        <v>1</v>
      </c>
      <c r="B45" s="90"/>
      <c r="C45" s="91"/>
      <c r="E45" s="89" t="s">
        <v>1</v>
      </c>
      <c r="F45" s="90"/>
      <c r="G45" s="91"/>
    </row>
    <row r="46" spans="1:7" x14ac:dyDescent="0.3">
      <c r="A46" s="2" t="s">
        <v>2</v>
      </c>
      <c r="B46" s="5">
        <v>9.1</v>
      </c>
      <c r="C46" s="6">
        <f>B46*1000</f>
        <v>9100</v>
      </c>
      <c r="E46" s="2" t="s">
        <v>2</v>
      </c>
      <c r="F46" s="5">
        <v>10.1</v>
      </c>
      <c r="G46" s="6">
        <f>F46*1000</f>
        <v>10100</v>
      </c>
    </row>
    <row r="47" spans="1:7" x14ac:dyDescent="0.3">
      <c r="A47" s="2" t="s">
        <v>3</v>
      </c>
      <c r="B47" s="7">
        <v>49.8</v>
      </c>
      <c r="C47" s="8">
        <f>B47*1000000</f>
        <v>49800000</v>
      </c>
      <c r="E47" s="2" t="s">
        <v>3</v>
      </c>
      <c r="F47" s="7">
        <v>36.4</v>
      </c>
      <c r="G47" s="8">
        <f>F47*1000000</f>
        <v>36400000</v>
      </c>
    </row>
    <row r="48" spans="1:7" x14ac:dyDescent="0.3">
      <c r="A48" s="2" t="s">
        <v>4</v>
      </c>
      <c r="B48" s="9">
        <v>3</v>
      </c>
      <c r="C48" s="29">
        <f>B48/100</f>
        <v>0.03</v>
      </c>
      <c r="E48" s="2" t="s">
        <v>4</v>
      </c>
      <c r="F48" s="9">
        <v>4.0999999999999996</v>
      </c>
      <c r="G48" s="29">
        <f>F48/100</f>
        <v>4.0999999999999995E-2</v>
      </c>
    </row>
    <row r="49" spans="1:7" x14ac:dyDescent="0.3">
      <c r="A49" s="2" t="s">
        <v>5</v>
      </c>
      <c r="B49" s="64">
        <v>273</v>
      </c>
      <c r="C49" s="65"/>
      <c r="E49" s="2" t="s">
        <v>5</v>
      </c>
      <c r="F49" s="64">
        <v>414.1</v>
      </c>
      <c r="G49" s="65"/>
    </row>
    <row r="50" spans="1:7" ht="16.2" thickBot="1" x14ac:dyDescent="0.35">
      <c r="A50" s="11" t="s">
        <v>27</v>
      </c>
      <c r="B50" s="66">
        <v>0.41</v>
      </c>
      <c r="C50" s="67"/>
      <c r="E50" s="11" t="s">
        <v>27</v>
      </c>
      <c r="F50" s="66">
        <v>0.52</v>
      </c>
      <c r="G50" s="67"/>
    </row>
    <row r="51" spans="1:7" x14ac:dyDescent="0.3">
      <c r="A51" s="62" t="s">
        <v>6</v>
      </c>
      <c r="B51" s="63"/>
      <c r="F51" s="62" t="s">
        <v>6</v>
      </c>
      <c r="G51" s="63"/>
    </row>
    <row r="52" spans="1:7" x14ac:dyDescent="0.3">
      <c r="A52" s="12" t="s">
        <v>7</v>
      </c>
      <c r="B52" s="13">
        <f>+C46</f>
        <v>9100</v>
      </c>
      <c r="F52" s="12" t="s">
        <v>7</v>
      </c>
      <c r="G52" s="13">
        <f>+G46</f>
        <v>10100</v>
      </c>
    </row>
    <row r="53" spans="1:7" x14ac:dyDescent="0.3">
      <c r="A53" s="12" t="s">
        <v>4</v>
      </c>
      <c r="B53" s="31">
        <f>+C48</f>
        <v>0.03</v>
      </c>
      <c r="F53" s="12" t="s">
        <v>4</v>
      </c>
      <c r="G53" s="14">
        <f>+G48</f>
        <v>4.0999999999999995E-2</v>
      </c>
    </row>
    <row r="54" spans="1:7" ht="16.2" thickBot="1" x14ac:dyDescent="0.35">
      <c r="A54" s="15" t="s">
        <v>8</v>
      </c>
      <c r="B54" s="16">
        <f>0.02*(B52^0.77)*(B53^-0.385)</f>
        <v>86.258158976706596</v>
      </c>
      <c r="F54" s="15" t="s">
        <v>8</v>
      </c>
      <c r="G54" s="16">
        <f>0.02*(G52^0.77)*(G53^-0.385)</f>
        <v>82.877314231440195</v>
      </c>
    </row>
    <row r="55" spans="1:7" ht="16.2" thickBot="1" x14ac:dyDescent="0.35"/>
    <row r="56" spans="1:7" x14ac:dyDescent="0.3">
      <c r="A56" s="68" t="s">
        <v>9</v>
      </c>
      <c r="B56" s="69"/>
      <c r="C56" s="70"/>
      <c r="E56" s="68" t="s">
        <v>9</v>
      </c>
      <c r="F56" s="69"/>
      <c r="G56" s="70"/>
    </row>
    <row r="57" spans="1:7" x14ac:dyDescent="0.3">
      <c r="A57" s="12" t="s">
        <v>10</v>
      </c>
      <c r="B57" s="86">
        <f>+B48</f>
        <v>3</v>
      </c>
      <c r="C57" s="92"/>
      <c r="E57" s="12" t="s">
        <v>10</v>
      </c>
      <c r="F57" s="86">
        <f>+F48</f>
        <v>4.0999999999999996</v>
      </c>
      <c r="G57" s="92"/>
    </row>
    <row r="58" spans="1:7" x14ac:dyDescent="0.3">
      <c r="A58" s="12" t="s">
        <v>11</v>
      </c>
      <c r="B58" s="82">
        <f>+B47</f>
        <v>49.8</v>
      </c>
      <c r="C58" s="87"/>
      <c r="E58" s="12" t="s">
        <v>11</v>
      </c>
      <c r="F58" s="82">
        <f>+F47</f>
        <v>36.4</v>
      </c>
      <c r="G58" s="87"/>
    </row>
    <row r="59" spans="1:7" x14ac:dyDescent="0.3">
      <c r="A59" s="12" t="s">
        <v>7</v>
      </c>
      <c r="B59" s="77">
        <f>+B46</f>
        <v>9.1</v>
      </c>
      <c r="C59" s="88"/>
      <c r="E59" s="12" t="s">
        <v>7</v>
      </c>
      <c r="F59" s="77">
        <f>+F46</f>
        <v>10.1</v>
      </c>
      <c r="G59" s="88"/>
    </row>
    <row r="60" spans="1:7" x14ac:dyDescent="0.3">
      <c r="A60" s="12" t="s">
        <v>12</v>
      </c>
      <c r="B60" s="84">
        <f>+B59/(B58^0.5)</f>
        <v>1.2895159578781838</v>
      </c>
      <c r="C60" s="85"/>
      <c r="E60" s="12" t="s">
        <v>12</v>
      </c>
      <c r="F60" s="84">
        <f>+F59/(F58^0.5)</f>
        <v>1.6740586989327846</v>
      </c>
      <c r="G60" s="85"/>
    </row>
    <row r="61" spans="1:7" x14ac:dyDescent="0.3">
      <c r="A61" s="12">
        <v>0.05</v>
      </c>
      <c r="B61" s="1" t="s">
        <v>13</v>
      </c>
      <c r="C61" s="19">
        <v>0.5</v>
      </c>
      <c r="E61" s="12">
        <v>0.05</v>
      </c>
      <c r="F61" s="1" t="s">
        <v>13</v>
      </c>
      <c r="G61" s="19">
        <v>0.5</v>
      </c>
    </row>
    <row r="62" spans="1:7" x14ac:dyDescent="0.3">
      <c r="A62" s="12" t="s">
        <v>12</v>
      </c>
      <c r="B62" s="83">
        <f>+IF(B60&lt;A61,A61,IF(B60&gt;C61,C61,B60))</f>
        <v>0.5</v>
      </c>
      <c r="C62" s="78"/>
      <c r="E62" s="12" t="s">
        <v>12</v>
      </c>
      <c r="F62" s="83">
        <f>+IF(F60&lt;E61,E61,IF(F60&gt;G61,G61,F60))</f>
        <v>0.5</v>
      </c>
      <c r="G62" s="78"/>
    </row>
    <row r="63" spans="1:7" x14ac:dyDescent="0.3">
      <c r="A63" s="12" t="s">
        <v>8</v>
      </c>
      <c r="B63" s="80">
        <f>+B62*((B58^0.5)/B57)</f>
        <v>1.1761519176251567</v>
      </c>
      <c r="C63" s="81"/>
      <c r="E63" s="12" t="s">
        <v>8</v>
      </c>
      <c r="F63" s="80">
        <f>+F62*((F58^0.5)/F57)</f>
        <v>0.73576112824382234</v>
      </c>
      <c r="G63" s="81"/>
    </row>
    <row r="64" spans="1:7" x14ac:dyDescent="0.3">
      <c r="A64" s="12" t="s">
        <v>8</v>
      </c>
      <c r="B64" s="57">
        <f>+B63*60</f>
        <v>70.569115057509407</v>
      </c>
      <c r="C64" s="58"/>
      <c r="E64" s="12" t="s">
        <v>8</v>
      </c>
      <c r="F64" s="57">
        <f>+F63*60</f>
        <v>44.145667694629338</v>
      </c>
      <c r="G64" s="58"/>
    </row>
    <row r="65" spans="1:7" ht="16.2" thickBot="1" x14ac:dyDescent="0.35">
      <c r="A65" s="59" t="str">
        <f>+IF(B60&lt;A61,"alejamiento medio menor a límites",IF(B60&gt;C61,"alejamiento medio mayor a límites","alejamiento medio cumple con límites"))</f>
        <v>alejamiento medio mayor a límites</v>
      </c>
      <c r="B65" s="60"/>
      <c r="C65" s="61"/>
      <c r="E65" s="59" t="str">
        <f>+IF(F60&lt;E61,"alejamiento medio menor a límites",IF(F60&gt;G61,"alejamiento medio mayor a límites","alejamiento medio cumple con límites"))</f>
        <v>alejamiento medio mayor a límites</v>
      </c>
      <c r="F65" s="60"/>
      <c r="G65" s="61"/>
    </row>
    <row r="66" spans="1:7" ht="16.2" thickBot="1" x14ac:dyDescent="0.35"/>
    <row r="67" spans="1:7" x14ac:dyDescent="0.3">
      <c r="A67" s="68" t="s">
        <v>14</v>
      </c>
      <c r="B67" s="69"/>
      <c r="C67" s="70"/>
      <c r="E67" s="68" t="s">
        <v>14</v>
      </c>
      <c r="F67" s="69"/>
      <c r="G67" s="70"/>
    </row>
    <row r="68" spans="1:7" x14ac:dyDescent="0.3">
      <c r="A68" s="12" t="s">
        <v>10</v>
      </c>
      <c r="B68" s="86">
        <f>+B48</f>
        <v>3</v>
      </c>
      <c r="C68" s="78"/>
      <c r="E68" s="12" t="s">
        <v>10</v>
      </c>
      <c r="F68" s="86">
        <f>+F48</f>
        <v>4.0999999999999996</v>
      </c>
      <c r="G68" s="78"/>
    </row>
    <row r="69" spans="1:7" x14ac:dyDescent="0.3">
      <c r="A69" s="12" t="s">
        <v>11</v>
      </c>
      <c r="B69" s="82">
        <f>+B47</f>
        <v>49.8</v>
      </c>
      <c r="C69" s="78"/>
      <c r="E69" s="12" t="s">
        <v>11</v>
      </c>
      <c r="F69" s="82">
        <f>+F47</f>
        <v>36.4</v>
      </c>
      <c r="G69" s="78"/>
    </row>
    <row r="70" spans="1:7" x14ac:dyDescent="0.3">
      <c r="A70" s="12" t="s">
        <v>7</v>
      </c>
      <c r="B70" s="77">
        <f>+B46</f>
        <v>9.1</v>
      </c>
      <c r="C70" s="78"/>
      <c r="E70" s="12" t="s">
        <v>7</v>
      </c>
      <c r="F70" s="77">
        <f>+F46</f>
        <v>10.1</v>
      </c>
      <c r="G70" s="78"/>
    </row>
    <row r="71" spans="1:7" x14ac:dyDescent="0.3">
      <c r="A71" s="12" t="s">
        <v>12</v>
      </c>
      <c r="B71" s="84">
        <f>+B70/(B69^0.5)</f>
        <v>1.2895159578781838</v>
      </c>
      <c r="C71" s="85"/>
      <c r="E71" s="12" t="s">
        <v>12</v>
      </c>
      <c r="F71" s="84">
        <f>+F70/(F69^0.5)</f>
        <v>1.6740586989327846</v>
      </c>
      <c r="G71" s="85"/>
    </row>
    <row r="72" spans="1:7" x14ac:dyDescent="0.3">
      <c r="A72" s="12">
        <v>0.04</v>
      </c>
      <c r="B72" s="1" t="s">
        <v>13</v>
      </c>
      <c r="C72" s="19">
        <v>0.13</v>
      </c>
      <c r="E72" s="12">
        <v>0.04</v>
      </c>
      <c r="F72" s="1" t="s">
        <v>13</v>
      </c>
      <c r="G72" s="19">
        <v>0.13</v>
      </c>
    </row>
    <row r="73" spans="1:7" x14ac:dyDescent="0.3">
      <c r="A73" s="12" t="s">
        <v>12</v>
      </c>
      <c r="B73" s="83">
        <f>+IF(B71&lt;A72,A72,IF(B71&gt;C72,C72,B71))</f>
        <v>0.13</v>
      </c>
      <c r="C73" s="78"/>
      <c r="E73" s="12" t="s">
        <v>12</v>
      </c>
      <c r="F73" s="83">
        <f>+IF(F71&lt;E72,E72,IF(F71&gt;G72,G72,F71))</f>
        <v>0.13</v>
      </c>
      <c r="G73" s="78"/>
    </row>
    <row r="74" spans="1:7" x14ac:dyDescent="0.3">
      <c r="A74" s="12" t="s">
        <v>8</v>
      </c>
      <c r="B74" s="80">
        <f>+B73*((B69*B70)^(1/3))/(B68^0.5)</f>
        <v>0.57650928110797828</v>
      </c>
      <c r="C74" s="81"/>
      <c r="E74" s="12" t="s">
        <v>8</v>
      </c>
      <c r="F74" s="80">
        <f>+F73*((F69*F70)^(1/3))/(F68^0.5)</f>
        <v>0.45993064042535131</v>
      </c>
      <c r="G74" s="81"/>
    </row>
    <row r="75" spans="1:7" x14ac:dyDescent="0.3">
      <c r="A75" s="12" t="s">
        <v>8</v>
      </c>
      <c r="B75" s="57">
        <f>+B74*60</f>
        <v>34.5905568664787</v>
      </c>
      <c r="C75" s="58"/>
      <c r="E75" s="12" t="s">
        <v>8</v>
      </c>
      <c r="F75" s="57">
        <f>+F74*60</f>
        <v>27.59583842552108</v>
      </c>
      <c r="G75" s="58"/>
    </row>
    <row r="76" spans="1:7" ht="16.2" thickBot="1" x14ac:dyDescent="0.35">
      <c r="A76" s="59" t="str">
        <f>+IF(B71&lt;A72,"alejamiento medio menor a límites",IF(B71&gt;C72,"alejamiento medio mayor a límites","alejamiento medio cumple con límites"))</f>
        <v>alejamiento medio mayor a límites</v>
      </c>
      <c r="B76" s="60"/>
      <c r="C76" s="61"/>
      <c r="E76" s="59" t="str">
        <f>+IF(F71&lt;E72,"alejamiento medio menor a límites",IF(F71&gt;G72,"alejamiento medio mayor a límites","alejamiento medio cumple con límites"))</f>
        <v>alejamiento medio mayor a límites</v>
      </c>
      <c r="F76" s="60"/>
      <c r="G76" s="61"/>
    </row>
    <row r="77" spans="1:7" x14ac:dyDescent="0.3">
      <c r="A77" s="68" t="s">
        <v>15</v>
      </c>
      <c r="B77" s="69"/>
      <c r="C77" s="70"/>
      <c r="E77" s="68" t="s">
        <v>15</v>
      </c>
      <c r="F77" s="69"/>
      <c r="G77" s="70"/>
    </row>
    <row r="78" spans="1:7" x14ac:dyDescent="0.3">
      <c r="A78" s="12" t="s">
        <v>4</v>
      </c>
      <c r="B78" s="82">
        <f>+B47</f>
        <v>49.8</v>
      </c>
      <c r="C78" s="78"/>
      <c r="E78" s="12" t="s">
        <v>4</v>
      </c>
      <c r="F78" s="82">
        <f>+F47</f>
        <v>36.4</v>
      </c>
      <c r="G78" s="78"/>
    </row>
    <row r="79" spans="1:7" x14ac:dyDescent="0.3">
      <c r="A79" s="12" t="s">
        <v>7</v>
      </c>
      <c r="B79" s="77">
        <f>+B46</f>
        <v>9.1</v>
      </c>
      <c r="C79" s="78"/>
      <c r="E79" s="12" t="s">
        <v>7</v>
      </c>
      <c r="F79" s="77">
        <f>+F46</f>
        <v>10.1</v>
      </c>
      <c r="G79" s="78"/>
    </row>
    <row r="80" spans="1:7" x14ac:dyDescent="0.3">
      <c r="A80" s="12" t="s">
        <v>5</v>
      </c>
      <c r="B80" s="79">
        <f>+B49</f>
        <v>273</v>
      </c>
      <c r="C80" s="78"/>
      <c r="E80" s="12" t="s">
        <v>5</v>
      </c>
      <c r="F80" s="79">
        <f>+F49</f>
        <v>414.1</v>
      </c>
      <c r="G80" s="78"/>
    </row>
    <row r="81" spans="1:7" x14ac:dyDescent="0.3">
      <c r="A81" s="24">
        <f>+B79/3600</f>
        <v>2.5277777777777777E-3</v>
      </c>
      <c r="B81" s="1" t="s">
        <v>16</v>
      </c>
      <c r="C81" s="21">
        <f>+(B79/3600)+1.5</f>
        <v>1.5025277777777777</v>
      </c>
      <c r="E81" s="24">
        <f>+F79/3600</f>
        <v>2.8055555555555555E-3</v>
      </c>
      <c r="F81" s="1" t="s">
        <v>16</v>
      </c>
      <c r="G81" s="21">
        <f>+(F79/3600)+1.5</f>
        <v>1.5028055555555555</v>
      </c>
    </row>
    <row r="82" spans="1:7" x14ac:dyDescent="0.3">
      <c r="A82" s="12" t="s">
        <v>8</v>
      </c>
      <c r="B82" s="80">
        <f>+(4*(B78^0.5)+1.5*B79)/(0.8*(B80^0.5))</f>
        <v>3.1681880470600068</v>
      </c>
      <c r="C82" s="81"/>
      <c r="E82" s="12" t="s">
        <v>8</v>
      </c>
      <c r="F82" s="80">
        <f>+(4*(F78^0.5)+1.5*F79)/(0.8*(F80^0.5))</f>
        <v>2.4130240912773377</v>
      </c>
      <c r="G82" s="81"/>
    </row>
    <row r="83" spans="1:7" x14ac:dyDescent="0.3">
      <c r="A83" s="12" t="s">
        <v>8</v>
      </c>
      <c r="B83" s="57">
        <f>+B82*60</f>
        <v>190.09128282360041</v>
      </c>
      <c r="C83" s="58"/>
      <c r="E83" s="12" t="s">
        <v>8</v>
      </c>
      <c r="F83" s="57">
        <f>+F82*60</f>
        <v>144.78144547664027</v>
      </c>
      <c r="G83" s="58"/>
    </row>
    <row r="84" spans="1:7" ht="16.2" thickBot="1" x14ac:dyDescent="0.35">
      <c r="A84" s="59" t="str">
        <f>+IF(B82&lt;A81,"tiempo de cosncentración menor a límites",IF(B82&gt;C81,"tiempo de cosncentración mayor a límites","tiempo de cosncentración cumple con límites"))</f>
        <v>tiempo de cosncentración mayor a límites</v>
      </c>
      <c r="B84" s="60"/>
      <c r="C84" s="61"/>
      <c r="E84" s="59" t="str">
        <f>+IF(F82&lt;E81,"tiempo de cosncentración menor a límites",IF(F82&gt;G81,"tiempo de cosncentración mayor a límites","tiempo de cosncentración cumple con límites"))</f>
        <v>tiempo de cosncentración mayor a límites</v>
      </c>
      <c r="F84" s="60"/>
      <c r="G84" s="61"/>
    </row>
    <row r="85" spans="1:7" ht="18" thickBot="1" x14ac:dyDescent="0.35">
      <c r="A85" s="71" t="s">
        <v>28</v>
      </c>
      <c r="B85" s="72"/>
      <c r="C85" s="72"/>
      <c r="D85" s="72"/>
      <c r="E85" s="72"/>
      <c r="F85" s="72"/>
      <c r="G85" s="73"/>
    </row>
    <row r="86" spans="1:7" x14ac:dyDescent="0.3">
      <c r="A86" s="74" t="s">
        <v>25</v>
      </c>
      <c r="B86" s="75"/>
      <c r="C86" s="76"/>
      <c r="E86" s="74" t="s">
        <v>26</v>
      </c>
      <c r="F86" s="75"/>
      <c r="G86" s="76"/>
    </row>
    <row r="87" spans="1:7" x14ac:dyDescent="0.3">
      <c r="A87" s="89" t="s">
        <v>1</v>
      </c>
      <c r="B87" s="90"/>
      <c r="C87" s="91"/>
      <c r="E87" s="89" t="s">
        <v>1</v>
      </c>
      <c r="F87" s="90"/>
      <c r="G87" s="91"/>
    </row>
    <row r="88" spans="1:7" x14ac:dyDescent="0.3">
      <c r="A88" s="2" t="s">
        <v>2</v>
      </c>
      <c r="B88" s="5">
        <v>3.1</v>
      </c>
      <c r="C88" s="6">
        <f>B88*1000</f>
        <v>3100</v>
      </c>
      <c r="E88" s="2" t="s">
        <v>2</v>
      </c>
      <c r="F88" s="5">
        <v>0</v>
      </c>
      <c r="G88" s="6">
        <f>F88*1000</f>
        <v>0</v>
      </c>
    </row>
    <row r="89" spans="1:7" x14ac:dyDescent="0.3">
      <c r="A89" s="2" t="s">
        <v>3</v>
      </c>
      <c r="B89" s="7">
        <v>45.5</v>
      </c>
      <c r="C89" s="8">
        <f>B89*1000000</f>
        <v>45500000</v>
      </c>
      <c r="E89" s="2" t="s">
        <v>3</v>
      </c>
      <c r="F89" s="7">
        <v>0</v>
      </c>
      <c r="G89" s="8">
        <f>F89*1000000</f>
        <v>0</v>
      </c>
    </row>
    <row r="90" spans="1:7" x14ac:dyDescent="0.3">
      <c r="A90" s="2" t="s">
        <v>4</v>
      </c>
      <c r="B90" s="9">
        <v>1.8</v>
      </c>
      <c r="C90" s="29">
        <f>B90/100</f>
        <v>1.8000000000000002E-2</v>
      </c>
      <c r="E90" s="2" t="s">
        <v>4</v>
      </c>
      <c r="F90" s="9">
        <v>0</v>
      </c>
      <c r="G90" s="29">
        <f>F90/100</f>
        <v>0</v>
      </c>
    </row>
    <row r="91" spans="1:7" x14ac:dyDescent="0.3">
      <c r="A91" s="2" t="s">
        <v>5</v>
      </c>
      <c r="B91" s="64">
        <v>55.8</v>
      </c>
      <c r="C91" s="65"/>
      <c r="E91" s="2" t="s">
        <v>5</v>
      </c>
      <c r="F91" s="64">
        <v>0</v>
      </c>
      <c r="G91" s="65"/>
    </row>
    <row r="92" spans="1:7" ht="16.2" thickBot="1" x14ac:dyDescent="0.35">
      <c r="A92" s="11" t="s">
        <v>27</v>
      </c>
      <c r="B92" s="66">
        <v>0.44</v>
      </c>
      <c r="C92" s="67"/>
      <c r="E92" s="11" t="s">
        <v>27</v>
      </c>
      <c r="F92" s="66">
        <v>0</v>
      </c>
      <c r="G92" s="67"/>
    </row>
    <row r="93" spans="1:7" x14ac:dyDescent="0.3">
      <c r="A93" s="62" t="s">
        <v>6</v>
      </c>
      <c r="B93" s="63"/>
      <c r="F93" s="62" t="s">
        <v>6</v>
      </c>
      <c r="G93" s="63"/>
    </row>
    <row r="94" spans="1:7" x14ac:dyDescent="0.3">
      <c r="A94" s="12" t="s">
        <v>7</v>
      </c>
      <c r="B94" s="13">
        <f>+C88</f>
        <v>3100</v>
      </c>
      <c r="F94" s="12" t="s">
        <v>7</v>
      </c>
      <c r="G94" s="13">
        <f>+G88</f>
        <v>0</v>
      </c>
    </row>
    <row r="95" spans="1:7" x14ac:dyDescent="0.3">
      <c r="A95" s="12" t="s">
        <v>4</v>
      </c>
      <c r="B95" s="31">
        <f>+C90</f>
        <v>1.8000000000000002E-2</v>
      </c>
      <c r="F95" s="12" t="s">
        <v>4</v>
      </c>
      <c r="G95" s="14">
        <f>+G90</f>
        <v>0</v>
      </c>
    </row>
    <row r="96" spans="1:7" ht="16.2" thickBot="1" x14ac:dyDescent="0.35">
      <c r="A96" s="15" t="s">
        <v>8</v>
      </c>
      <c r="B96" s="16">
        <f>0.02*(B94^0.77)*(B95^-0.385)</f>
        <v>45.82458973650359</v>
      </c>
      <c r="F96" s="15" t="s">
        <v>8</v>
      </c>
      <c r="G96" s="16" t="e">
        <f>0.02*(G94^0.77)*(G95^-0.385)</f>
        <v>#DIV/0!</v>
      </c>
    </row>
    <row r="97" spans="1:7" ht="16.2" thickBot="1" x14ac:dyDescent="0.35"/>
    <row r="98" spans="1:7" x14ac:dyDescent="0.3">
      <c r="A98" s="68" t="s">
        <v>9</v>
      </c>
      <c r="B98" s="69"/>
      <c r="C98" s="70"/>
      <c r="E98" s="68" t="s">
        <v>9</v>
      </c>
      <c r="F98" s="69"/>
      <c r="G98" s="70"/>
    </row>
    <row r="99" spans="1:7" x14ac:dyDescent="0.3">
      <c r="A99" s="12" t="s">
        <v>10</v>
      </c>
      <c r="B99" s="86">
        <f>+B90</f>
        <v>1.8</v>
      </c>
      <c r="C99" s="92"/>
      <c r="E99" s="12" t="s">
        <v>10</v>
      </c>
      <c r="F99" s="86">
        <f>+F90</f>
        <v>0</v>
      </c>
      <c r="G99" s="92"/>
    </row>
    <row r="100" spans="1:7" x14ac:dyDescent="0.3">
      <c r="A100" s="12" t="s">
        <v>11</v>
      </c>
      <c r="B100" s="82">
        <f>+B89</f>
        <v>45.5</v>
      </c>
      <c r="C100" s="87"/>
      <c r="E100" s="12" t="s">
        <v>11</v>
      </c>
      <c r="F100" s="82">
        <f>+F89</f>
        <v>0</v>
      </c>
      <c r="G100" s="87"/>
    </row>
    <row r="101" spans="1:7" x14ac:dyDescent="0.3">
      <c r="A101" s="12" t="s">
        <v>7</v>
      </c>
      <c r="B101" s="77">
        <f>+B88</f>
        <v>3.1</v>
      </c>
      <c r="C101" s="88"/>
      <c r="E101" s="12" t="s">
        <v>7</v>
      </c>
      <c r="F101" s="77">
        <f>+F88</f>
        <v>0</v>
      </c>
      <c r="G101" s="88"/>
    </row>
    <row r="102" spans="1:7" x14ac:dyDescent="0.3">
      <c r="A102" s="12" t="s">
        <v>12</v>
      </c>
      <c r="B102" s="84">
        <f>+B101/(B100^0.5)</f>
        <v>0.45957457632988274</v>
      </c>
      <c r="C102" s="85"/>
      <c r="E102" s="12" t="s">
        <v>12</v>
      </c>
      <c r="F102" s="84" t="e">
        <f>+F101/(F100^0.5)</f>
        <v>#DIV/0!</v>
      </c>
      <c r="G102" s="85"/>
    </row>
    <row r="103" spans="1:7" x14ac:dyDescent="0.3">
      <c r="A103" s="12">
        <v>0.05</v>
      </c>
      <c r="B103" s="1" t="s">
        <v>13</v>
      </c>
      <c r="C103" s="19">
        <v>0.5</v>
      </c>
      <c r="E103" s="12">
        <v>0.05</v>
      </c>
      <c r="F103" s="1" t="s">
        <v>13</v>
      </c>
      <c r="G103" s="19">
        <v>0.5</v>
      </c>
    </row>
    <row r="104" spans="1:7" x14ac:dyDescent="0.3">
      <c r="A104" s="12" t="s">
        <v>12</v>
      </c>
      <c r="B104" s="83">
        <f>+IF(B102&lt;A103,A103,IF(B102&gt;C103,C103,B102))</f>
        <v>0.45957457632988274</v>
      </c>
      <c r="C104" s="78"/>
      <c r="E104" s="12" t="s">
        <v>12</v>
      </c>
      <c r="F104" s="83" t="e">
        <f>+IF(F102&lt;E103,E103,IF(F102&gt;G103,G103,F102))</f>
        <v>#DIV/0!</v>
      </c>
      <c r="G104" s="78"/>
    </row>
    <row r="105" spans="1:7" x14ac:dyDescent="0.3">
      <c r="A105" s="12" t="s">
        <v>8</v>
      </c>
      <c r="B105" s="80">
        <f>+B104*((B100^0.5)/B99)</f>
        <v>1.7222222222222223</v>
      </c>
      <c r="C105" s="81"/>
      <c r="E105" s="12" t="s">
        <v>8</v>
      </c>
      <c r="F105" s="80" t="e">
        <f>+F104*((F100^0.5)/F99)</f>
        <v>#DIV/0!</v>
      </c>
      <c r="G105" s="81"/>
    </row>
    <row r="106" spans="1:7" x14ac:dyDescent="0.3">
      <c r="A106" s="12" t="s">
        <v>8</v>
      </c>
      <c r="B106" s="57">
        <f>+B105*60</f>
        <v>103.33333333333334</v>
      </c>
      <c r="C106" s="58"/>
      <c r="E106" s="12" t="s">
        <v>8</v>
      </c>
      <c r="F106" s="57" t="e">
        <f>+F105*60</f>
        <v>#DIV/0!</v>
      </c>
      <c r="G106" s="58"/>
    </row>
    <row r="107" spans="1:7" ht="16.2" thickBot="1" x14ac:dyDescent="0.35">
      <c r="A107" s="59" t="str">
        <f>+IF(B102&lt;A103,"alejamiento medio menor a límites",IF(B102&gt;C103,"alejamiento medio mayor a límites","alejamiento medio cumple con límites"))</f>
        <v>alejamiento medio cumple con límites</v>
      </c>
      <c r="B107" s="60"/>
      <c r="C107" s="61"/>
      <c r="E107" s="59" t="e">
        <f>+IF(F102&lt;E103,"alejamiento medio menor a límites",IF(F102&gt;G103,"alejamiento medio mayor a límites","alejamiento medio cumple con límites"))</f>
        <v>#DIV/0!</v>
      </c>
      <c r="F107" s="60"/>
      <c r="G107" s="61"/>
    </row>
    <row r="108" spans="1:7" ht="16.2" thickBot="1" x14ac:dyDescent="0.35"/>
    <row r="109" spans="1:7" x14ac:dyDescent="0.3">
      <c r="A109" s="68" t="s">
        <v>14</v>
      </c>
      <c r="B109" s="69"/>
      <c r="C109" s="70"/>
      <c r="E109" s="68" t="s">
        <v>14</v>
      </c>
      <c r="F109" s="69"/>
      <c r="G109" s="70"/>
    </row>
    <row r="110" spans="1:7" x14ac:dyDescent="0.3">
      <c r="A110" s="12" t="s">
        <v>10</v>
      </c>
      <c r="B110" s="86">
        <f>+B90</f>
        <v>1.8</v>
      </c>
      <c r="C110" s="78"/>
      <c r="E110" s="12" t="s">
        <v>10</v>
      </c>
      <c r="F110" s="86">
        <f>+F90</f>
        <v>0</v>
      </c>
      <c r="G110" s="78"/>
    </row>
    <row r="111" spans="1:7" x14ac:dyDescent="0.3">
      <c r="A111" s="12" t="s">
        <v>11</v>
      </c>
      <c r="B111" s="82">
        <f>+B89</f>
        <v>45.5</v>
      </c>
      <c r="C111" s="78"/>
      <c r="E111" s="12" t="s">
        <v>11</v>
      </c>
      <c r="F111" s="82">
        <f>+F89</f>
        <v>0</v>
      </c>
      <c r="G111" s="78"/>
    </row>
    <row r="112" spans="1:7" x14ac:dyDescent="0.3">
      <c r="A112" s="12" t="s">
        <v>7</v>
      </c>
      <c r="B112" s="77">
        <f>+B88</f>
        <v>3.1</v>
      </c>
      <c r="C112" s="78"/>
      <c r="E112" s="12" t="s">
        <v>7</v>
      </c>
      <c r="F112" s="77">
        <f>+F88</f>
        <v>0</v>
      </c>
      <c r="G112" s="78"/>
    </row>
    <row r="113" spans="1:7" x14ac:dyDescent="0.3">
      <c r="A113" s="12" t="s">
        <v>12</v>
      </c>
      <c r="B113" s="84">
        <f>+B112/(B111^0.5)</f>
        <v>0.45957457632988274</v>
      </c>
      <c r="C113" s="85"/>
      <c r="E113" s="12" t="s">
        <v>12</v>
      </c>
      <c r="F113" s="84" t="e">
        <f>+F112/(F111^0.5)</f>
        <v>#DIV/0!</v>
      </c>
      <c r="G113" s="85"/>
    </row>
    <row r="114" spans="1:7" x14ac:dyDescent="0.3">
      <c r="A114" s="12">
        <v>0.04</v>
      </c>
      <c r="B114" s="1" t="s">
        <v>13</v>
      </c>
      <c r="C114" s="19">
        <v>0.13</v>
      </c>
      <c r="E114" s="12">
        <v>0.04</v>
      </c>
      <c r="F114" s="1" t="s">
        <v>13</v>
      </c>
      <c r="G114" s="19">
        <v>0.13</v>
      </c>
    </row>
    <row r="115" spans="1:7" x14ac:dyDescent="0.3">
      <c r="A115" s="12" t="s">
        <v>12</v>
      </c>
      <c r="B115" s="83">
        <f>+IF(B113&lt;A114,A114,IF(B113&gt;C114,C114,B113))</f>
        <v>0.13</v>
      </c>
      <c r="C115" s="78"/>
      <c r="E115" s="12" t="s">
        <v>12</v>
      </c>
      <c r="F115" s="83" t="e">
        <f>+IF(F113&lt;E114,E114,IF(F113&gt;G114,G114,F113))</f>
        <v>#DIV/0!</v>
      </c>
      <c r="G115" s="78"/>
    </row>
    <row r="116" spans="1:7" x14ac:dyDescent="0.3">
      <c r="A116" s="12" t="s">
        <v>8</v>
      </c>
      <c r="B116" s="80">
        <f>+B115*((B111*B112)^(1/3))/(B110^0.5)</f>
        <v>0.50438805917569951</v>
      </c>
      <c r="C116" s="81"/>
      <c r="E116" s="12" t="s">
        <v>8</v>
      </c>
      <c r="F116" s="80" t="e">
        <f>+F115*((F111*F112)^(1/3))/(F110^0.5)</f>
        <v>#DIV/0!</v>
      </c>
      <c r="G116" s="81"/>
    </row>
    <row r="117" spans="1:7" x14ac:dyDescent="0.3">
      <c r="A117" s="12" t="s">
        <v>8</v>
      </c>
      <c r="B117" s="57">
        <f>+B116*60</f>
        <v>30.263283550541971</v>
      </c>
      <c r="C117" s="58"/>
      <c r="E117" s="12" t="s">
        <v>8</v>
      </c>
      <c r="F117" s="57" t="e">
        <f>+F116*60</f>
        <v>#DIV/0!</v>
      </c>
      <c r="G117" s="58"/>
    </row>
    <row r="118" spans="1:7" ht="16.2" thickBot="1" x14ac:dyDescent="0.35">
      <c r="A118" s="59" t="str">
        <f>+IF(B113&lt;A114,"alejamiento medio menor a límites",IF(B113&gt;C114,"alejamiento medio mayor a límites","alejamiento medio cumple con límites"))</f>
        <v>alejamiento medio mayor a límites</v>
      </c>
      <c r="B118" s="60"/>
      <c r="C118" s="61"/>
      <c r="E118" s="59" t="e">
        <f>+IF(F113&lt;E114,"alejamiento medio menor a límites",IF(F113&gt;G114,"alejamiento medio mayor a límites","alejamiento medio cumple con límites"))</f>
        <v>#DIV/0!</v>
      </c>
      <c r="F118" s="60"/>
      <c r="G118" s="61"/>
    </row>
    <row r="119" spans="1:7" x14ac:dyDescent="0.3">
      <c r="A119" s="68" t="s">
        <v>15</v>
      </c>
      <c r="B119" s="69"/>
      <c r="C119" s="70"/>
      <c r="E119" s="68" t="s">
        <v>15</v>
      </c>
      <c r="F119" s="69"/>
      <c r="G119" s="70"/>
    </row>
    <row r="120" spans="1:7" x14ac:dyDescent="0.3">
      <c r="A120" s="12" t="s">
        <v>4</v>
      </c>
      <c r="B120" s="82">
        <f>+B89</f>
        <v>45.5</v>
      </c>
      <c r="C120" s="78"/>
      <c r="E120" s="12" t="s">
        <v>4</v>
      </c>
      <c r="F120" s="82">
        <f>+F89</f>
        <v>0</v>
      </c>
      <c r="G120" s="78"/>
    </row>
    <row r="121" spans="1:7" x14ac:dyDescent="0.3">
      <c r="A121" s="12" t="s">
        <v>7</v>
      </c>
      <c r="B121" s="77">
        <f>+B88</f>
        <v>3.1</v>
      </c>
      <c r="C121" s="78"/>
      <c r="E121" s="12" t="s">
        <v>7</v>
      </c>
      <c r="F121" s="77">
        <f>+F88</f>
        <v>0</v>
      </c>
      <c r="G121" s="78"/>
    </row>
    <row r="122" spans="1:7" x14ac:dyDescent="0.3">
      <c r="A122" s="12" t="s">
        <v>5</v>
      </c>
      <c r="B122" s="79">
        <f>+B91</f>
        <v>55.8</v>
      </c>
      <c r="C122" s="78"/>
      <c r="E122" s="12" t="s">
        <v>5</v>
      </c>
      <c r="F122" s="79">
        <f>+F91</f>
        <v>0</v>
      </c>
      <c r="G122" s="78"/>
    </row>
    <row r="123" spans="1:7" x14ac:dyDescent="0.3">
      <c r="A123" s="24">
        <f>+B121/3600</f>
        <v>8.611111111111111E-4</v>
      </c>
      <c r="B123" s="1" t="s">
        <v>16</v>
      </c>
      <c r="C123" s="21">
        <f>+(B121/3600)+1.5</f>
        <v>1.5008611111111112</v>
      </c>
      <c r="E123" s="24">
        <f>+F121/3600</f>
        <v>0</v>
      </c>
      <c r="F123" s="1" t="s">
        <v>16</v>
      </c>
      <c r="G123" s="21">
        <f>+(F121/3600)+1.5</f>
        <v>1.5</v>
      </c>
    </row>
    <row r="124" spans="1:7" x14ac:dyDescent="0.3">
      <c r="A124" s="12" t="s">
        <v>8</v>
      </c>
      <c r="B124" s="80">
        <f>+(4*(B120^0.5)+1.5*B121)/(0.8*(B122^0.5))</f>
        <v>5.2931275465155343</v>
      </c>
      <c r="C124" s="81"/>
      <c r="E124" s="12" t="s">
        <v>8</v>
      </c>
      <c r="F124" s="80" t="e">
        <f>+(4*(F120^0.5)+1.5*F121)/(0.8*(F122^0.5))</f>
        <v>#DIV/0!</v>
      </c>
      <c r="G124" s="81"/>
    </row>
    <row r="125" spans="1:7" x14ac:dyDescent="0.3">
      <c r="A125" s="12" t="s">
        <v>8</v>
      </c>
      <c r="B125" s="57">
        <f>+B124*60</f>
        <v>317.58765279093205</v>
      </c>
      <c r="C125" s="58"/>
      <c r="E125" s="12" t="s">
        <v>8</v>
      </c>
      <c r="F125" s="57" t="e">
        <f>+F124*60</f>
        <v>#DIV/0!</v>
      </c>
      <c r="G125" s="58"/>
    </row>
    <row r="126" spans="1:7" ht="16.2" thickBot="1" x14ac:dyDescent="0.35">
      <c r="A126" s="59" t="str">
        <f>+IF(B124&lt;A123,"tiempo de cosncentración menor a límites",IF(B124&gt;C123,"tiempo de cosncentración mayor a límites","tiempo de cosncentración cumple con límites"))</f>
        <v>tiempo de cosncentración mayor a límites</v>
      </c>
      <c r="B126" s="60"/>
      <c r="C126" s="61"/>
      <c r="E126" s="59" t="e">
        <f>+IF(F124&lt;E123,"tiempo de cosncentración menor a límites",IF(F124&gt;G123,"tiempo de cosncentración mayor a límites","tiempo de cosncentración cumple con límites"))</f>
        <v>#DIV/0!</v>
      </c>
      <c r="F126" s="60"/>
      <c r="G126" s="61"/>
    </row>
    <row r="128" spans="1:7" x14ac:dyDescent="0.3">
      <c r="B128" s="22"/>
      <c r="C128" s="22"/>
      <c r="D128" s="40"/>
      <c r="E128" s="22"/>
    </row>
    <row r="129" spans="1:7" x14ac:dyDescent="0.3">
      <c r="B129" s="22"/>
      <c r="C129" s="22"/>
      <c r="D129" s="40"/>
      <c r="E129" s="22"/>
    </row>
    <row r="130" spans="1:7" x14ac:dyDescent="0.3">
      <c r="B130" s="22"/>
      <c r="C130" s="22"/>
      <c r="D130" s="40"/>
      <c r="E130" s="22"/>
    </row>
    <row r="131" spans="1:7" x14ac:dyDescent="0.3">
      <c r="A131" s="37"/>
      <c r="B131" s="37"/>
      <c r="C131" s="37"/>
      <c r="D131" s="37"/>
    </row>
    <row r="132" spans="1:7" x14ac:dyDescent="0.3">
      <c r="B132" s="37"/>
      <c r="C132" s="37"/>
      <c r="D132" s="37"/>
    </row>
    <row r="133" spans="1:7" x14ac:dyDescent="0.3">
      <c r="B133" s="37"/>
      <c r="C133" s="37"/>
      <c r="D133" s="40"/>
    </row>
    <row r="134" spans="1:7" x14ac:dyDescent="0.3">
      <c r="B134" s="37"/>
      <c r="C134" s="37"/>
      <c r="D134" s="40"/>
    </row>
    <row r="136" spans="1:7" ht="18" x14ac:dyDescent="0.3">
      <c r="A136" s="38"/>
      <c r="B136" s="38"/>
      <c r="C136" s="38"/>
      <c r="D136" s="38"/>
      <c r="E136" s="38"/>
      <c r="F136" s="38"/>
      <c r="G136" s="38"/>
    </row>
    <row r="138" spans="1:7" x14ac:dyDescent="0.3">
      <c r="A138" s="37"/>
      <c r="B138" s="37"/>
      <c r="C138" s="37"/>
      <c r="E138" s="37"/>
      <c r="F138" s="37"/>
      <c r="G138" s="37"/>
    </row>
    <row r="139" spans="1:7" x14ac:dyDescent="0.3">
      <c r="A139" s="37"/>
      <c r="B139" s="37"/>
      <c r="C139" s="37"/>
      <c r="E139" s="37"/>
      <c r="F139" s="37"/>
      <c r="G139" s="37"/>
    </row>
    <row r="140" spans="1:7" x14ac:dyDescent="0.3">
      <c r="B140" s="18"/>
      <c r="C140" s="18"/>
      <c r="F140" s="18"/>
      <c r="G140" s="18"/>
    </row>
    <row r="141" spans="1:7" x14ac:dyDescent="0.3">
      <c r="B141" s="18"/>
      <c r="C141" s="18"/>
      <c r="F141" s="18"/>
      <c r="G141" s="18"/>
    </row>
    <row r="142" spans="1:7" x14ac:dyDescent="0.3">
      <c r="B142" s="17"/>
      <c r="C142" s="17"/>
      <c r="F142" s="17"/>
      <c r="G142" s="17"/>
    </row>
    <row r="143" spans="1:7" x14ac:dyDescent="0.3">
      <c r="B143" s="41"/>
      <c r="C143" s="41"/>
      <c r="F143" s="41"/>
      <c r="G143" s="41"/>
    </row>
    <row r="144" spans="1:7" x14ac:dyDescent="0.3">
      <c r="B144" s="42"/>
      <c r="C144" s="37"/>
      <c r="F144" s="42"/>
      <c r="G144" s="37"/>
    </row>
    <row r="146" spans="1:7" x14ac:dyDescent="0.3">
      <c r="A146" s="37"/>
      <c r="B146" s="37"/>
      <c r="E146" s="37"/>
      <c r="F146" s="37"/>
    </row>
    <row r="147" spans="1:7" x14ac:dyDescent="0.3">
      <c r="B147" s="23"/>
      <c r="F147" s="23"/>
    </row>
    <row r="148" spans="1:7" x14ac:dyDescent="0.3">
      <c r="B148" s="39"/>
      <c r="F148" s="39"/>
    </row>
    <row r="149" spans="1:7" x14ac:dyDescent="0.3">
      <c r="B149" s="22"/>
      <c r="F149" s="22"/>
    </row>
    <row r="151" spans="1:7" x14ac:dyDescent="0.3">
      <c r="A151" s="37"/>
      <c r="B151" s="37"/>
      <c r="C151" s="37"/>
      <c r="E151" s="37"/>
      <c r="F151" s="37"/>
      <c r="G151" s="37"/>
    </row>
    <row r="152" spans="1:7" x14ac:dyDescent="0.3">
      <c r="B152" s="43"/>
      <c r="C152" s="43"/>
      <c r="F152" s="43"/>
      <c r="G152" s="43"/>
    </row>
    <row r="153" spans="1:7" x14ac:dyDescent="0.3">
      <c r="B153" s="44"/>
      <c r="C153" s="44"/>
      <c r="F153" s="44"/>
      <c r="G153" s="44"/>
    </row>
    <row r="154" spans="1:7" x14ac:dyDescent="0.3">
      <c r="B154" s="45"/>
      <c r="C154" s="45"/>
      <c r="F154" s="45"/>
      <c r="G154" s="45"/>
    </row>
    <row r="155" spans="1:7" x14ac:dyDescent="0.3">
      <c r="B155" s="42"/>
      <c r="C155" s="42"/>
      <c r="F155" s="42"/>
      <c r="G155" s="42"/>
    </row>
    <row r="157" spans="1:7" x14ac:dyDescent="0.3">
      <c r="B157" s="37"/>
      <c r="C157" s="37"/>
      <c r="F157" s="37"/>
      <c r="G157" s="37"/>
    </row>
    <row r="158" spans="1:7" x14ac:dyDescent="0.3">
      <c r="B158" s="46"/>
      <c r="C158" s="46"/>
      <c r="F158" s="46"/>
      <c r="G158" s="46"/>
    </row>
    <row r="159" spans="1:7" x14ac:dyDescent="0.3">
      <c r="B159" s="47"/>
      <c r="C159" s="47"/>
      <c r="F159" s="47"/>
      <c r="G159" s="47"/>
    </row>
    <row r="160" spans="1:7" x14ac:dyDescent="0.3">
      <c r="A160" s="37"/>
      <c r="B160" s="37"/>
      <c r="C160" s="37"/>
      <c r="E160" s="37"/>
      <c r="F160" s="37"/>
      <c r="G160" s="37"/>
    </row>
    <row r="162" spans="1:7" x14ac:dyDescent="0.3">
      <c r="A162" s="37"/>
      <c r="B162" s="37"/>
      <c r="C162" s="37"/>
      <c r="E162" s="37"/>
      <c r="F162" s="37"/>
      <c r="G162" s="37"/>
    </row>
    <row r="163" spans="1:7" x14ac:dyDescent="0.3">
      <c r="B163" s="43"/>
      <c r="C163" s="37"/>
      <c r="F163" s="43"/>
      <c r="G163" s="37"/>
    </row>
    <row r="164" spans="1:7" x14ac:dyDescent="0.3">
      <c r="B164" s="44"/>
      <c r="C164" s="37"/>
      <c r="F164" s="44"/>
      <c r="G164" s="37"/>
    </row>
    <row r="165" spans="1:7" x14ac:dyDescent="0.3">
      <c r="B165" s="45"/>
      <c r="C165" s="37"/>
      <c r="F165" s="45"/>
      <c r="G165" s="37"/>
    </row>
    <row r="166" spans="1:7" x14ac:dyDescent="0.3">
      <c r="B166" s="42"/>
      <c r="C166" s="42"/>
      <c r="F166" s="42"/>
      <c r="G166" s="42"/>
    </row>
    <row r="168" spans="1:7" x14ac:dyDescent="0.3">
      <c r="B168" s="37"/>
      <c r="C168" s="37"/>
      <c r="F168" s="37"/>
      <c r="G168" s="37"/>
    </row>
    <row r="169" spans="1:7" x14ac:dyDescent="0.3">
      <c r="B169" s="46"/>
      <c r="C169" s="46"/>
      <c r="F169" s="46"/>
      <c r="G169" s="46"/>
    </row>
    <row r="170" spans="1:7" x14ac:dyDescent="0.3">
      <c r="B170" s="47"/>
      <c r="C170" s="47"/>
      <c r="F170" s="47"/>
      <c r="G170" s="47"/>
    </row>
    <row r="171" spans="1:7" x14ac:dyDescent="0.3">
      <c r="A171" s="37"/>
      <c r="B171" s="37"/>
      <c r="C171" s="37"/>
      <c r="E171" s="37"/>
      <c r="F171" s="37"/>
      <c r="G171" s="37"/>
    </row>
    <row r="173" spans="1:7" x14ac:dyDescent="0.3">
      <c r="A173" s="37"/>
      <c r="B173" s="37"/>
      <c r="C173" s="37"/>
      <c r="E173" s="37"/>
      <c r="F173" s="37"/>
      <c r="G173" s="37"/>
    </row>
    <row r="174" spans="1:7" x14ac:dyDescent="0.3">
      <c r="B174" s="44"/>
      <c r="C174" s="37"/>
      <c r="F174" s="44"/>
      <c r="G174" s="37"/>
    </row>
    <row r="175" spans="1:7" x14ac:dyDescent="0.3">
      <c r="B175" s="45"/>
      <c r="C175" s="37"/>
      <c r="F175" s="45"/>
      <c r="G175" s="37"/>
    </row>
    <row r="176" spans="1:7" x14ac:dyDescent="0.3">
      <c r="B176" s="41"/>
      <c r="C176" s="37"/>
      <c r="F176" s="41"/>
      <c r="G176" s="37"/>
    </row>
    <row r="177" spans="1:7" x14ac:dyDescent="0.3">
      <c r="A177" s="20"/>
      <c r="C177" s="20"/>
      <c r="E177" s="20"/>
      <c r="G177" s="20"/>
    </row>
    <row r="178" spans="1:7" x14ac:dyDescent="0.3">
      <c r="B178" s="46"/>
      <c r="C178" s="46"/>
      <c r="F178" s="46"/>
      <c r="G178" s="46"/>
    </row>
    <row r="179" spans="1:7" x14ac:dyDescent="0.3">
      <c r="B179" s="47"/>
      <c r="C179" s="47"/>
      <c r="F179" s="47"/>
      <c r="G179" s="47"/>
    </row>
    <row r="180" spans="1:7" x14ac:dyDescent="0.3">
      <c r="A180" s="37"/>
      <c r="B180" s="37"/>
      <c r="C180" s="37"/>
      <c r="E180" s="37"/>
      <c r="F180" s="37"/>
      <c r="G180" s="37"/>
    </row>
    <row r="182" spans="1:7" x14ac:dyDescent="0.3">
      <c r="A182" s="37"/>
      <c r="B182" s="37"/>
      <c r="C182" s="37"/>
      <c r="D182" s="37"/>
      <c r="E182" s="37"/>
    </row>
    <row r="183" spans="1:7" x14ac:dyDescent="0.3">
      <c r="A183" s="37"/>
      <c r="B183" s="37"/>
      <c r="C183" s="37"/>
      <c r="D183" s="37"/>
      <c r="E183" s="37"/>
    </row>
    <row r="184" spans="1:7" x14ac:dyDescent="0.3">
      <c r="A184" s="37"/>
    </row>
    <row r="185" spans="1:7" x14ac:dyDescent="0.3">
      <c r="B185" s="22"/>
      <c r="C185" s="22"/>
      <c r="D185" s="40"/>
      <c r="E185" s="22"/>
    </row>
    <row r="186" spans="1:7" x14ac:dyDescent="0.3">
      <c r="B186" s="22"/>
      <c r="C186" s="22"/>
      <c r="D186" s="40"/>
      <c r="E186" s="22"/>
    </row>
    <row r="187" spans="1:7" x14ac:dyDescent="0.3">
      <c r="A187" s="37"/>
      <c r="B187" s="37"/>
      <c r="C187" s="37"/>
      <c r="D187" s="37"/>
    </row>
    <row r="188" spans="1:7" x14ac:dyDescent="0.3">
      <c r="B188" s="37"/>
      <c r="C188" s="37"/>
      <c r="D188" s="37"/>
    </row>
    <row r="189" spans="1:7" x14ac:dyDescent="0.3">
      <c r="B189" s="37"/>
      <c r="C189" s="37"/>
      <c r="D189" s="40"/>
    </row>
    <row r="190" spans="1:7" x14ac:dyDescent="0.3">
      <c r="B190" s="37"/>
      <c r="C190" s="37"/>
      <c r="D190" s="40"/>
    </row>
    <row r="192" spans="1:7" ht="18" x14ac:dyDescent="0.3">
      <c r="A192" s="38"/>
      <c r="B192" s="38"/>
      <c r="C192" s="38"/>
      <c r="D192" s="38"/>
      <c r="E192" s="38"/>
      <c r="F192" s="38"/>
      <c r="G192" s="38"/>
    </row>
    <row r="194" spans="1:7" x14ac:dyDescent="0.3">
      <c r="A194" s="37"/>
      <c r="B194" s="37"/>
      <c r="C194" s="37"/>
      <c r="E194" s="37"/>
      <c r="F194" s="37"/>
      <c r="G194" s="37"/>
    </row>
    <row r="195" spans="1:7" x14ac:dyDescent="0.3">
      <c r="A195" s="37"/>
      <c r="B195" s="37"/>
      <c r="C195" s="37"/>
      <c r="E195" s="37"/>
      <c r="F195" s="37"/>
      <c r="G195" s="37"/>
    </row>
    <row r="196" spans="1:7" x14ac:dyDescent="0.3">
      <c r="B196" s="18"/>
      <c r="C196" s="18"/>
      <c r="F196" s="18"/>
      <c r="G196" s="18"/>
    </row>
    <row r="197" spans="1:7" x14ac:dyDescent="0.3">
      <c r="B197" s="18"/>
      <c r="C197" s="18"/>
      <c r="F197" s="18"/>
      <c r="G197" s="18"/>
    </row>
    <row r="198" spans="1:7" x14ac:dyDescent="0.3">
      <c r="B198" s="17"/>
      <c r="C198" s="17"/>
      <c r="F198" s="17"/>
      <c r="G198" s="17"/>
    </row>
    <row r="199" spans="1:7" x14ac:dyDescent="0.3">
      <c r="B199" s="41"/>
      <c r="C199" s="41"/>
      <c r="F199" s="41"/>
      <c r="G199" s="41"/>
    </row>
    <row r="200" spans="1:7" x14ac:dyDescent="0.3">
      <c r="B200" s="42"/>
      <c r="C200" s="37"/>
      <c r="F200" s="42"/>
      <c r="G200" s="37"/>
    </row>
    <row r="202" spans="1:7" x14ac:dyDescent="0.3">
      <c r="A202" s="37"/>
      <c r="B202" s="37"/>
      <c r="E202" s="37"/>
      <c r="F202" s="37"/>
    </row>
    <row r="203" spans="1:7" x14ac:dyDescent="0.3">
      <c r="B203" s="23"/>
      <c r="F203" s="23"/>
    </row>
    <row r="204" spans="1:7" x14ac:dyDescent="0.3">
      <c r="B204" s="39"/>
      <c r="F204" s="39"/>
    </row>
    <row r="205" spans="1:7" x14ac:dyDescent="0.3">
      <c r="B205" s="22"/>
      <c r="F205" s="22"/>
    </row>
    <row r="207" spans="1:7" x14ac:dyDescent="0.3">
      <c r="A207" s="37"/>
      <c r="B207" s="37"/>
      <c r="C207" s="37"/>
      <c r="E207" s="37"/>
      <c r="F207" s="37"/>
      <c r="G207" s="37"/>
    </row>
    <row r="208" spans="1:7" x14ac:dyDescent="0.3">
      <c r="B208" s="43"/>
      <c r="C208" s="43"/>
      <c r="F208" s="43"/>
      <c r="G208" s="43"/>
    </row>
    <row r="209" spans="1:7" x14ac:dyDescent="0.3">
      <c r="B209" s="44"/>
      <c r="C209" s="44"/>
      <c r="F209" s="44"/>
      <c r="G209" s="44"/>
    </row>
    <row r="210" spans="1:7" x14ac:dyDescent="0.3">
      <c r="B210" s="45"/>
      <c r="C210" s="45"/>
      <c r="F210" s="45"/>
      <c r="G210" s="45"/>
    </row>
    <row r="211" spans="1:7" x14ac:dyDescent="0.3">
      <c r="B211" s="42"/>
      <c r="C211" s="42"/>
      <c r="F211" s="42"/>
      <c r="G211" s="42"/>
    </row>
    <row r="213" spans="1:7" x14ac:dyDescent="0.3">
      <c r="B213" s="37"/>
      <c r="C213" s="37"/>
      <c r="F213" s="37"/>
      <c r="G213" s="37"/>
    </row>
    <row r="214" spans="1:7" x14ac:dyDescent="0.3">
      <c r="B214" s="46"/>
      <c r="C214" s="46"/>
      <c r="F214" s="46"/>
      <c r="G214" s="46"/>
    </row>
    <row r="215" spans="1:7" x14ac:dyDescent="0.3">
      <c r="B215" s="47"/>
      <c r="C215" s="47"/>
      <c r="F215" s="47"/>
      <c r="G215" s="47"/>
    </row>
    <row r="216" spans="1:7" x14ac:dyDescent="0.3">
      <c r="A216" s="37"/>
      <c r="B216" s="37"/>
      <c r="C216" s="37"/>
      <c r="E216" s="37"/>
      <c r="F216" s="37"/>
      <c r="G216" s="37"/>
    </row>
    <row r="218" spans="1:7" x14ac:dyDescent="0.3">
      <c r="A218" s="37"/>
      <c r="B218" s="37"/>
      <c r="C218" s="37"/>
      <c r="E218" s="37"/>
      <c r="F218" s="37"/>
      <c r="G218" s="37"/>
    </row>
    <row r="219" spans="1:7" x14ac:dyDescent="0.3">
      <c r="B219" s="43"/>
      <c r="C219" s="37"/>
      <c r="F219" s="43"/>
      <c r="G219" s="37"/>
    </row>
    <row r="220" spans="1:7" x14ac:dyDescent="0.3">
      <c r="B220" s="44"/>
      <c r="C220" s="37"/>
      <c r="F220" s="44"/>
      <c r="G220" s="37"/>
    </row>
    <row r="221" spans="1:7" x14ac:dyDescent="0.3">
      <c r="B221" s="45"/>
      <c r="C221" s="37"/>
      <c r="F221" s="45"/>
      <c r="G221" s="37"/>
    </row>
    <row r="222" spans="1:7" x14ac:dyDescent="0.3">
      <c r="B222" s="42"/>
      <c r="C222" s="42"/>
      <c r="F222" s="42"/>
      <c r="G222" s="42"/>
    </row>
    <row r="224" spans="1:7" x14ac:dyDescent="0.3">
      <c r="B224" s="37"/>
      <c r="C224" s="37"/>
      <c r="F224" s="37"/>
      <c r="G224" s="37"/>
    </row>
    <row r="225" spans="1:7" x14ac:dyDescent="0.3">
      <c r="B225" s="46"/>
      <c r="C225" s="46"/>
      <c r="F225" s="46"/>
      <c r="G225" s="46"/>
    </row>
    <row r="226" spans="1:7" x14ac:dyDescent="0.3">
      <c r="B226" s="47"/>
      <c r="C226" s="47"/>
      <c r="F226" s="47"/>
      <c r="G226" s="47"/>
    </row>
    <row r="227" spans="1:7" x14ac:dyDescent="0.3">
      <c r="A227" s="37"/>
      <c r="B227" s="37"/>
      <c r="C227" s="37"/>
      <c r="E227" s="37"/>
      <c r="F227" s="37"/>
      <c r="G227" s="37"/>
    </row>
    <row r="229" spans="1:7" x14ac:dyDescent="0.3">
      <c r="A229" s="37"/>
      <c r="B229" s="37"/>
      <c r="C229" s="37"/>
      <c r="E229" s="37"/>
      <c r="F229" s="37"/>
      <c r="G229" s="37"/>
    </row>
    <row r="230" spans="1:7" x14ac:dyDescent="0.3">
      <c r="B230" s="44"/>
      <c r="C230" s="37"/>
      <c r="F230" s="44"/>
      <c r="G230" s="37"/>
    </row>
    <row r="231" spans="1:7" x14ac:dyDescent="0.3">
      <c r="B231" s="45"/>
      <c r="C231" s="37"/>
      <c r="F231" s="45"/>
      <c r="G231" s="37"/>
    </row>
    <row r="232" spans="1:7" x14ac:dyDescent="0.3">
      <c r="B232" s="41"/>
      <c r="C232" s="37"/>
      <c r="F232" s="41"/>
      <c r="G232" s="37"/>
    </row>
    <row r="233" spans="1:7" x14ac:dyDescent="0.3">
      <c r="A233" s="20"/>
      <c r="C233" s="20"/>
      <c r="E233" s="20"/>
      <c r="G233" s="20"/>
    </row>
    <row r="234" spans="1:7" x14ac:dyDescent="0.3">
      <c r="B234" s="46"/>
      <c r="C234" s="46"/>
      <c r="F234" s="46"/>
      <c r="G234" s="46"/>
    </row>
    <row r="235" spans="1:7" x14ac:dyDescent="0.3">
      <c r="B235" s="47"/>
      <c r="C235" s="47"/>
      <c r="F235" s="47"/>
      <c r="G235" s="47"/>
    </row>
    <row r="236" spans="1:7" x14ac:dyDescent="0.3">
      <c r="A236" s="37"/>
      <c r="B236" s="37"/>
      <c r="C236" s="37"/>
      <c r="E236" s="37"/>
      <c r="F236" s="37"/>
      <c r="G236" s="37"/>
    </row>
    <row r="238" spans="1:7" x14ac:dyDescent="0.3">
      <c r="A238" s="37"/>
      <c r="B238" s="37"/>
      <c r="C238" s="37"/>
      <c r="D238" s="37"/>
      <c r="E238" s="37"/>
    </row>
    <row r="239" spans="1:7" x14ac:dyDescent="0.3">
      <c r="A239" s="37"/>
      <c r="B239" s="37"/>
      <c r="C239" s="37"/>
      <c r="D239" s="37"/>
      <c r="E239" s="37"/>
    </row>
    <row r="240" spans="1:7" x14ac:dyDescent="0.3">
      <c r="A240" s="37"/>
    </row>
    <row r="241" spans="1:7" x14ac:dyDescent="0.3">
      <c r="B241" s="22"/>
      <c r="C241" s="22"/>
      <c r="D241" s="40"/>
      <c r="E241" s="22"/>
    </row>
    <row r="242" spans="1:7" x14ac:dyDescent="0.3">
      <c r="B242" s="22"/>
      <c r="C242" s="22"/>
      <c r="D242" s="40"/>
      <c r="E242" s="22"/>
    </row>
    <row r="243" spans="1:7" x14ac:dyDescent="0.3">
      <c r="A243" s="37"/>
      <c r="B243" s="37"/>
      <c r="C243" s="37"/>
      <c r="D243" s="37"/>
    </row>
    <row r="244" spans="1:7" x14ac:dyDescent="0.3">
      <c r="B244" s="37"/>
      <c r="C244" s="37"/>
      <c r="D244" s="37"/>
    </row>
    <row r="245" spans="1:7" x14ac:dyDescent="0.3">
      <c r="B245" s="37"/>
      <c r="C245" s="37"/>
      <c r="D245" s="40"/>
    </row>
    <row r="246" spans="1:7" x14ac:dyDescent="0.3">
      <c r="B246" s="37"/>
      <c r="C246" s="37"/>
      <c r="D246" s="40"/>
    </row>
    <row r="248" spans="1:7" ht="18" x14ac:dyDescent="0.3">
      <c r="A248" s="38"/>
      <c r="B248" s="38"/>
      <c r="C248" s="38"/>
      <c r="D248" s="38"/>
      <c r="E248" s="38"/>
      <c r="F248" s="38"/>
      <c r="G248" s="38"/>
    </row>
    <row r="250" spans="1:7" x14ac:dyDescent="0.3">
      <c r="A250" s="37"/>
      <c r="B250" s="37"/>
      <c r="C250" s="37"/>
      <c r="E250" s="37"/>
      <c r="F250" s="37"/>
      <c r="G250" s="37"/>
    </row>
    <row r="251" spans="1:7" x14ac:dyDescent="0.3">
      <c r="A251" s="37"/>
      <c r="B251" s="37"/>
      <c r="C251" s="37"/>
      <c r="E251" s="37"/>
      <c r="F251" s="37"/>
      <c r="G251" s="37"/>
    </row>
    <row r="252" spans="1:7" x14ac:dyDescent="0.3">
      <c r="B252" s="18"/>
      <c r="C252" s="18"/>
      <c r="F252" s="18"/>
      <c r="G252" s="18"/>
    </row>
    <row r="253" spans="1:7" x14ac:dyDescent="0.3">
      <c r="B253" s="18"/>
      <c r="C253" s="18"/>
      <c r="F253" s="18"/>
      <c r="G253" s="18"/>
    </row>
    <row r="254" spans="1:7" x14ac:dyDescent="0.3">
      <c r="B254" s="17"/>
      <c r="C254" s="17"/>
      <c r="F254" s="17"/>
      <c r="G254" s="17"/>
    </row>
    <row r="255" spans="1:7" x14ac:dyDescent="0.3">
      <c r="B255" s="41"/>
      <c r="C255" s="41"/>
      <c r="F255" s="41"/>
      <c r="G255" s="41"/>
    </row>
    <row r="256" spans="1:7" x14ac:dyDescent="0.3">
      <c r="B256" s="42"/>
      <c r="C256" s="37"/>
      <c r="F256" s="42"/>
      <c r="G256" s="37"/>
    </row>
    <row r="257" spans="1:7" x14ac:dyDescent="0.3">
      <c r="A257" s="37"/>
      <c r="B257" s="37"/>
      <c r="E257" s="37"/>
      <c r="F257" s="37"/>
    </row>
    <row r="258" spans="1:7" x14ac:dyDescent="0.3">
      <c r="B258" s="23"/>
      <c r="F258" s="23"/>
    </row>
    <row r="259" spans="1:7" x14ac:dyDescent="0.3">
      <c r="B259" s="39"/>
      <c r="F259" s="39"/>
    </row>
    <row r="260" spans="1:7" x14ac:dyDescent="0.3">
      <c r="B260" s="22"/>
      <c r="F260" s="22"/>
    </row>
    <row r="262" spans="1:7" x14ac:dyDescent="0.3">
      <c r="A262" s="37"/>
      <c r="B262" s="37"/>
      <c r="C262" s="37"/>
      <c r="E262" s="37"/>
      <c r="F262" s="37"/>
      <c r="G262" s="37"/>
    </row>
    <row r="263" spans="1:7" x14ac:dyDescent="0.3">
      <c r="B263" s="43"/>
      <c r="C263" s="43"/>
      <c r="F263" s="43"/>
      <c r="G263" s="43"/>
    </row>
    <row r="264" spans="1:7" x14ac:dyDescent="0.3">
      <c r="B264" s="44"/>
      <c r="C264" s="44"/>
      <c r="F264" s="44"/>
      <c r="G264" s="44"/>
    </row>
    <row r="265" spans="1:7" x14ac:dyDescent="0.3">
      <c r="B265" s="45"/>
      <c r="C265" s="45"/>
      <c r="F265" s="45"/>
      <c r="G265" s="45"/>
    </row>
    <row r="266" spans="1:7" x14ac:dyDescent="0.3">
      <c r="B266" s="42"/>
      <c r="C266" s="42"/>
      <c r="F266" s="42"/>
      <c r="G266" s="42"/>
    </row>
    <row r="268" spans="1:7" x14ac:dyDescent="0.3">
      <c r="B268" s="37"/>
      <c r="C268" s="37"/>
      <c r="F268" s="37"/>
      <c r="G268" s="37"/>
    </row>
    <row r="269" spans="1:7" x14ac:dyDescent="0.3">
      <c r="B269" s="46"/>
      <c r="C269" s="46"/>
      <c r="F269" s="46"/>
      <c r="G269" s="46"/>
    </row>
    <row r="270" spans="1:7" x14ac:dyDescent="0.3">
      <c r="B270" s="47"/>
      <c r="C270" s="47"/>
      <c r="F270" s="47"/>
      <c r="G270" s="47"/>
    </row>
    <row r="271" spans="1:7" x14ac:dyDescent="0.3">
      <c r="A271" s="37"/>
      <c r="B271" s="37"/>
      <c r="C271" s="37"/>
      <c r="E271" s="37"/>
      <c r="F271" s="37"/>
      <c r="G271" s="37"/>
    </row>
    <row r="273" spans="1:7" x14ac:dyDescent="0.3">
      <c r="A273" s="37"/>
      <c r="B273" s="37"/>
      <c r="C273" s="37"/>
      <c r="E273" s="37"/>
      <c r="F273" s="37"/>
      <c r="G273" s="37"/>
    </row>
    <row r="274" spans="1:7" x14ac:dyDescent="0.3">
      <c r="B274" s="43"/>
      <c r="C274" s="37"/>
      <c r="F274" s="43"/>
      <c r="G274" s="37"/>
    </row>
    <row r="275" spans="1:7" x14ac:dyDescent="0.3">
      <c r="B275" s="44"/>
      <c r="C275" s="37"/>
      <c r="F275" s="44"/>
      <c r="G275" s="37"/>
    </row>
    <row r="276" spans="1:7" x14ac:dyDescent="0.3">
      <c r="B276" s="45"/>
      <c r="C276" s="37"/>
      <c r="F276" s="45"/>
      <c r="G276" s="37"/>
    </row>
    <row r="277" spans="1:7" x14ac:dyDescent="0.3">
      <c r="B277" s="42"/>
      <c r="C277" s="42"/>
      <c r="F277" s="42"/>
      <c r="G277" s="42"/>
    </row>
    <row r="279" spans="1:7" x14ac:dyDescent="0.3">
      <c r="B279" s="37"/>
      <c r="C279" s="37"/>
      <c r="F279" s="37"/>
      <c r="G279" s="37"/>
    </row>
    <row r="280" spans="1:7" x14ac:dyDescent="0.3">
      <c r="B280" s="46"/>
      <c r="C280" s="46"/>
      <c r="F280" s="46"/>
      <c r="G280" s="46"/>
    </row>
    <row r="281" spans="1:7" x14ac:dyDescent="0.3">
      <c r="B281" s="47"/>
      <c r="C281" s="47"/>
      <c r="F281" s="47"/>
      <c r="G281" s="47"/>
    </row>
    <row r="282" spans="1:7" x14ac:dyDescent="0.3">
      <c r="A282" s="37"/>
      <c r="B282" s="37"/>
      <c r="C282" s="37"/>
      <c r="E282" s="37"/>
      <c r="F282" s="37"/>
      <c r="G282" s="37"/>
    </row>
    <row r="284" spans="1:7" x14ac:dyDescent="0.3">
      <c r="A284" s="37"/>
      <c r="B284" s="37"/>
      <c r="C284" s="37"/>
      <c r="E284" s="37"/>
      <c r="F284" s="37"/>
      <c r="G284" s="37"/>
    </row>
    <row r="285" spans="1:7" x14ac:dyDescent="0.3">
      <c r="B285" s="44"/>
      <c r="C285" s="37"/>
      <c r="F285" s="44"/>
      <c r="G285" s="37"/>
    </row>
    <row r="286" spans="1:7" x14ac:dyDescent="0.3">
      <c r="B286" s="45"/>
      <c r="C286" s="37"/>
      <c r="F286" s="45"/>
      <c r="G286" s="37"/>
    </row>
    <row r="287" spans="1:7" x14ac:dyDescent="0.3">
      <c r="B287" s="41"/>
      <c r="C287" s="37"/>
      <c r="F287" s="41"/>
      <c r="G287" s="37"/>
    </row>
    <row r="288" spans="1:7" x14ac:dyDescent="0.3">
      <c r="A288" s="20"/>
      <c r="C288" s="20"/>
      <c r="E288" s="20"/>
      <c r="G288" s="20"/>
    </row>
    <row r="289" spans="1:7" x14ac:dyDescent="0.3">
      <c r="B289" s="46"/>
      <c r="C289" s="46"/>
      <c r="F289" s="46"/>
      <c r="G289" s="46"/>
    </row>
    <row r="290" spans="1:7" x14ac:dyDescent="0.3">
      <c r="B290" s="47"/>
      <c r="C290" s="47"/>
      <c r="F290" s="47"/>
      <c r="G290" s="47"/>
    </row>
    <row r="291" spans="1:7" x14ac:dyDescent="0.3">
      <c r="A291" s="37"/>
      <c r="B291" s="37"/>
      <c r="C291" s="37"/>
      <c r="E291" s="37"/>
      <c r="F291" s="37"/>
      <c r="G291" s="37"/>
    </row>
    <row r="293" spans="1:7" x14ac:dyDescent="0.3">
      <c r="A293" s="37"/>
      <c r="B293" s="37"/>
      <c r="C293" s="37"/>
      <c r="D293" s="37"/>
      <c r="E293" s="37"/>
    </row>
    <row r="294" spans="1:7" x14ac:dyDescent="0.3">
      <c r="A294" s="37"/>
      <c r="B294" s="37"/>
      <c r="C294" s="37"/>
      <c r="D294" s="37"/>
      <c r="E294" s="37"/>
    </row>
    <row r="295" spans="1:7" x14ac:dyDescent="0.3">
      <c r="A295" s="37"/>
    </row>
    <row r="296" spans="1:7" x14ac:dyDescent="0.3">
      <c r="B296" s="22"/>
      <c r="C296" s="22"/>
      <c r="D296" s="40"/>
      <c r="E296" s="22"/>
    </row>
    <row r="297" spans="1:7" x14ac:dyDescent="0.3">
      <c r="B297" s="22"/>
      <c r="C297" s="22"/>
      <c r="D297" s="40"/>
      <c r="E297" s="22"/>
    </row>
    <row r="298" spans="1:7" x14ac:dyDescent="0.3">
      <c r="B298" s="22"/>
      <c r="C298" s="22"/>
      <c r="D298" s="40"/>
      <c r="E298" s="22"/>
    </row>
    <row r="299" spans="1:7" x14ac:dyDescent="0.3">
      <c r="B299" s="22"/>
      <c r="C299" s="22"/>
      <c r="D299" s="40"/>
      <c r="E299" s="22"/>
    </row>
    <row r="300" spans="1:7" x14ac:dyDescent="0.3">
      <c r="A300" s="37"/>
      <c r="B300" s="37"/>
      <c r="C300" s="37"/>
      <c r="D300" s="37"/>
    </row>
    <row r="301" spans="1:7" x14ac:dyDescent="0.3">
      <c r="B301" s="37"/>
      <c r="C301" s="37"/>
      <c r="D301" s="37"/>
    </row>
    <row r="302" spans="1:7" x14ac:dyDescent="0.3">
      <c r="B302" s="37"/>
      <c r="C302" s="37"/>
      <c r="D302" s="40"/>
    </row>
    <row r="303" spans="1:7" x14ac:dyDescent="0.3">
      <c r="B303" s="37"/>
      <c r="C303" s="37"/>
      <c r="D303" s="40"/>
    </row>
  </sheetData>
  <mergeCells count="183">
    <mergeCell ref="A1:G1"/>
    <mergeCell ref="A2:C2"/>
    <mergeCell ref="E2:G2"/>
    <mergeCell ref="A3:C3"/>
    <mergeCell ref="E3:G3"/>
    <mergeCell ref="B7:C7"/>
    <mergeCell ref="F7:G7"/>
    <mergeCell ref="F49:G49"/>
    <mergeCell ref="B50:C50"/>
    <mergeCell ref="F50:G50"/>
    <mergeCell ref="B15:C15"/>
    <mergeCell ref="F15:G15"/>
    <mergeCell ref="B16:C16"/>
    <mergeCell ref="F16:G16"/>
    <mergeCell ref="B17:C17"/>
    <mergeCell ref="F17:G17"/>
    <mergeCell ref="B8:C8"/>
    <mergeCell ref="F8:G8"/>
    <mergeCell ref="A9:B9"/>
    <mergeCell ref="A14:C14"/>
    <mergeCell ref="E14:G14"/>
    <mergeCell ref="B22:C22"/>
    <mergeCell ref="F22:G22"/>
    <mergeCell ref="A23:C23"/>
    <mergeCell ref="E23:G23"/>
    <mergeCell ref="A25:C25"/>
    <mergeCell ref="E25:G25"/>
    <mergeCell ref="B18:C18"/>
    <mergeCell ref="F18:G18"/>
    <mergeCell ref="B20:C20"/>
    <mergeCell ref="F20:G20"/>
    <mergeCell ref="B21:C21"/>
    <mergeCell ref="F21:G21"/>
    <mergeCell ref="B29:C29"/>
    <mergeCell ref="F29:G29"/>
    <mergeCell ref="B31:C31"/>
    <mergeCell ref="F31:G31"/>
    <mergeCell ref="B32:C32"/>
    <mergeCell ref="F32:G32"/>
    <mergeCell ref="B26:C26"/>
    <mergeCell ref="F26:G26"/>
    <mergeCell ref="B27:C27"/>
    <mergeCell ref="F27:G27"/>
    <mergeCell ref="B28:C28"/>
    <mergeCell ref="F28:G28"/>
    <mergeCell ref="B36:C36"/>
    <mergeCell ref="F36:G36"/>
    <mergeCell ref="B37:C37"/>
    <mergeCell ref="F37:G37"/>
    <mergeCell ref="B38:C38"/>
    <mergeCell ref="F38:G38"/>
    <mergeCell ref="B33:C33"/>
    <mergeCell ref="F33:G33"/>
    <mergeCell ref="A34:C34"/>
    <mergeCell ref="E34:G34"/>
    <mergeCell ref="A35:C35"/>
    <mergeCell ref="E35:G35"/>
    <mergeCell ref="A56:C56"/>
    <mergeCell ref="E56:G56"/>
    <mergeCell ref="B57:C57"/>
    <mergeCell ref="F57:G57"/>
    <mergeCell ref="B40:C40"/>
    <mergeCell ref="F40:G40"/>
    <mergeCell ref="B41:C41"/>
    <mergeCell ref="F41:G41"/>
    <mergeCell ref="A42:C42"/>
    <mergeCell ref="E42:G42"/>
    <mergeCell ref="A51:B51"/>
    <mergeCell ref="B99:C99"/>
    <mergeCell ref="F99:G99"/>
    <mergeCell ref="A87:C87"/>
    <mergeCell ref="E87:G87"/>
    <mergeCell ref="B60:C60"/>
    <mergeCell ref="B63:C63"/>
    <mergeCell ref="F63:G63"/>
    <mergeCell ref="B64:C64"/>
    <mergeCell ref="F64:G64"/>
    <mergeCell ref="B105:C105"/>
    <mergeCell ref="F105:G105"/>
    <mergeCell ref="B106:C106"/>
    <mergeCell ref="F106:G106"/>
    <mergeCell ref="B104:C104"/>
    <mergeCell ref="F104:G104"/>
    <mergeCell ref="B100:C100"/>
    <mergeCell ref="F100:G100"/>
    <mergeCell ref="B101:C101"/>
    <mergeCell ref="F101:G101"/>
    <mergeCell ref="B102:C102"/>
    <mergeCell ref="F102:G102"/>
    <mergeCell ref="B111:C111"/>
    <mergeCell ref="F111:G111"/>
    <mergeCell ref="B112:C112"/>
    <mergeCell ref="F112:G112"/>
    <mergeCell ref="B113:C113"/>
    <mergeCell ref="F113:G113"/>
    <mergeCell ref="B110:C110"/>
    <mergeCell ref="F110:G110"/>
    <mergeCell ref="A107:C107"/>
    <mergeCell ref="E107:G107"/>
    <mergeCell ref="A109:C109"/>
    <mergeCell ref="E109:G109"/>
    <mergeCell ref="A43:G43"/>
    <mergeCell ref="A44:C44"/>
    <mergeCell ref="E44:G44"/>
    <mergeCell ref="A45:C45"/>
    <mergeCell ref="E45:G45"/>
    <mergeCell ref="B49:C49"/>
    <mergeCell ref="B122:C122"/>
    <mergeCell ref="F122:G122"/>
    <mergeCell ref="B124:C124"/>
    <mergeCell ref="F124:G124"/>
    <mergeCell ref="B120:C120"/>
    <mergeCell ref="F120:G120"/>
    <mergeCell ref="B121:C121"/>
    <mergeCell ref="F121:G121"/>
    <mergeCell ref="A118:C118"/>
    <mergeCell ref="E118:G118"/>
    <mergeCell ref="A119:C119"/>
    <mergeCell ref="E119:G119"/>
    <mergeCell ref="B116:C116"/>
    <mergeCell ref="F116:G116"/>
    <mergeCell ref="B117:C117"/>
    <mergeCell ref="F117:G117"/>
    <mergeCell ref="B115:C115"/>
    <mergeCell ref="F115:G115"/>
    <mergeCell ref="A65:C65"/>
    <mergeCell ref="E65:G65"/>
    <mergeCell ref="A67:C67"/>
    <mergeCell ref="E67:G67"/>
    <mergeCell ref="B68:C68"/>
    <mergeCell ref="F68:G68"/>
    <mergeCell ref="B58:C58"/>
    <mergeCell ref="F58:G58"/>
    <mergeCell ref="F59:G59"/>
    <mergeCell ref="F60:G60"/>
    <mergeCell ref="B62:C62"/>
    <mergeCell ref="F62:G62"/>
    <mergeCell ref="B59:C59"/>
    <mergeCell ref="B73:C73"/>
    <mergeCell ref="F73:G73"/>
    <mergeCell ref="B74:C74"/>
    <mergeCell ref="F74:G74"/>
    <mergeCell ref="B75:C75"/>
    <mergeCell ref="F75:G75"/>
    <mergeCell ref="B69:C69"/>
    <mergeCell ref="F69:G69"/>
    <mergeCell ref="B70:C70"/>
    <mergeCell ref="F70:G70"/>
    <mergeCell ref="B71:C71"/>
    <mergeCell ref="F71:G71"/>
    <mergeCell ref="F80:G80"/>
    <mergeCell ref="B82:C82"/>
    <mergeCell ref="F82:G82"/>
    <mergeCell ref="A76:C76"/>
    <mergeCell ref="E76:G76"/>
    <mergeCell ref="A77:C77"/>
    <mergeCell ref="E77:G77"/>
    <mergeCell ref="B78:C78"/>
    <mergeCell ref="F78:G78"/>
    <mergeCell ref="B125:C125"/>
    <mergeCell ref="F125:G125"/>
    <mergeCell ref="A126:C126"/>
    <mergeCell ref="E126:G126"/>
    <mergeCell ref="F9:G9"/>
    <mergeCell ref="F51:G51"/>
    <mergeCell ref="F93:G93"/>
    <mergeCell ref="B91:C91"/>
    <mergeCell ref="F91:G91"/>
    <mergeCell ref="B92:C92"/>
    <mergeCell ref="F92:G92"/>
    <mergeCell ref="A93:B93"/>
    <mergeCell ref="A98:C98"/>
    <mergeCell ref="E98:G98"/>
    <mergeCell ref="B83:C83"/>
    <mergeCell ref="F83:G83"/>
    <mergeCell ref="A84:C84"/>
    <mergeCell ref="E84:G84"/>
    <mergeCell ref="A85:G85"/>
    <mergeCell ref="A86:C86"/>
    <mergeCell ref="E86:G86"/>
    <mergeCell ref="B79:C79"/>
    <mergeCell ref="F79:G79"/>
    <mergeCell ref="B80:C80"/>
  </mergeCells>
  <dataValidations disablePrompts="1" count="1">
    <dataValidation type="list" allowBlank="1" showInputMessage="1" showErrorMessage="1" sqref="B133 B302 B245 B189" xr:uid="{F3D4E0AC-7C02-4BF1-BB15-A42B8A1F7B46}">
      <formula1>#REF!</formula1>
    </dataValidation>
  </dataValidations>
  <pageMargins left="0.7" right="0.7" top="0.75" bottom="0.75" header="0.3" footer="0.3"/>
  <pageSetup orientation="portrait" horizontalDpi="4294967293" verticalDpi="300" r:id="rId1"/>
  <headerFooter>
    <oddHeader>&amp;C&amp;"-,Negrita"&amp;14Marlon Ivan Carreto Rivera
 201230088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9BCAF-865F-4BC1-8B81-D2CC85912DAB}">
  <dimension ref="A2:E24"/>
  <sheetViews>
    <sheetView showGridLines="0" view="pageLayout" zoomScaleNormal="100" workbookViewId="0">
      <selection sqref="A1:G22"/>
    </sheetView>
  </sheetViews>
  <sheetFormatPr baseColWidth="10" defaultRowHeight="14.4" x14ac:dyDescent="0.3"/>
  <cols>
    <col min="1" max="1" width="13.5546875" customWidth="1"/>
    <col min="3" max="3" width="14.88671875" customWidth="1"/>
    <col min="4" max="4" width="12.44140625" bestFit="1" customWidth="1"/>
  </cols>
  <sheetData>
    <row r="2" spans="1:5" ht="15" thickBot="1" x14ac:dyDescent="0.35"/>
    <row r="3" spans="1:5" ht="15.6" x14ac:dyDescent="0.3">
      <c r="A3" s="93" t="s">
        <v>17</v>
      </c>
      <c r="B3" s="94"/>
      <c r="C3" s="94"/>
      <c r="D3" s="94"/>
      <c r="E3" s="95"/>
    </row>
    <row r="4" spans="1:5" ht="15.6" x14ac:dyDescent="0.3">
      <c r="A4" s="98" t="s">
        <v>21</v>
      </c>
      <c r="B4" s="99" t="s">
        <v>18</v>
      </c>
      <c r="C4" s="99"/>
      <c r="D4" s="99"/>
      <c r="E4" s="100"/>
    </row>
    <row r="5" spans="1:5" ht="15.6" x14ac:dyDescent="0.3">
      <c r="A5" s="98"/>
      <c r="B5" s="3" t="s">
        <v>6</v>
      </c>
      <c r="C5" s="3" t="s">
        <v>9</v>
      </c>
      <c r="D5" s="3" t="s">
        <v>14</v>
      </c>
      <c r="E5" s="4" t="s">
        <v>15</v>
      </c>
    </row>
    <row r="6" spans="1:5" ht="15.6" x14ac:dyDescent="0.3">
      <c r="A6" s="2" t="s">
        <v>29</v>
      </c>
      <c r="B6" s="27">
        <f>+Hoja1!B12</f>
        <v>64.290816651234238</v>
      </c>
      <c r="C6" s="27">
        <f>+Hoja1!B22</f>
        <v>43.346196298683623</v>
      </c>
      <c r="D6" s="34">
        <f>+Hoja1!B33</f>
        <v>26.266636508368375</v>
      </c>
      <c r="E6" s="28">
        <f>+Hoja1!B41</f>
        <v>153.60035748916266</v>
      </c>
    </row>
    <row r="7" spans="1:5" ht="15.6" x14ac:dyDescent="0.3">
      <c r="A7" s="2" t="s">
        <v>30</v>
      </c>
      <c r="B7" s="32">
        <f>+Hoja1!G12</f>
        <v>71.264552987657467</v>
      </c>
      <c r="C7" s="32">
        <f>+Hoja1!F22</f>
        <v>51.690182820338329</v>
      </c>
      <c r="D7" s="35">
        <f>+Hoja1!F33</f>
        <v>28.481777825372607</v>
      </c>
      <c r="E7" s="33">
        <f>+Hoja1!F41</f>
        <v>165.10105684077848</v>
      </c>
    </row>
    <row r="8" spans="1:5" ht="15.6" x14ac:dyDescent="0.3">
      <c r="A8" s="2" t="s">
        <v>31</v>
      </c>
      <c r="B8" s="32">
        <f>Hoja1!B54</f>
        <v>86.258158976706596</v>
      </c>
      <c r="C8" s="32">
        <f>Hoja1!B64</f>
        <v>70.569115057509407</v>
      </c>
      <c r="D8" s="35">
        <f>Hoja1!B75</f>
        <v>34.5905568664787</v>
      </c>
      <c r="E8" s="33">
        <f>Hoja1!B83</f>
        <v>190.09128282360041</v>
      </c>
    </row>
    <row r="9" spans="1:5" ht="15.6" x14ac:dyDescent="0.3">
      <c r="A9" s="2" t="s">
        <v>32</v>
      </c>
      <c r="B9" s="32">
        <f>Hoja1!G54</f>
        <v>82.877314231440195</v>
      </c>
      <c r="C9" s="32">
        <f>Hoja1!F64</f>
        <v>44.145667694629338</v>
      </c>
      <c r="D9" s="35">
        <f>Hoja1!F75</f>
        <v>27.59583842552108</v>
      </c>
      <c r="E9" s="33">
        <f>Hoja1!F83</f>
        <v>144.78144547664027</v>
      </c>
    </row>
    <row r="10" spans="1:5" ht="16.2" thickBot="1" x14ac:dyDescent="0.35">
      <c r="A10" s="2" t="s">
        <v>33</v>
      </c>
      <c r="B10" s="25">
        <f>Hoja1!B96</f>
        <v>45.82458973650359</v>
      </c>
      <c r="C10" s="25">
        <f>Hoja1!B106</f>
        <v>103.33333333333334</v>
      </c>
      <c r="D10" s="36">
        <f>Hoja1!B117</f>
        <v>30.263283550541971</v>
      </c>
      <c r="E10" s="26">
        <f>Hoja1!B125</f>
        <v>317.58765279093205</v>
      </c>
    </row>
    <row r="11" spans="1:5" ht="16.2" thickBot="1" x14ac:dyDescent="0.35">
      <c r="E11" s="1"/>
    </row>
    <row r="12" spans="1:5" ht="15.6" x14ac:dyDescent="0.3">
      <c r="A12" s="93" t="s">
        <v>22</v>
      </c>
      <c r="B12" s="94"/>
      <c r="C12" s="94"/>
      <c r="D12" s="95"/>
      <c r="E12" s="1"/>
    </row>
    <row r="13" spans="1:5" ht="15.6" x14ac:dyDescent="0.3">
      <c r="A13" s="2" t="s">
        <v>23</v>
      </c>
      <c r="B13" s="96" t="s">
        <v>44</v>
      </c>
      <c r="C13" s="96"/>
      <c r="D13" s="97"/>
      <c r="E13" s="1"/>
    </row>
    <row r="14" spans="1:5" ht="15.6" x14ac:dyDescent="0.3">
      <c r="A14" s="2" t="s">
        <v>0</v>
      </c>
      <c r="B14" s="96" t="s">
        <v>57</v>
      </c>
      <c r="C14" s="96"/>
      <c r="D14" s="53">
        <f>C6</f>
        <v>43.346196298683623</v>
      </c>
      <c r="E14" s="1"/>
    </row>
    <row r="15" spans="1:5" ht="15.6" x14ac:dyDescent="0.3">
      <c r="A15" s="2" t="s">
        <v>19</v>
      </c>
      <c r="B15" s="96" t="s">
        <v>57</v>
      </c>
      <c r="C15" s="96"/>
      <c r="D15" s="53">
        <f>C7</f>
        <v>51.690182820338329</v>
      </c>
    </row>
    <row r="16" spans="1:5" ht="15.6" x14ac:dyDescent="0.3">
      <c r="A16" s="2" t="s">
        <v>20</v>
      </c>
      <c r="B16" s="96" t="s">
        <v>57</v>
      </c>
      <c r="C16" s="96"/>
      <c r="D16" s="53">
        <f>C8</f>
        <v>70.569115057509407</v>
      </c>
    </row>
    <row r="17" spans="1:4" ht="15.6" x14ac:dyDescent="0.3">
      <c r="A17" s="2" t="s">
        <v>24</v>
      </c>
      <c r="B17" s="96" t="s">
        <v>57</v>
      </c>
      <c r="C17" s="96"/>
      <c r="D17" s="53">
        <f>C9</f>
        <v>44.145667694629338</v>
      </c>
    </row>
    <row r="18" spans="1:4" ht="16.2" thickBot="1" x14ac:dyDescent="0.35">
      <c r="A18" s="11" t="s">
        <v>25</v>
      </c>
      <c r="B18" s="96" t="s">
        <v>57</v>
      </c>
      <c r="C18" s="96"/>
      <c r="D18" s="142">
        <f>C10</f>
        <v>103.33333333333334</v>
      </c>
    </row>
    <row r="21" spans="1:4" ht="15.6" x14ac:dyDescent="0.3">
      <c r="A21" s="37"/>
      <c r="B21" s="37"/>
      <c r="C21" s="37"/>
      <c r="D21" s="37"/>
    </row>
    <row r="22" spans="1:4" ht="15.6" x14ac:dyDescent="0.3">
      <c r="A22" s="1"/>
      <c r="B22" s="37"/>
      <c r="C22" s="37"/>
      <c r="D22" s="37"/>
    </row>
    <row r="23" spans="1:4" ht="18" x14ac:dyDescent="0.3">
      <c r="A23" s="1"/>
      <c r="B23" s="38"/>
      <c r="C23" s="38"/>
      <c r="D23" s="52"/>
    </row>
    <row r="24" spans="1:4" ht="18" x14ac:dyDescent="0.3">
      <c r="A24" s="1"/>
      <c r="B24" s="38"/>
      <c r="C24" s="38"/>
      <c r="D24" s="52"/>
    </row>
  </sheetData>
  <mergeCells count="10">
    <mergeCell ref="B17:C17"/>
    <mergeCell ref="B18:C18"/>
    <mergeCell ref="A3:E3"/>
    <mergeCell ref="A4:A5"/>
    <mergeCell ref="B4:E4"/>
    <mergeCell ref="A12:D12"/>
    <mergeCell ref="B13:D13"/>
    <mergeCell ref="B14:C14"/>
    <mergeCell ref="B15:C15"/>
    <mergeCell ref="B16:C16"/>
  </mergeCells>
  <phoneticPr fontId="5" type="noConversion"/>
  <dataValidations disablePrompts="1" count="1">
    <dataValidation type="list" allowBlank="1" showInputMessage="1" showErrorMessage="1" sqref="B23" xr:uid="{BEDEF25E-8E9A-494E-A2E9-ED3517ABBE32}">
      <formula1>#REF!</formula1>
    </dataValidation>
  </dataValidations>
  <pageMargins left="0.7" right="0.7" top="0.75" bottom="0.75" header="0.3" footer="0.3"/>
  <pageSetup orientation="portrait" horizontalDpi="4294967293" verticalDpi="300" r:id="rId1"/>
  <headerFooter>
    <oddHeader>&amp;C&amp;"-,Negrita"&amp;12Marlon Ivan Carreto Rivera
 201230088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62CCB-5206-42F3-81F9-C494A464ED86}">
  <dimension ref="A1:AJ61"/>
  <sheetViews>
    <sheetView tabSelected="1" view="pageLayout" topLeftCell="O1" zoomScale="40" zoomScaleNormal="55" zoomScalePageLayoutView="40" workbookViewId="0">
      <selection activeCell="H1" sqref="H1:AJ27"/>
    </sheetView>
  </sheetViews>
  <sheetFormatPr baseColWidth="10" defaultColWidth="11.109375" defaultRowHeight="14.4" x14ac:dyDescent="0.3"/>
  <cols>
    <col min="2" max="2" width="11.109375" customWidth="1"/>
    <col min="3" max="3" width="17.5546875" customWidth="1"/>
    <col min="4" max="4" width="8.44140625" customWidth="1"/>
    <col min="6" max="6" width="12.21875" customWidth="1"/>
    <col min="7" max="7" width="17.5546875" customWidth="1"/>
    <col min="10" max="10" width="14.6640625" customWidth="1"/>
    <col min="12" max="12" width="16.6640625" style="50" customWidth="1"/>
    <col min="13" max="13" width="16.88671875" customWidth="1"/>
    <col min="15" max="15" width="18.6640625" customWidth="1"/>
    <col min="16" max="16" width="14.5546875" customWidth="1"/>
    <col min="17" max="17" width="17.21875" customWidth="1"/>
    <col min="18" max="18" width="22.109375" customWidth="1"/>
    <col min="20" max="20" width="19.77734375" customWidth="1"/>
    <col min="21" max="21" width="19.109375" customWidth="1"/>
    <col min="22" max="22" width="18.5546875" customWidth="1"/>
    <col min="23" max="23" width="18" customWidth="1"/>
    <col min="24" max="24" width="10.21875" customWidth="1"/>
    <col min="25" max="28" width="20" customWidth="1"/>
    <col min="29" max="29" width="13" customWidth="1"/>
    <col min="30" max="30" width="18.88671875" customWidth="1"/>
    <col min="31" max="31" width="14.21875" customWidth="1"/>
    <col min="32" max="32" width="19.109375" customWidth="1"/>
    <col min="33" max="33" width="22.44140625" customWidth="1"/>
    <col min="34" max="34" width="19.6640625" customWidth="1"/>
  </cols>
  <sheetData>
    <row r="1" spans="1:36" ht="16.2" thickBot="1" x14ac:dyDescent="0.35">
      <c r="A1" s="120" t="s">
        <v>45</v>
      </c>
      <c r="B1" s="121"/>
      <c r="C1" s="121"/>
      <c r="D1" s="121"/>
      <c r="E1" s="121"/>
      <c r="F1" s="121"/>
      <c r="G1" s="122"/>
    </row>
    <row r="2" spans="1:36" ht="16.2" thickBot="1" x14ac:dyDescent="0.35">
      <c r="A2" s="123" t="s">
        <v>0</v>
      </c>
      <c r="B2" s="124"/>
      <c r="C2" s="125"/>
      <c r="D2" s="1"/>
      <c r="E2" s="123" t="s">
        <v>19</v>
      </c>
      <c r="F2" s="124"/>
      <c r="G2" s="124"/>
      <c r="H2" s="158"/>
      <c r="I2" s="101" t="s">
        <v>46</v>
      </c>
      <c r="J2" s="102"/>
      <c r="K2" s="102"/>
      <c r="L2" s="102"/>
      <c r="M2" s="103"/>
      <c r="N2" s="101" t="s">
        <v>47</v>
      </c>
      <c r="O2" s="102"/>
      <c r="P2" s="102"/>
      <c r="Q2" s="102"/>
      <c r="R2" s="103"/>
      <c r="S2" s="101" t="s">
        <v>48</v>
      </c>
      <c r="T2" s="102"/>
      <c r="U2" s="102"/>
      <c r="V2" s="102"/>
      <c r="W2" s="103"/>
      <c r="X2" s="101" t="s">
        <v>49</v>
      </c>
      <c r="Y2" s="102"/>
      <c r="Z2" s="102"/>
      <c r="AA2" s="102"/>
      <c r="AB2" s="103"/>
      <c r="AC2" s="101" t="s">
        <v>50</v>
      </c>
      <c r="AD2" s="102"/>
      <c r="AE2" s="102"/>
      <c r="AF2" s="102"/>
      <c r="AG2" s="103"/>
    </row>
    <row r="3" spans="1:36" ht="15.6" x14ac:dyDescent="0.3">
      <c r="A3" s="126" t="s">
        <v>1</v>
      </c>
      <c r="B3" s="127"/>
      <c r="C3" s="113"/>
      <c r="D3" s="1"/>
      <c r="E3" s="126" t="s">
        <v>34</v>
      </c>
      <c r="F3" s="127"/>
      <c r="G3" s="127"/>
      <c r="H3" s="159" t="s">
        <v>42</v>
      </c>
      <c r="I3" s="55" t="s">
        <v>37</v>
      </c>
      <c r="J3" s="55" t="s">
        <v>10</v>
      </c>
      <c r="K3" s="55" t="s">
        <v>43</v>
      </c>
      <c r="L3" s="56" t="s">
        <v>12</v>
      </c>
      <c r="M3" s="160">
        <v>1</v>
      </c>
      <c r="N3" s="169" t="s">
        <v>37</v>
      </c>
      <c r="O3" s="55" t="s">
        <v>10</v>
      </c>
      <c r="P3" s="55" t="s">
        <v>43</v>
      </c>
      <c r="Q3" s="55" t="s">
        <v>12</v>
      </c>
      <c r="R3" s="160">
        <v>2</v>
      </c>
      <c r="S3" s="169" t="s">
        <v>37</v>
      </c>
      <c r="T3" s="55" t="s">
        <v>10</v>
      </c>
      <c r="U3" s="55" t="s">
        <v>43</v>
      </c>
      <c r="V3" s="55" t="s">
        <v>12</v>
      </c>
      <c r="W3" s="160">
        <v>3</v>
      </c>
      <c r="X3" s="169" t="s">
        <v>37</v>
      </c>
      <c r="Y3" s="55" t="s">
        <v>10</v>
      </c>
      <c r="Z3" s="55" t="s">
        <v>43</v>
      </c>
      <c r="AA3" s="55" t="s">
        <v>12</v>
      </c>
      <c r="AB3" s="160">
        <v>4</v>
      </c>
      <c r="AC3" s="169" t="s">
        <v>37</v>
      </c>
      <c r="AD3" s="55" t="s">
        <v>10</v>
      </c>
      <c r="AE3" s="55" t="s">
        <v>43</v>
      </c>
      <c r="AF3" s="55" t="s">
        <v>12</v>
      </c>
      <c r="AG3" s="160">
        <v>5</v>
      </c>
      <c r="AH3" s="172" t="s">
        <v>51</v>
      </c>
    </row>
    <row r="4" spans="1:36" ht="15.6" x14ac:dyDescent="0.3">
      <c r="A4" s="2" t="s">
        <v>35</v>
      </c>
      <c r="B4" s="5">
        <f>+Hoja1!B4</f>
        <v>8.1</v>
      </c>
      <c r="C4" s="6">
        <f>Hoja1!C4</f>
        <v>8100</v>
      </c>
      <c r="D4" s="1"/>
      <c r="E4" s="2" t="s">
        <v>35</v>
      </c>
      <c r="F4" s="5">
        <f>Hoja1!F4</f>
        <v>8.1999999999999993</v>
      </c>
      <c r="G4" s="54">
        <f>Hoja1!G4</f>
        <v>8200</v>
      </c>
      <c r="H4" s="161">
        <v>0</v>
      </c>
      <c r="I4" s="143">
        <f>$B$8</f>
        <v>0.32</v>
      </c>
      <c r="J4" s="144">
        <f>$B$14</f>
        <v>1.836447668226774E-5</v>
      </c>
      <c r="K4" s="49">
        <f>+IF(H4&lt;$B$9,H4/$B$9,IF(AND(H4&gt;=$B$9,H4&lt;=$B$9+20),1,IF(AND(H4&gt;$B$9+20,H4&lt;=$B$9+20+$B$9),(1-(H4-($B$9+20))/$B$9),0)))</f>
        <v>0</v>
      </c>
      <c r="L4" s="51">
        <f>+K4*$C$5</f>
        <v>0</v>
      </c>
      <c r="M4" s="162">
        <f>+L4*J4*I4</f>
        <v>0</v>
      </c>
      <c r="N4" s="170">
        <f>$F$8</f>
        <v>0.62</v>
      </c>
      <c r="O4" s="144">
        <f>$F$14</f>
        <v>1.6487151086364228E-5</v>
      </c>
      <c r="P4" s="49">
        <f>+IF(H4&lt;$F$9,H4/$F$9,IF(AND(H4&gt;=$F$9,H4&lt;=$F$9+20),1,IF(AND(H4&gt;$F$9+20,H4&lt;=$F$9+20+$F$9),(1-(H4-($F$9+20))/$F$9),0)))</f>
        <v>0</v>
      </c>
      <c r="Q4" s="51">
        <f>+P4*$G$5</f>
        <v>0</v>
      </c>
      <c r="R4" s="162">
        <f>+Q4*O4*N4</f>
        <v>0</v>
      </c>
      <c r="S4" s="170">
        <f>$B$28</f>
        <v>0.41</v>
      </c>
      <c r="T4" s="144">
        <f>$B$34</f>
        <v>1.3515413145861479E-5</v>
      </c>
      <c r="U4" s="49">
        <f>+IF(H4&lt;$B$29,H4/$B$29,IF(AND(H4&gt;=$B$29,H4&lt;=$B$29+20),1,IF(AND(H4&gt;$B$29+20,H4&lt;=$B$29+20+$B$29),(1-(H4-($B$29+20))/$B$29),0)))</f>
        <v>0</v>
      </c>
      <c r="V4" s="51">
        <f>+U4*$C$25</f>
        <v>0</v>
      </c>
      <c r="W4" s="162">
        <f>+V4*T4*S4</f>
        <v>0</v>
      </c>
      <c r="X4" s="170">
        <f>$F$28</f>
        <v>0.52</v>
      </c>
      <c r="Y4" s="144">
        <f>$F$34</f>
        <v>1.8163107825245347E-5</v>
      </c>
      <c r="Z4" s="49">
        <f>+IF(H4&lt;$F$29,H4/$F$29,IF(AND(H4&gt;=$F$29,H4&lt;=$F$29+20),1,IF(AND(H4&gt;$F$29+20,H4&lt;=$F$29+20+$F$29),(1-(H4-($F$29+20))/$F$29),0)))</f>
        <v>0</v>
      </c>
      <c r="AA4" s="51">
        <f>+Z4*$G$25</f>
        <v>0</v>
      </c>
      <c r="AB4" s="162">
        <f>+AA4*Y4*X4</f>
        <v>0</v>
      </c>
      <c r="AC4" s="170">
        <f>$B$52</f>
        <v>0.44</v>
      </c>
      <c r="AD4" s="144">
        <f>$B$58</f>
        <v>1.0473956223456016E-5</v>
      </c>
      <c r="AE4" s="49">
        <f>+IF(H4&lt;$B$53,H4/$B$53,IF(AND(H4&gt;=$B$53,H4&lt;=$B$53+20),1,IF(AND(H4&gt;$B$53+20,H4&lt;=$B$53+20+$B$53),(1-(H4-($B$53+20))/$B$53),0)))</f>
        <v>0</v>
      </c>
      <c r="AF4" s="51">
        <f>+AE4*$C$49</f>
        <v>0</v>
      </c>
      <c r="AG4" s="162">
        <f>+AF4*AD4*AC4</f>
        <v>0</v>
      </c>
      <c r="AH4" s="173">
        <f>M4+R4+W4+AB4+AG4</f>
        <v>0</v>
      </c>
    </row>
    <row r="5" spans="1:36" ht="15.6" x14ac:dyDescent="0.3">
      <c r="A5" s="2" t="s">
        <v>36</v>
      </c>
      <c r="B5" s="7">
        <f>+Hoja1!B5</f>
        <v>54.3</v>
      </c>
      <c r="C5" s="8">
        <f>+Hoja1!C5</f>
        <v>54300000</v>
      </c>
      <c r="D5" s="1"/>
      <c r="E5" s="2" t="s">
        <v>36</v>
      </c>
      <c r="F5" s="7">
        <f>Hoja1!F5</f>
        <v>47.5</v>
      </c>
      <c r="G5" s="150">
        <f>Hoja1!G5</f>
        <v>47500000</v>
      </c>
      <c r="H5" s="161">
        <v>10</v>
      </c>
      <c r="I5" s="143">
        <f t="shared" ref="I5:I27" si="0">$B$8</f>
        <v>0.32</v>
      </c>
      <c r="J5" s="144">
        <f t="shared" ref="J5:J27" si="1">$B$14</f>
        <v>1.836447668226774E-5</v>
      </c>
      <c r="K5" s="49">
        <f t="shared" ref="K5:K27" si="2">+IF(H5&lt;$B$9,H5/$B$9,IF(AND(H5&gt;=$B$9,H5&lt;=$B$9+20),1,IF(AND(H5&gt;$B$9+20,H5&lt;=$B$9+20+$B$9),(1-(H5-($B$9+20))/$B$9),0)))</f>
        <v>0.23070075009796626</v>
      </c>
      <c r="L5" s="51">
        <f t="shared" ref="L5:L27" si="3">+K5*$C$5</f>
        <v>12527050.730319567</v>
      </c>
      <c r="M5" s="162">
        <f t="shared" ref="M5:M27" si="4">+L5*J5*I5</f>
        <v>73.61687393105241</v>
      </c>
      <c r="N5" s="170">
        <f t="shared" ref="N5:N27" si="5">$F$8</f>
        <v>0.62</v>
      </c>
      <c r="O5" s="144">
        <f t="shared" ref="O5:O27" si="6">$F$14</f>
        <v>1.6487151086364228E-5</v>
      </c>
      <c r="P5" s="49">
        <f t="shared" ref="P5:P27" si="7">+IF(H5&lt;$F$9,H5/$F$9,IF(AND(H5&gt;=$F$9,H5&lt;=$F$9+20),1,IF(AND(H5&gt;$F$9+20,H5&lt;=$F$9+20+$F$9),(1-(H5-($F$9+20))/$F$9),0)))</f>
        <v>0.1934603333626698</v>
      </c>
      <c r="Q5" s="51">
        <f t="shared" ref="Q5:Q27" si="8">+P5*$G$5</f>
        <v>9189365.834726816</v>
      </c>
      <c r="R5" s="162">
        <f t="shared" ref="R5:R27" si="9">+Q5*O5*N5</f>
        <v>93.934007001109009</v>
      </c>
      <c r="S5" s="170">
        <f t="shared" ref="S5:S27" si="10">$B$28</f>
        <v>0.41</v>
      </c>
      <c r="T5" s="144">
        <f t="shared" ref="T5:T27" si="11">$B$34</f>
        <v>1.3515413145861479E-5</v>
      </c>
      <c r="U5" s="49">
        <f>+IF(H5&lt;$B$29,H5/$B$29,IF(AND(H5&gt;=$B$29,H5&lt;=$B$29+20),1,IF(AND(H5&gt;$B$29+20,H5&lt;=$B$29+20+$B$29),(1-(H5-($B$29+20))/$B$29),0)))</f>
        <v>0.14170505031628391</v>
      </c>
      <c r="V5" s="51">
        <f t="shared" ref="V5:V27" si="12">+U5*$C$25</f>
        <v>7056911.5057509392</v>
      </c>
      <c r="W5" s="162">
        <f t="shared" ref="W5:W27" si="13">+V5*T5*S5</f>
        <v>39.104600558943019</v>
      </c>
      <c r="X5" s="170">
        <f t="shared" ref="X5:X27" si="14">$F$28</f>
        <v>0.52</v>
      </c>
      <c r="Y5" s="144">
        <f t="shared" ref="Y5:Y27" si="15">$F$34</f>
        <v>1.8163107825245347E-5</v>
      </c>
      <c r="Z5" s="49">
        <f>+IF(H5&lt;$F$29,H5/$F$29,IF(AND(H5&gt;=$F$29,H5&lt;=$F$29+20),1,IF(AND(H5&gt;$F$29+20,H5&lt;=$F$29+20+$F$29),(1-(H5-($F$29+20))/$F$29),0)))</f>
        <v>0.22652279424503025</v>
      </c>
      <c r="AA5" s="51">
        <f t="shared" ref="AA5:AA27" si="16">+Z5*$G$25</f>
        <v>8245429.7105191005</v>
      </c>
      <c r="AB5" s="162">
        <f t="shared" ref="AB5:AB27" si="17">+AA5*Y5*X5</f>
        <v>77.876567026772776</v>
      </c>
      <c r="AC5" s="170">
        <f t="shared" ref="AC5:AC27" si="18">$B$52</f>
        <v>0.44</v>
      </c>
      <c r="AD5" s="144">
        <f t="shared" ref="AD5:AD27" si="19">$B$58</f>
        <v>1.0473956223456016E-5</v>
      </c>
      <c r="AE5" s="49">
        <f>+IF(H5&lt;$B$53,H5/$B$53,IF(AND(H5&gt;=$B$53,H5&lt;=$B$53+20),1,IF(AND(H5&gt;$B$53+20,H5&lt;=$B$53+20+$B$53),(1-(H5-($B$53+20))/$B$53),0)))</f>
        <v>9.6774193548387094E-2</v>
      </c>
      <c r="AF5" s="51">
        <f>+AE5*$C$49</f>
        <v>4403225.8064516131</v>
      </c>
      <c r="AG5" s="162">
        <f t="shared" ref="AG5:AG27" si="20">+AF5*AD5*AC5</f>
        <v>20.292445509057043</v>
      </c>
      <c r="AH5" s="173">
        <f>M5+R5+W5+AB5+AG5</f>
        <v>304.82449402693425</v>
      </c>
    </row>
    <row r="6" spans="1:36" ht="15.6" x14ac:dyDescent="0.3">
      <c r="A6" s="2" t="s">
        <v>4</v>
      </c>
      <c r="B6" s="9">
        <f>+Hoja1!B6</f>
        <v>5.0999999999999996</v>
      </c>
      <c r="C6" s="29">
        <f>Hoja1!C6</f>
        <v>5.0999999999999997E-2</v>
      </c>
      <c r="D6" s="1"/>
      <c r="E6" s="2" t="s">
        <v>4</v>
      </c>
      <c r="F6" s="9">
        <f>Hoja1!F6</f>
        <v>4</v>
      </c>
      <c r="G6" s="151">
        <f>Hoja1!G6</f>
        <v>0.04</v>
      </c>
      <c r="H6" s="161">
        <v>20</v>
      </c>
      <c r="I6" s="143">
        <f t="shared" si="0"/>
        <v>0.32</v>
      </c>
      <c r="J6" s="144">
        <f t="shared" si="1"/>
        <v>1.836447668226774E-5</v>
      </c>
      <c r="K6" s="49">
        <f t="shared" si="2"/>
        <v>0.46140150019593251</v>
      </c>
      <c r="L6" s="51">
        <f t="shared" si="3"/>
        <v>25054101.460639134</v>
      </c>
      <c r="M6" s="162">
        <f t="shared" si="4"/>
        <v>147.23374786210482</v>
      </c>
      <c r="N6" s="170">
        <f t="shared" si="5"/>
        <v>0.62</v>
      </c>
      <c r="O6" s="144">
        <f t="shared" si="6"/>
        <v>1.6487151086364228E-5</v>
      </c>
      <c r="P6" s="49">
        <f t="shared" si="7"/>
        <v>0.38692066672533959</v>
      </c>
      <c r="Q6" s="51">
        <f t="shared" si="8"/>
        <v>18378731.669453632</v>
      </c>
      <c r="R6" s="162">
        <f t="shared" si="9"/>
        <v>187.86801400221802</v>
      </c>
      <c r="S6" s="170">
        <f t="shared" si="10"/>
        <v>0.41</v>
      </c>
      <c r="T6" s="144">
        <f t="shared" si="11"/>
        <v>1.3515413145861479E-5</v>
      </c>
      <c r="U6" s="49">
        <f>+IF(H6&lt;$B$29,H6/$B$29,IF(AND(H6&gt;=$B$29,H6&lt;=$B$29+20),1,IF(AND(H6&gt;$B$29+20,H6&lt;=$B$29+20+$B$29),(1-(H6-($B$29+20))/$B$29),0)))</f>
        <v>0.28341010063256783</v>
      </c>
      <c r="V6" s="51">
        <f t="shared" si="12"/>
        <v>14113823.011501878</v>
      </c>
      <c r="W6" s="162">
        <f t="shared" si="13"/>
        <v>78.209201117886039</v>
      </c>
      <c r="X6" s="170">
        <f t="shared" si="14"/>
        <v>0.52</v>
      </c>
      <c r="Y6" s="144">
        <f t="shared" si="15"/>
        <v>1.8163107825245347E-5</v>
      </c>
      <c r="Z6" s="49">
        <f>+IF(H6&lt;$F$29,H6/$F$29,IF(AND(H6&gt;=$F$29,H6&lt;=$F$29+20),1,IF(AND(H6&gt;$F$29+20,H6&lt;=$F$29+20+$F$29),(1-(H6-($F$29+20))/$F$29),0)))</f>
        <v>0.45304558849006049</v>
      </c>
      <c r="AA6" s="51">
        <f t="shared" si="16"/>
        <v>16490859.421038201</v>
      </c>
      <c r="AB6" s="162">
        <f t="shared" si="17"/>
        <v>155.75313405354555</v>
      </c>
      <c r="AC6" s="170">
        <f t="shared" si="18"/>
        <v>0.44</v>
      </c>
      <c r="AD6" s="144">
        <f t="shared" si="19"/>
        <v>1.0473956223456016E-5</v>
      </c>
      <c r="AE6" s="49">
        <f>+IF(H6&lt;$B$53,H6/$B$53,IF(AND(H6&gt;=$B$53,H6&lt;=$B$53+20),1,IF(AND(H6&gt;$B$53+20,H6&lt;=$B$53+20+$B$53),(1-(H6-($B$53+20))/$B$53),0)))</f>
        <v>0.19354838709677419</v>
      </c>
      <c r="AF6" s="51">
        <f t="shared" ref="AF6:AF27" si="21">+AE6*$C$49</f>
        <v>8806451.6129032262</v>
      </c>
      <c r="AG6" s="162">
        <f t="shared" si="20"/>
        <v>40.584891018114085</v>
      </c>
      <c r="AH6" s="173">
        <f>M6+R6+W6+AB6+AG6</f>
        <v>609.64898805386849</v>
      </c>
    </row>
    <row r="7" spans="1:36" ht="15.6" x14ac:dyDescent="0.3">
      <c r="A7" s="2" t="s">
        <v>5</v>
      </c>
      <c r="B7" s="128">
        <f>Hoja1!B7</f>
        <v>413.1</v>
      </c>
      <c r="C7" s="129"/>
      <c r="D7" s="1"/>
      <c r="E7" s="2" t="s">
        <v>5</v>
      </c>
      <c r="F7" s="128">
        <f>Hoja1!F7</f>
        <v>328</v>
      </c>
      <c r="G7" s="152"/>
      <c r="H7" s="161">
        <v>30</v>
      </c>
      <c r="I7" s="143">
        <f t="shared" si="0"/>
        <v>0.32</v>
      </c>
      <c r="J7" s="144">
        <f t="shared" si="1"/>
        <v>1.836447668226774E-5</v>
      </c>
      <c r="K7" s="49">
        <f t="shared" si="2"/>
        <v>0.69210225029389871</v>
      </c>
      <c r="L7" s="51">
        <f t="shared" si="3"/>
        <v>37581152.190958701</v>
      </c>
      <c r="M7" s="162">
        <f t="shared" si="4"/>
        <v>220.85062179315719</v>
      </c>
      <c r="N7" s="170">
        <f t="shared" si="5"/>
        <v>0.62</v>
      </c>
      <c r="O7" s="144">
        <f t="shared" si="6"/>
        <v>1.6487151086364228E-5</v>
      </c>
      <c r="P7" s="49">
        <f t="shared" si="7"/>
        <v>0.58038100008800941</v>
      </c>
      <c r="Q7" s="51">
        <f t="shared" si="8"/>
        <v>27568097.504180446</v>
      </c>
      <c r="R7" s="162">
        <f t="shared" si="9"/>
        <v>281.80202100332701</v>
      </c>
      <c r="S7" s="170">
        <f t="shared" si="10"/>
        <v>0.41</v>
      </c>
      <c r="T7" s="144">
        <f t="shared" si="11"/>
        <v>1.3515413145861479E-5</v>
      </c>
      <c r="U7" s="49">
        <f>+IF(H7&lt;$B$29,H7/$B$29,IF(AND(H7&gt;=$B$29,H7&lt;=$B$29+20),1,IF(AND(H7&gt;$B$29+20,H7&lt;=$B$29+20+$B$29),(1-(H7-($B$29+20))/$B$29),0)))</f>
        <v>0.42511515094885177</v>
      </c>
      <c r="V7" s="51">
        <f t="shared" si="12"/>
        <v>21170734.517252818</v>
      </c>
      <c r="W7" s="162">
        <f t="shared" si="13"/>
        <v>117.31380167682904</v>
      </c>
      <c r="X7" s="170">
        <f t="shared" si="14"/>
        <v>0.52</v>
      </c>
      <c r="Y7" s="144">
        <f t="shared" si="15"/>
        <v>1.8163107825245347E-5</v>
      </c>
      <c r="Z7" s="49">
        <f>+IF(H7&lt;$F$29,H7/$F$29,IF(AND(H7&gt;=$F$29,H7&lt;=$F$29+20),1,IF(AND(H7&gt;$F$29+20,H7&lt;=$F$29+20+$F$29),(1-(H7-($F$29+20))/$F$29),0)))</f>
        <v>0.67956838273509068</v>
      </c>
      <c r="AA7" s="51">
        <f t="shared" si="16"/>
        <v>24736289.131557301</v>
      </c>
      <c r="AB7" s="162">
        <f t="shared" si="17"/>
        <v>233.62970108031831</v>
      </c>
      <c r="AC7" s="170">
        <f t="shared" si="18"/>
        <v>0.44</v>
      </c>
      <c r="AD7" s="144">
        <f t="shared" si="19"/>
        <v>1.0473956223456016E-5</v>
      </c>
      <c r="AE7" s="49">
        <f>+IF(H7&lt;$B$53,H7/$B$53,IF(AND(H7&gt;=$B$53,H7&lt;=$B$53+20),1,IF(AND(H7&gt;$B$53+20,H7&lt;=$B$53+20+$B$53),(1-(H7-($B$53+20))/$B$53),0)))</f>
        <v>0.29032258064516125</v>
      </c>
      <c r="AF7" s="51">
        <f t="shared" si="21"/>
        <v>13209677.419354837</v>
      </c>
      <c r="AG7" s="162">
        <f t="shared" si="20"/>
        <v>60.877336527171124</v>
      </c>
      <c r="AH7" s="173">
        <f>M7+R7+W7+AB7+AG7</f>
        <v>914.47348208080268</v>
      </c>
    </row>
    <row r="8" spans="1:36" ht="15.6" x14ac:dyDescent="0.3">
      <c r="A8" s="2" t="s">
        <v>37</v>
      </c>
      <c r="B8" s="116">
        <f>Hoja1!B8</f>
        <v>0.32</v>
      </c>
      <c r="C8" s="117"/>
      <c r="D8" s="1"/>
      <c r="E8" s="2" t="s">
        <v>37</v>
      </c>
      <c r="F8" s="116">
        <f>Hoja1!F8</f>
        <v>0.62</v>
      </c>
      <c r="G8" s="153"/>
      <c r="H8" s="161">
        <v>40</v>
      </c>
      <c r="I8" s="143">
        <f t="shared" si="0"/>
        <v>0.32</v>
      </c>
      <c r="J8" s="144">
        <f t="shared" si="1"/>
        <v>1.836447668226774E-5</v>
      </c>
      <c r="K8" s="49">
        <f t="shared" si="2"/>
        <v>0.92280300039186502</v>
      </c>
      <c r="L8" s="51">
        <f t="shared" si="3"/>
        <v>50108202.921278268</v>
      </c>
      <c r="M8" s="162">
        <f t="shared" si="4"/>
        <v>294.46749572420964</v>
      </c>
      <c r="N8" s="170">
        <f t="shared" si="5"/>
        <v>0.62</v>
      </c>
      <c r="O8" s="144">
        <f t="shared" si="6"/>
        <v>1.6487151086364228E-5</v>
      </c>
      <c r="P8" s="49">
        <f t="shared" si="7"/>
        <v>0.77384133345067918</v>
      </c>
      <c r="Q8" s="51">
        <f t="shared" si="8"/>
        <v>36757463.338907264</v>
      </c>
      <c r="R8" s="162">
        <f t="shared" si="9"/>
        <v>375.73602800443604</v>
      </c>
      <c r="S8" s="170">
        <f t="shared" si="10"/>
        <v>0.41</v>
      </c>
      <c r="T8" s="144">
        <f t="shared" si="11"/>
        <v>1.3515413145861479E-5</v>
      </c>
      <c r="U8" s="49">
        <f>+IF(H8&lt;$B$29,H8/$B$29,IF(AND(H8&gt;=$B$29,H8&lt;=$B$29+20),1,IF(AND(H8&gt;$B$29+20,H8&lt;=$B$29+20+$B$29),(1-(H8-($B$29+20))/$B$29),0)))</f>
        <v>0.56682020126513566</v>
      </c>
      <c r="V8" s="51">
        <f t="shared" si="12"/>
        <v>28227646.023003757</v>
      </c>
      <c r="W8" s="162">
        <f t="shared" si="13"/>
        <v>156.41840223577208</v>
      </c>
      <c r="X8" s="170">
        <f t="shared" si="14"/>
        <v>0.52</v>
      </c>
      <c r="Y8" s="144">
        <f t="shared" si="15"/>
        <v>1.8163107825245347E-5</v>
      </c>
      <c r="Z8" s="49">
        <f>+IF(H8&lt;$F$29,H8/$F$29,IF(AND(H8&gt;=$F$29,H8&lt;=$F$29+20),1,IF(AND(H8&gt;$F$29+20,H8&lt;=$F$29+20+$F$29),(1-(H8-($F$29+20))/$F$29),0)))</f>
        <v>0.90609117698012098</v>
      </c>
      <c r="AA8" s="51">
        <f t="shared" si="16"/>
        <v>32981718.842076402</v>
      </c>
      <c r="AB8" s="162">
        <f t="shared" si="17"/>
        <v>311.5062681070911</v>
      </c>
      <c r="AC8" s="170">
        <f t="shared" si="18"/>
        <v>0.44</v>
      </c>
      <c r="AD8" s="144">
        <f t="shared" si="19"/>
        <v>1.0473956223456016E-5</v>
      </c>
      <c r="AE8" s="49">
        <f>+IF(H8&lt;$B$53,H8/$B$53,IF(AND(H8&gt;=$B$53,H8&lt;=$B$53+20),1,IF(AND(H8&gt;$B$53+20,H8&lt;=$B$53+20+$B$53),(1-(H8-($B$53+20))/$B$53),0)))</f>
        <v>0.38709677419354838</v>
      </c>
      <c r="AF8" s="51">
        <f t="shared" si="21"/>
        <v>17612903.225806452</v>
      </c>
      <c r="AG8" s="162">
        <f t="shared" si="20"/>
        <v>81.16978203622817</v>
      </c>
      <c r="AH8" s="173">
        <f>M8+R8+W8+AB8+AG8</f>
        <v>1219.297976107737</v>
      </c>
    </row>
    <row r="9" spans="1:36" ht="15.6" x14ac:dyDescent="0.3">
      <c r="A9" s="2" t="s">
        <v>8</v>
      </c>
      <c r="B9" s="118">
        <f>Hoja2!D14</f>
        <v>43.346196298683623</v>
      </c>
      <c r="C9" s="119"/>
      <c r="D9" s="1"/>
      <c r="E9" s="2" t="s">
        <v>8</v>
      </c>
      <c r="F9" s="118">
        <f>Hoja2!D15</f>
        <v>51.690182820338329</v>
      </c>
      <c r="G9" s="154"/>
      <c r="H9" s="161">
        <v>50</v>
      </c>
      <c r="I9" s="143">
        <f t="shared" si="0"/>
        <v>0.32</v>
      </c>
      <c r="J9" s="144">
        <f t="shared" si="1"/>
        <v>1.836447668226774E-5</v>
      </c>
      <c r="K9" s="49">
        <f t="shared" si="2"/>
        <v>1</v>
      </c>
      <c r="L9" s="51">
        <f t="shared" si="3"/>
        <v>54300000</v>
      </c>
      <c r="M9" s="162">
        <f t="shared" si="4"/>
        <v>319.10114683108429</v>
      </c>
      <c r="N9" s="170">
        <f t="shared" si="5"/>
        <v>0.62</v>
      </c>
      <c r="O9" s="144">
        <f t="shared" si="6"/>
        <v>1.6487151086364228E-5</v>
      </c>
      <c r="P9" s="49">
        <f t="shared" si="7"/>
        <v>0.96730166681334895</v>
      </c>
      <c r="Q9" s="51">
        <f t="shared" si="8"/>
        <v>45946829.173634075</v>
      </c>
      <c r="R9" s="162">
        <f t="shared" si="9"/>
        <v>469.670035005545</v>
      </c>
      <c r="S9" s="170">
        <f t="shared" si="10"/>
        <v>0.41</v>
      </c>
      <c r="T9" s="144">
        <f t="shared" si="11"/>
        <v>1.3515413145861479E-5</v>
      </c>
      <c r="U9" s="49">
        <f>+IF(H9&lt;$B$29,H9/$B$29,IF(AND(H9&gt;=$B$29,H9&lt;=$B$29+20),1,IF(AND(H9&gt;$B$29+20,H9&lt;=$B$29+20+$B$29),(1-(H9-($B$29+20))/$B$29),0)))</f>
        <v>0.70852525158141966</v>
      </c>
      <c r="V9" s="51">
        <f t="shared" si="12"/>
        <v>35284557.528754696</v>
      </c>
      <c r="W9" s="162">
        <f t="shared" si="13"/>
        <v>195.52300279471507</v>
      </c>
      <c r="X9" s="170">
        <f t="shared" si="14"/>
        <v>0.52</v>
      </c>
      <c r="Y9" s="144">
        <f t="shared" si="15"/>
        <v>1.8163107825245347E-5</v>
      </c>
      <c r="Z9" s="49">
        <f>+IF(H9&lt;$F$29,H9/$F$29,IF(AND(H9&gt;=$F$29,H9&lt;=$F$29+20),1,IF(AND(H9&gt;$F$29+20,H9&lt;=$F$29+20+$F$29),(1-(H9-($F$29+20))/$F$29),0)))</f>
        <v>1</v>
      </c>
      <c r="AA9" s="51">
        <f t="shared" si="16"/>
        <v>36400000</v>
      </c>
      <c r="AB9" s="162">
        <f t="shared" si="17"/>
        <v>343.79130491624392</v>
      </c>
      <c r="AC9" s="170">
        <f t="shared" si="18"/>
        <v>0.44</v>
      </c>
      <c r="AD9" s="144">
        <f t="shared" si="19"/>
        <v>1.0473956223456016E-5</v>
      </c>
      <c r="AE9" s="49">
        <f>+IF(H9&lt;$B$53,H9/$B$53,IF(AND(H9&gt;=$B$53,H9&lt;=$B$53+20),1,IF(AND(H9&gt;$B$53+20,H9&lt;=$B$53+20+$B$53),(1-(H9-($B$53+20))/$B$53),0)))</f>
        <v>0.48387096774193544</v>
      </c>
      <c r="AF9" s="51">
        <f t="shared" si="21"/>
        <v>22016129.032258064</v>
      </c>
      <c r="AG9" s="162">
        <f t="shared" si="20"/>
        <v>101.46222754528522</v>
      </c>
      <c r="AH9" s="173">
        <f>M9+R9+W9+AB9+AG9</f>
        <v>1429.5477170928734</v>
      </c>
      <c r="AI9" s="176" t="s">
        <v>58</v>
      </c>
      <c r="AJ9" s="177"/>
    </row>
    <row r="10" spans="1:36" ht="15.6" x14ac:dyDescent="0.3">
      <c r="A10" s="2" t="s">
        <v>38</v>
      </c>
      <c r="B10" s="112">
        <v>1350</v>
      </c>
      <c r="C10" s="113"/>
      <c r="D10" s="1"/>
      <c r="E10" s="2" t="s">
        <v>38</v>
      </c>
      <c r="F10" s="112">
        <f>B10</f>
        <v>1350</v>
      </c>
      <c r="G10" s="127"/>
      <c r="H10" s="161">
        <v>60</v>
      </c>
      <c r="I10" s="143">
        <f t="shared" si="0"/>
        <v>0.32</v>
      </c>
      <c r="J10" s="144">
        <f t="shared" si="1"/>
        <v>1.836447668226774E-5</v>
      </c>
      <c r="K10" s="49">
        <f t="shared" si="2"/>
        <v>1</v>
      </c>
      <c r="L10" s="51">
        <f t="shared" si="3"/>
        <v>54300000</v>
      </c>
      <c r="M10" s="162">
        <f t="shared" si="4"/>
        <v>319.10114683108429</v>
      </c>
      <c r="N10" s="170">
        <f t="shared" si="5"/>
        <v>0.62</v>
      </c>
      <c r="O10" s="144">
        <f t="shared" si="6"/>
        <v>1.6487151086364228E-5</v>
      </c>
      <c r="P10" s="49">
        <f t="shared" si="7"/>
        <v>1</v>
      </c>
      <c r="Q10" s="51">
        <f t="shared" si="8"/>
        <v>47500000</v>
      </c>
      <c r="R10" s="162">
        <f t="shared" si="9"/>
        <v>485.54659949342653</v>
      </c>
      <c r="S10" s="170">
        <f t="shared" si="10"/>
        <v>0.41</v>
      </c>
      <c r="T10" s="144">
        <f t="shared" si="11"/>
        <v>1.3515413145861479E-5</v>
      </c>
      <c r="U10" s="49">
        <f>+IF(H10&lt;$B$29,H10/$B$29,IF(AND(H10&gt;=$B$29,H10&lt;=$B$29+20),1,IF(AND(H10&gt;$B$29+20,H10&lt;=$B$29+20+$B$29),(1-(H10-($B$29+20))/$B$29),0)))</f>
        <v>0.85023030189770354</v>
      </c>
      <c r="V10" s="51">
        <f t="shared" si="12"/>
        <v>42341469.034505635</v>
      </c>
      <c r="W10" s="162">
        <f t="shared" si="13"/>
        <v>234.62760335365809</v>
      </c>
      <c r="X10" s="170">
        <f t="shared" si="14"/>
        <v>0.52</v>
      </c>
      <c r="Y10" s="144">
        <f t="shared" si="15"/>
        <v>1.8163107825245347E-5</v>
      </c>
      <c r="Z10" s="49">
        <f>+IF(H10&lt;$F$29,H10/$F$29,IF(AND(H10&gt;=$F$29,H10&lt;=$F$29+20),1,IF(AND(H10&gt;$F$29+20,H10&lt;=$F$29+20+$F$29),(1-(H10-($F$29+20))/$F$29),0)))</f>
        <v>1</v>
      </c>
      <c r="AA10" s="51">
        <f t="shared" si="16"/>
        <v>36400000</v>
      </c>
      <c r="AB10" s="162">
        <f t="shared" si="17"/>
        <v>343.79130491624392</v>
      </c>
      <c r="AC10" s="170">
        <f t="shared" si="18"/>
        <v>0.44</v>
      </c>
      <c r="AD10" s="144">
        <f t="shared" si="19"/>
        <v>1.0473956223456016E-5</v>
      </c>
      <c r="AE10" s="49">
        <f>+IF(H10&lt;$B$53,H10/$B$53,IF(AND(H10&gt;=$B$53,H10&lt;=$B$53+20),1,IF(AND(H10&gt;$B$53+20,H10&lt;=$B$53+20+$B$53),(1-(H10-($B$53+20))/$B$53),0)))</f>
        <v>0.58064516129032251</v>
      </c>
      <c r="AF10" s="51">
        <f t="shared" si="21"/>
        <v>26419354.838709675</v>
      </c>
      <c r="AG10" s="162">
        <f t="shared" si="20"/>
        <v>121.75467305434225</v>
      </c>
      <c r="AH10" s="175">
        <f>M10+R10+W10+AB10+AG10</f>
        <v>1504.821327648755</v>
      </c>
      <c r="AI10" s="176"/>
      <c r="AJ10" s="177"/>
    </row>
    <row r="11" spans="1:36" ht="15.6" x14ac:dyDescent="0.3">
      <c r="A11" s="2" t="s">
        <v>39</v>
      </c>
      <c r="B11" s="112">
        <v>11</v>
      </c>
      <c r="C11" s="113"/>
      <c r="D11" s="1"/>
      <c r="E11" s="2" t="s">
        <v>39</v>
      </c>
      <c r="F11" s="112">
        <f>B11</f>
        <v>11</v>
      </c>
      <c r="G11" s="127"/>
      <c r="H11" s="161">
        <v>70</v>
      </c>
      <c r="I11" s="143">
        <f t="shared" si="0"/>
        <v>0.32</v>
      </c>
      <c r="J11" s="144">
        <f t="shared" si="1"/>
        <v>1.836447668226774E-5</v>
      </c>
      <c r="K11" s="49">
        <f t="shared" si="2"/>
        <v>0.84649624951016877</v>
      </c>
      <c r="L11" s="51">
        <f t="shared" si="3"/>
        <v>45964746.348402165</v>
      </c>
      <c r="M11" s="162">
        <f t="shared" si="4"/>
        <v>270.11792400690649</v>
      </c>
      <c r="N11" s="170">
        <f t="shared" si="5"/>
        <v>0.62</v>
      </c>
      <c r="O11" s="144">
        <f t="shared" si="6"/>
        <v>1.6487151086364228E-5</v>
      </c>
      <c r="P11" s="49">
        <f t="shared" si="7"/>
        <v>1</v>
      </c>
      <c r="Q11" s="51">
        <f t="shared" si="8"/>
        <v>47500000</v>
      </c>
      <c r="R11" s="162">
        <f t="shared" si="9"/>
        <v>485.54659949342653</v>
      </c>
      <c r="S11" s="170">
        <f t="shared" si="10"/>
        <v>0.41</v>
      </c>
      <c r="T11" s="144">
        <f t="shared" si="11"/>
        <v>1.3515413145861479E-5</v>
      </c>
      <c r="U11" s="49">
        <f>+IF(H11&lt;$B$29,H11/$B$29,IF(AND(H11&gt;=$B$29,H11&lt;=$B$29+20),1,IF(AND(H11&gt;$B$29+20,H11&lt;=$B$29+20+$B$29),(1-(H11-($B$29+20))/$B$29),0)))</f>
        <v>0.99193535221398743</v>
      </c>
      <c r="V11" s="51">
        <f t="shared" si="12"/>
        <v>49398380.540256575</v>
      </c>
      <c r="W11" s="162">
        <f t="shared" si="13"/>
        <v>273.73220391260116</v>
      </c>
      <c r="X11" s="170">
        <f t="shared" si="14"/>
        <v>0.52</v>
      </c>
      <c r="Y11" s="144">
        <f t="shared" si="15"/>
        <v>1.8163107825245347E-5</v>
      </c>
      <c r="Z11" s="49">
        <f>+IF(H11&lt;$F$29,H11/$F$29,IF(AND(H11&gt;=$F$29,H11&lt;=$F$29+20),1,IF(AND(H11&gt;$F$29+20,H11&lt;=$F$29+20+$F$29),(1-(H11-($F$29+20))/$F$29),0)))</f>
        <v>0.86738602877484883</v>
      </c>
      <c r="AA11" s="51">
        <f t="shared" si="16"/>
        <v>31572851.447404496</v>
      </c>
      <c r="AB11" s="162">
        <f t="shared" si="17"/>
        <v>298.19977469862397</v>
      </c>
      <c r="AC11" s="170">
        <f t="shared" si="18"/>
        <v>0.44</v>
      </c>
      <c r="AD11" s="144">
        <f t="shared" si="19"/>
        <v>1.0473956223456016E-5</v>
      </c>
      <c r="AE11" s="49">
        <f>+IF(H11&lt;$B$53,H11/$B$53,IF(AND(H11&gt;=$B$53,H11&lt;=$B$53+20),1,IF(AND(H11&gt;$B$53+20,H11&lt;=$B$53+20+$B$53),(1-(H11-($B$53+20))/$B$53),0)))</f>
        <v>0.67741935483870963</v>
      </c>
      <c r="AF11" s="51">
        <f t="shared" si="21"/>
        <v>30822580.64516129</v>
      </c>
      <c r="AG11" s="162">
        <f t="shared" si="20"/>
        <v>142.04711856339929</v>
      </c>
      <c r="AH11" s="173">
        <f>M11+R11+W11+AB11+AG11</f>
        <v>1469.6436206749572</v>
      </c>
    </row>
    <row r="12" spans="1:36" ht="15.6" x14ac:dyDescent="0.3">
      <c r="A12" s="2" t="s">
        <v>40</v>
      </c>
      <c r="B12" s="112">
        <v>0.755</v>
      </c>
      <c r="C12" s="113"/>
      <c r="D12" s="1"/>
      <c r="E12" s="2" t="s">
        <v>40</v>
      </c>
      <c r="F12" s="112">
        <f>B12</f>
        <v>0.755</v>
      </c>
      <c r="G12" s="127"/>
      <c r="H12" s="161">
        <v>80</v>
      </c>
      <c r="I12" s="143">
        <f t="shared" si="0"/>
        <v>0.32</v>
      </c>
      <c r="J12" s="144">
        <f t="shared" si="1"/>
        <v>1.836447668226774E-5</v>
      </c>
      <c r="K12" s="49">
        <f t="shared" si="2"/>
        <v>0.61579549941220257</v>
      </c>
      <c r="L12" s="51">
        <f t="shared" si="3"/>
        <v>33437695.618082602</v>
      </c>
      <c r="M12" s="162">
        <f t="shared" si="4"/>
        <v>196.50105007585412</v>
      </c>
      <c r="N12" s="170">
        <f t="shared" si="5"/>
        <v>0.62</v>
      </c>
      <c r="O12" s="144">
        <f t="shared" si="6"/>
        <v>1.6487151086364228E-5</v>
      </c>
      <c r="P12" s="49">
        <f t="shared" si="7"/>
        <v>0.83923799982398117</v>
      </c>
      <c r="Q12" s="51">
        <f t="shared" si="8"/>
        <v>39863804.991639107</v>
      </c>
      <c r="R12" s="162">
        <f t="shared" si="9"/>
        <v>407.48915698019897</v>
      </c>
      <c r="S12" s="170">
        <f t="shared" si="10"/>
        <v>0.41</v>
      </c>
      <c r="T12" s="144">
        <f t="shared" si="11"/>
        <v>1.3515413145861479E-5</v>
      </c>
      <c r="U12" s="49">
        <f>+IF(H12&lt;$B$29,H12/$B$29,IF(AND(H12&gt;=$B$29,H12&lt;=$B$29+20),1,IF(AND(H12&gt;$B$29+20,H12&lt;=$B$29+20+$B$29),(1-(H12-($B$29+20))/$B$29),0)))</f>
        <v>1</v>
      </c>
      <c r="V12" s="51">
        <f t="shared" si="12"/>
        <v>49800000</v>
      </c>
      <c r="W12" s="162">
        <f t="shared" si="13"/>
        <v>275.95770561219962</v>
      </c>
      <c r="X12" s="170">
        <f t="shared" si="14"/>
        <v>0.52</v>
      </c>
      <c r="Y12" s="144">
        <f t="shared" si="15"/>
        <v>1.8163107825245347E-5</v>
      </c>
      <c r="Z12" s="49">
        <f>+IF(H12&lt;$F$29,H12/$F$29,IF(AND(H12&gt;=$F$29,H12&lt;=$F$29+20),1,IF(AND(H12&gt;$F$29+20,H12&lt;=$F$29+20+$F$29),(1-(H12-($F$29+20))/$F$29),0)))</f>
        <v>0.64086323452981864</v>
      </c>
      <c r="AA12" s="51">
        <f t="shared" si="16"/>
        <v>23327421.736885399</v>
      </c>
      <c r="AB12" s="162">
        <f t="shared" si="17"/>
        <v>220.32320767185124</v>
      </c>
      <c r="AC12" s="170">
        <f t="shared" si="18"/>
        <v>0.44</v>
      </c>
      <c r="AD12" s="144">
        <f t="shared" si="19"/>
        <v>1.0473956223456016E-5</v>
      </c>
      <c r="AE12" s="49">
        <f>+IF(H12&lt;$B$53,H12/$B$53,IF(AND(H12&gt;=$B$53,H12&lt;=$B$53+20),1,IF(AND(H12&gt;$B$53+20,H12&lt;=$B$53+20+$B$53),(1-(H12-($B$53+20))/$B$53),0)))</f>
        <v>0.77419354838709675</v>
      </c>
      <c r="AF12" s="51">
        <f t="shared" si="21"/>
        <v>35225806.451612905</v>
      </c>
      <c r="AG12" s="162">
        <f t="shared" si="20"/>
        <v>162.33956407245634</v>
      </c>
      <c r="AH12" s="173">
        <f>M12+R12+W12+AB12+AG12</f>
        <v>1262.6106844125602</v>
      </c>
    </row>
    <row r="13" spans="1:36" ht="15.6" x14ac:dyDescent="0.3">
      <c r="A13" s="2" t="s">
        <v>10</v>
      </c>
      <c r="B13" s="114">
        <f>+B10/((B11+B9)^B12)</f>
        <v>66.112116056163856</v>
      </c>
      <c r="C13" s="115"/>
      <c r="D13" s="1"/>
      <c r="E13" s="2" t="s">
        <v>10</v>
      </c>
      <c r="F13" s="114">
        <f>+F10/((F11+F9)^F12)</f>
        <v>59.35374391091122</v>
      </c>
      <c r="G13" s="155"/>
      <c r="H13" s="161">
        <v>90</v>
      </c>
      <c r="I13" s="143">
        <f t="shared" si="0"/>
        <v>0.32</v>
      </c>
      <c r="J13" s="144">
        <f t="shared" si="1"/>
        <v>1.836447668226774E-5</v>
      </c>
      <c r="K13" s="49">
        <f t="shared" si="2"/>
        <v>0.38509474931423626</v>
      </c>
      <c r="L13" s="51">
        <f t="shared" si="3"/>
        <v>20910644.887763031</v>
      </c>
      <c r="M13" s="162">
        <f t="shared" si="4"/>
        <v>122.8841761448017</v>
      </c>
      <c r="N13" s="170">
        <f t="shared" si="5"/>
        <v>0.62</v>
      </c>
      <c r="O13" s="144">
        <f t="shared" si="6"/>
        <v>1.6487151086364228E-5</v>
      </c>
      <c r="P13" s="49">
        <f t="shared" si="7"/>
        <v>0.64577766646131129</v>
      </c>
      <c r="Q13" s="51">
        <f t="shared" si="8"/>
        <v>30674439.156912286</v>
      </c>
      <c r="R13" s="162">
        <f t="shared" si="9"/>
        <v>313.55514997908989</v>
      </c>
      <c r="S13" s="170">
        <f t="shared" si="10"/>
        <v>0.41</v>
      </c>
      <c r="T13" s="144">
        <f t="shared" si="11"/>
        <v>1.3515413145861479E-5</v>
      </c>
      <c r="U13" s="49">
        <f>+IF(H13&lt;$B$29,H13/$B$29,IF(AND(H13&gt;=$B$29,H13&lt;=$B$29+20),1,IF(AND(H13&gt;$B$29+20,H13&lt;=$B$29+20+$B$29),(1-(H13-($B$29+20))/$B$29),0)))</f>
        <v>1</v>
      </c>
      <c r="V13" s="51">
        <f t="shared" si="12"/>
        <v>49800000</v>
      </c>
      <c r="W13" s="162">
        <f t="shared" si="13"/>
        <v>275.95770561219962</v>
      </c>
      <c r="X13" s="170">
        <f t="shared" si="14"/>
        <v>0.52</v>
      </c>
      <c r="Y13" s="144">
        <f t="shared" si="15"/>
        <v>1.8163107825245347E-5</v>
      </c>
      <c r="Z13" s="49">
        <f>+IF(H13&lt;$F$29,H13/$F$29,IF(AND(H13&gt;=$F$29,H13&lt;=$F$29+20),1,IF(AND(H13&gt;$F$29+20,H13&lt;=$F$29+20+$F$29),(1-(H13-($F$29+20))/$F$29),0)))</f>
        <v>0.41434044028478834</v>
      </c>
      <c r="AA13" s="51">
        <f t="shared" si="16"/>
        <v>15081992.026366295</v>
      </c>
      <c r="AB13" s="162">
        <f t="shared" si="17"/>
        <v>142.44664064507845</v>
      </c>
      <c r="AC13" s="170">
        <f t="shared" si="18"/>
        <v>0.44</v>
      </c>
      <c r="AD13" s="144">
        <f t="shared" si="19"/>
        <v>1.0473956223456016E-5</v>
      </c>
      <c r="AE13" s="49">
        <f>+IF(H13&lt;$B$53,H13/$B$53,IF(AND(H13&gt;=$B$53,H13&lt;=$B$53+20),1,IF(AND(H13&gt;$B$53+20,H13&lt;=$B$53+20+$B$53),(1-(H13-($B$53+20))/$B$53),0)))</f>
        <v>0.87096774193548376</v>
      </c>
      <c r="AF13" s="51">
        <f t="shared" si="21"/>
        <v>39629032.258064508</v>
      </c>
      <c r="AG13" s="162">
        <f t="shared" si="20"/>
        <v>182.63200958151336</v>
      </c>
      <c r="AH13" s="173">
        <f>M13+R13+W13+AB13+AG13</f>
        <v>1037.475681962683</v>
      </c>
    </row>
    <row r="14" spans="1:36" ht="16.2" thickBot="1" x14ac:dyDescent="0.35">
      <c r="A14" s="11" t="s">
        <v>10</v>
      </c>
      <c r="B14" s="104">
        <f>+B13*(1/1000)*(1/3600)</f>
        <v>1.836447668226774E-5</v>
      </c>
      <c r="C14" s="105"/>
      <c r="D14" s="1"/>
      <c r="E14" s="11" t="s">
        <v>10</v>
      </c>
      <c r="F14" s="104">
        <f>+F13*(1/1000)*(1/3600)</f>
        <v>1.6487151086364228E-5</v>
      </c>
      <c r="G14" s="156"/>
      <c r="H14" s="161">
        <v>100</v>
      </c>
      <c r="I14" s="143">
        <f t="shared" si="0"/>
        <v>0.32</v>
      </c>
      <c r="J14" s="144">
        <f t="shared" si="1"/>
        <v>1.836447668226774E-5</v>
      </c>
      <c r="K14" s="49">
        <f t="shared" si="2"/>
        <v>0.15439399921627006</v>
      </c>
      <c r="L14" s="51">
        <f t="shared" si="3"/>
        <v>8383594.1574434647</v>
      </c>
      <c r="M14" s="162">
        <f t="shared" si="4"/>
        <v>49.267302213749304</v>
      </c>
      <c r="N14" s="170">
        <f t="shared" si="5"/>
        <v>0.62</v>
      </c>
      <c r="O14" s="144">
        <f t="shared" si="6"/>
        <v>1.6487151086364228E-5</v>
      </c>
      <c r="P14" s="49">
        <f t="shared" si="7"/>
        <v>0.45231733309864153</v>
      </c>
      <c r="Q14" s="51">
        <f t="shared" si="8"/>
        <v>21485073.322185472</v>
      </c>
      <c r="R14" s="162">
        <f t="shared" si="9"/>
        <v>219.6211429779809</v>
      </c>
      <c r="S14" s="170">
        <f t="shared" si="10"/>
        <v>0.41</v>
      </c>
      <c r="T14" s="144">
        <f t="shared" si="11"/>
        <v>1.3515413145861479E-5</v>
      </c>
      <c r="U14" s="49">
        <f>+IF(H14&lt;$B$29,H14/$B$29,IF(AND(H14&gt;=$B$29,H14&lt;=$B$29+20),1,IF(AND(H14&gt;$B$29+20,H14&lt;=$B$29+20+$B$29),(1-(H14-($B$29+20))/$B$29),0)))</f>
        <v>0.86635959746972857</v>
      </c>
      <c r="V14" s="51">
        <f t="shared" si="12"/>
        <v>43144707.953992486</v>
      </c>
      <c r="W14" s="162">
        <f t="shared" si="13"/>
        <v>239.07860675285517</v>
      </c>
      <c r="X14" s="170">
        <f t="shared" si="14"/>
        <v>0.52</v>
      </c>
      <c r="Y14" s="144">
        <f t="shared" si="15"/>
        <v>1.8163107825245347E-5</v>
      </c>
      <c r="Z14" s="49">
        <f>+IF(H14&lt;$F$29,H14/$F$29,IF(AND(H14&gt;=$F$29,H14&lt;=$F$29+20),1,IF(AND(H14&gt;$F$29+20,H14&lt;=$F$29+20+$F$29),(1-(H14-($F$29+20))/$F$29),0)))</f>
        <v>0.18781764603975815</v>
      </c>
      <c r="AA14" s="51">
        <f t="shared" si="16"/>
        <v>6836562.3158471966</v>
      </c>
      <c r="AB14" s="162">
        <f t="shared" si="17"/>
        <v>64.57007361830567</v>
      </c>
      <c r="AC14" s="170">
        <f t="shared" si="18"/>
        <v>0.44</v>
      </c>
      <c r="AD14" s="144">
        <f t="shared" si="19"/>
        <v>1.0473956223456016E-5</v>
      </c>
      <c r="AE14" s="49">
        <f>+IF(H14&lt;$B$53,H14/$B$53,IF(AND(H14&gt;=$B$53,H14&lt;=$B$53+20),1,IF(AND(H14&gt;$B$53+20,H14&lt;=$B$53+20+$B$53),(1-(H14-($B$53+20))/$B$53),0)))</f>
        <v>0.96774193548387089</v>
      </c>
      <c r="AF14" s="51">
        <f t="shared" si="21"/>
        <v>44032258.064516127</v>
      </c>
      <c r="AG14" s="162">
        <f t="shared" si="20"/>
        <v>202.92445509057043</v>
      </c>
      <c r="AH14" s="173">
        <f>M14+R14+W14+AB14+AG14</f>
        <v>775.4615806534614</v>
      </c>
    </row>
    <row r="15" spans="1:36" x14ac:dyDescent="0.3">
      <c r="H15" s="161">
        <v>110</v>
      </c>
      <c r="I15" s="143">
        <f t="shared" si="0"/>
        <v>0.32</v>
      </c>
      <c r="J15" s="144">
        <f t="shared" si="1"/>
        <v>1.836447668226774E-5</v>
      </c>
      <c r="K15" s="49">
        <f t="shared" si="2"/>
        <v>0</v>
      </c>
      <c r="L15" s="51">
        <f t="shared" si="3"/>
        <v>0</v>
      </c>
      <c r="M15" s="162">
        <f t="shared" si="4"/>
        <v>0</v>
      </c>
      <c r="N15" s="170">
        <f t="shared" si="5"/>
        <v>0.62</v>
      </c>
      <c r="O15" s="144">
        <f t="shared" si="6"/>
        <v>1.6487151086364228E-5</v>
      </c>
      <c r="P15" s="49">
        <f t="shared" si="7"/>
        <v>0.25885699973597176</v>
      </c>
      <c r="Q15" s="51">
        <f t="shared" si="8"/>
        <v>12295707.487458659</v>
      </c>
      <c r="R15" s="162">
        <f t="shared" si="9"/>
        <v>125.68713597687189</v>
      </c>
      <c r="S15" s="170">
        <f t="shared" si="10"/>
        <v>0.41</v>
      </c>
      <c r="T15" s="144">
        <f t="shared" si="11"/>
        <v>1.3515413145861479E-5</v>
      </c>
      <c r="U15" s="49">
        <f>+IF(H15&lt;$B$29,H15/$B$29,IF(AND(H15&gt;=$B$29,H15&lt;=$B$29+20),1,IF(AND(H15&gt;$B$29+20,H15&lt;=$B$29+20+$B$29),(1-(H15-($B$29+20))/$B$29),0)))</f>
        <v>0.72465454715344468</v>
      </c>
      <c r="V15" s="51">
        <f t="shared" si="12"/>
        <v>36087796.448241547</v>
      </c>
      <c r="W15" s="162">
        <f t="shared" si="13"/>
        <v>199.97400619391217</v>
      </c>
      <c r="X15" s="170">
        <f t="shared" si="14"/>
        <v>0.52</v>
      </c>
      <c r="Y15" s="144">
        <f t="shared" si="15"/>
        <v>1.8163107825245347E-5</v>
      </c>
      <c r="Z15" s="49">
        <f>+IF(H15&lt;$F$29,H15/$F$29,IF(AND(H15&gt;=$F$29,H15&lt;=$F$29+20),1,IF(AND(H15&gt;$F$29+20,H15&lt;=$F$29+20+$F$29),(1-(H15-($F$29+20))/$F$29),0)))</f>
        <v>0</v>
      </c>
      <c r="AA15" s="51">
        <f t="shared" si="16"/>
        <v>0</v>
      </c>
      <c r="AB15" s="162">
        <f t="shared" si="17"/>
        <v>0</v>
      </c>
      <c r="AC15" s="170">
        <f t="shared" si="18"/>
        <v>0.44</v>
      </c>
      <c r="AD15" s="144">
        <f t="shared" si="19"/>
        <v>1.0473956223456016E-5</v>
      </c>
      <c r="AE15" s="49">
        <f>+IF(H15&lt;$B$53,H15/$B$53,IF(AND(H15&gt;=$B$53,H15&lt;=$B$53+20),1,IF(AND(H15&gt;$B$53+20,H15&lt;=$B$53+20+$B$53),(1-(H15-($B$53+20))/$B$53),0)))</f>
        <v>1</v>
      </c>
      <c r="AF15" s="51">
        <f t="shared" si="21"/>
        <v>45500000</v>
      </c>
      <c r="AG15" s="162">
        <f t="shared" si="20"/>
        <v>209.68860359358945</v>
      </c>
      <c r="AH15" s="173">
        <f>M15+R15+W15+AB15+AG15</f>
        <v>535.34974576437344</v>
      </c>
    </row>
    <row r="16" spans="1:36" x14ac:dyDescent="0.3">
      <c r="A16" s="106" t="s">
        <v>41</v>
      </c>
      <c r="B16" s="107"/>
      <c r="C16" s="108"/>
      <c r="D16" s="48"/>
      <c r="E16" s="106" t="s">
        <v>52</v>
      </c>
      <c r="F16" s="107"/>
      <c r="G16" s="107"/>
      <c r="H16" s="161">
        <v>120</v>
      </c>
      <c r="I16" s="143">
        <f t="shared" si="0"/>
        <v>0.32</v>
      </c>
      <c r="J16" s="144">
        <f t="shared" si="1"/>
        <v>1.836447668226774E-5</v>
      </c>
      <c r="K16" s="49">
        <f t="shared" si="2"/>
        <v>0</v>
      </c>
      <c r="L16" s="51">
        <f t="shared" si="3"/>
        <v>0</v>
      </c>
      <c r="M16" s="162">
        <f t="shared" si="4"/>
        <v>0</v>
      </c>
      <c r="N16" s="170">
        <f t="shared" si="5"/>
        <v>0.62</v>
      </c>
      <c r="O16" s="144">
        <f t="shared" si="6"/>
        <v>1.6487151086364228E-5</v>
      </c>
      <c r="P16" s="49">
        <f t="shared" si="7"/>
        <v>6.5396666373301993E-2</v>
      </c>
      <c r="Q16" s="51">
        <f t="shared" si="8"/>
        <v>3106341.6527318447</v>
      </c>
      <c r="R16" s="162">
        <f t="shared" si="9"/>
        <v>31.753128975762895</v>
      </c>
      <c r="S16" s="170">
        <f t="shared" si="10"/>
        <v>0.41</v>
      </c>
      <c r="T16" s="144">
        <f t="shared" si="11"/>
        <v>1.3515413145861479E-5</v>
      </c>
      <c r="U16" s="49">
        <f>+IF(H16&lt;$B$29,H16/$B$29,IF(AND(H16&gt;=$B$29,H16&lt;=$B$29+20),1,IF(AND(H16&gt;$B$29+20,H16&lt;=$B$29+20+$B$29),(1-(H16-($B$29+20))/$B$29),0)))</f>
        <v>0.58294949683716069</v>
      </c>
      <c r="V16" s="51">
        <f t="shared" si="12"/>
        <v>29030884.942490604</v>
      </c>
      <c r="W16" s="162">
        <f t="shared" si="13"/>
        <v>160.86940563496913</v>
      </c>
      <c r="X16" s="170">
        <f t="shared" si="14"/>
        <v>0.52</v>
      </c>
      <c r="Y16" s="144">
        <f t="shared" si="15"/>
        <v>1.8163107825245347E-5</v>
      </c>
      <c r="Z16" s="49">
        <f>+IF(H16&lt;$F$29,H16/$F$29,IF(AND(H16&gt;=$F$29,H16&lt;=$F$29+20),1,IF(AND(H16&gt;$F$29+20,H16&lt;=$F$29+20+$F$29),(1-(H16-($F$29+20))/$F$29),0)))</f>
        <v>0</v>
      </c>
      <c r="AA16" s="51">
        <f t="shared" si="16"/>
        <v>0</v>
      </c>
      <c r="AB16" s="162">
        <f t="shared" si="17"/>
        <v>0</v>
      </c>
      <c r="AC16" s="170">
        <f t="shared" si="18"/>
        <v>0.44</v>
      </c>
      <c r="AD16" s="144">
        <f t="shared" si="19"/>
        <v>1.0473956223456016E-5</v>
      </c>
      <c r="AE16" s="49">
        <f>+IF(H16&lt;$B$53,H16/$B$53,IF(AND(H16&gt;=$B$53,H16&lt;=$B$53+20),1,IF(AND(H16&gt;$B$53+20,H16&lt;=$B$53+20+$B$53),(1-(H16-($B$53+20))/$B$53),0)))</f>
        <v>1</v>
      </c>
      <c r="AF16" s="51">
        <f t="shared" si="21"/>
        <v>45500000</v>
      </c>
      <c r="AG16" s="162">
        <f t="shared" si="20"/>
        <v>209.68860359358945</v>
      </c>
      <c r="AH16" s="173">
        <f>M16+R16+W16+AB16+AG16</f>
        <v>402.31113820432148</v>
      </c>
    </row>
    <row r="17" spans="1:35" x14ac:dyDescent="0.3">
      <c r="A17" s="109">
        <f>+B9+20+B9</f>
        <v>106.69239259736725</v>
      </c>
      <c r="B17" s="110"/>
      <c r="C17" s="111"/>
      <c r="D17" s="48"/>
      <c r="E17" s="109">
        <f>+F9+20+F9</f>
        <v>123.38036564067664</v>
      </c>
      <c r="F17" s="110"/>
      <c r="G17" s="110"/>
      <c r="H17" s="161">
        <v>130</v>
      </c>
      <c r="I17" s="143">
        <f t="shared" si="0"/>
        <v>0.32</v>
      </c>
      <c r="J17" s="144">
        <f t="shared" si="1"/>
        <v>1.836447668226774E-5</v>
      </c>
      <c r="K17" s="49">
        <f t="shared" si="2"/>
        <v>0</v>
      </c>
      <c r="L17" s="51">
        <f t="shared" si="3"/>
        <v>0</v>
      </c>
      <c r="M17" s="162">
        <f t="shared" si="4"/>
        <v>0</v>
      </c>
      <c r="N17" s="170">
        <f t="shared" si="5"/>
        <v>0.62</v>
      </c>
      <c r="O17" s="144">
        <f t="shared" si="6"/>
        <v>1.6487151086364228E-5</v>
      </c>
      <c r="P17" s="49">
        <f t="shared" si="7"/>
        <v>0</v>
      </c>
      <c r="Q17" s="51">
        <f t="shared" si="8"/>
        <v>0</v>
      </c>
      <c r="R17" s="162">
        <f t="shared" si="9"/>
        <v>0</v>
      </c>
      <c r="S17" s="170">
        <f t="shared" si="10"/>
        <v>0.41</v>
      </c>
      <c r="T17" s="144">
        <f t="shared" si="11"/>
        <v>1.3515413145861479E-5</v>
      </c>
      <c r="U17" s="49">
        <f>+IF(H17&lt;$B$29,H17/$B$29,IF(AND(H17&gt;=$B$29,H17&lt;=$B$29+20),1,IF(AND(H17&gt;$B$29+20,H17&lt;=$B$29+20+$B$29),(1-(H17-($B$29+20))/$B$29),0)))</f>
        <v>0.4412444465208768</v>
      </c>
      <c r="V17" s="51">
        <f t="shared" si="12"/>
        <v>21973973.436739665</v>
      </c>
      <c r="W17" s="162">
        <f t="shared" si="13"/>
        <v>121.76480507602611</v>
      </c>
      <c r="X17" s="170">
        <f t="shared" si="14"/>
        <v>0.52</v>
      </c>
      <c r="Y17" s="144">
        <f t="shared" si="15"/>
        <v>1.8163107825245347E-5</v>
      </c>
      <c r="Z17" s="49">
        <f>+IF(H17&lt;$F$29,H17/$F$29,IF(AND(H17&gt;=$F$29,H17&lt;=$F$29+20),1,IF(AND(H17&gt;$F$29+20,H17&lt;=$F$29+20+$F$29),(1-(H17-($F$29+20))/$F$29),0)))</f>
        <v>0</v>
      </c>
      <c r="AA17" s="51">
        <f t="shared" si="16"/>
        <v>0</v>
      </c>
      <c r="AB17" s="162">
        <f t="shared" si="17"/>
        <v>0</v>
      </c>
      <c r="AC17" s="170">
        <f t="shared" si="18"/>
        <v>0.44</v>
      </c>
      <c r="AD17" s="144">
        <f t="shared" si="19"/>
        <v>1.0473956223456016E-5</v>
      </c>
      <c r="AE17" s="49">
        <f>+IF(H17&lt;$B$53,H17/$B$53,IF(AND(H17&gt;=$B$53,H17&lt;=$B$53+20),1,IF(AND(H17&gt;$B$53+20,H17&lt;=$B$53+20+$B$53),(1-(H17-($B$53+20))/$B$53),0)))</f>
        <v>0.93548387096774199</v>
      </c>
      <c r="AF17" s="51">
        <f t="shared" si="21"/>
        <v>42564516.129032262</v>
      </c>
      <c r="AG17" s="162">
        <f t="shared" si="20"/>
        <v>196.16030658755142</v>
      </c>
      <c r="AH17" s="173">
        <f>M17+R17+W17+AB17+AG17</f>
        <v>317.92511166357752</v>
      </c>
    </row>
    <row r="18" spans="1:35" x14ac:dyDescent="0.3">
      <c r="H18" s="161">
        <v>140</v>
      </c>
      <c r="I18" s="143">
        <f t="shared" si="0"/>
        <v>0.32</v>
      </c>
      <c r="J18" s="144">
        <f t="shared" si="1"/>
        <v>1.836447668226774E-5</v>
      </c>
      <c r="K18" s="49">
        <f t="shared" si="2"/>
        <v>0</v>
      </c>
      <c r="L18" s="51">
        <f t="shared" si="3"/>
        <v>0</v>
      </c>
      <c r="M18" s="162">
        <f t="shared" si="4"/>
        <v>0</v>
      </c>
      <c r="N18" s="170">
        <f t="shared" si="5"/>
        <v>0.62</v>
      </c>
      <c r="O18" s="144">
        <f t="shared" si="6"/>
        <v>1.6487151086364228E-5</v>
      </c>
      <c r="P18" s="49">
        <f t="shared" si="7"/>
        <v>0</v>
      </c>
      <c r="Q18" s="51">
        <f t="shared" si="8"/>
        <v>0</v>
      </c>
      <c r="R18" s="162">
        <f t="shared" si="9"/>
        <v>0</v>
      </c>
      <c r="S18" s="170">
        <f t="shared" si="10"/>
        <v>0.41</v>
      </c>
      <c r="T18" s="144">
        <f t="shared" si="11"/>
        <v>1.3515413145861479E-5</v>
      </c>
      <c r="U18" s="49">
        <f>+IF(H18&lt;$B$29,H18/$B$29,IF(AND(H18&gt;=$B$29,H18&lt;=$B$29+20),1,IF(AND(H18&gt;$B$29+20,H18&lt;=$B$29+20+$B$29),(1-(H18-($B$29+20))/$B$29),0)))</f>
        <v>0.29953939620459291</v>
      </c>
      <c r="V18" s="51">
        <f t="shared" si="12"/>
        <v>14917061.930988727</v>
      </c>
      <c r="W18" s="162">
        <f t="shared" si="13"/>
        <v>82.660204517083088</v>
      </c>
      <c r="X18" s="170">
        <f t="shared" si="14"/>
        <v>0.52</v>
      </c>
      <c r="Y18" s="144">
        <f t="shared" si="15"/>
        <v>1.8163107825245347E-5</v>
      </c>
      <c r="Z18" s="49">
        <f>+IF(H18&lt;$F$29,H18/$F$29,IF(AND(H18&gt;=$F$29,H18&lt;=$F$29+20),1,IF(AND(H18&gt;$F$29+20,H18&lt;=$F$29+20+$F$29),(1-(H18-($F$29+20))/$F$29),0)))</f>
        <v>0</v>
      </c>
      <c r="AA18" s="51">
        <f t="shared" si="16"/>
        <v>0</v>
      </c>
      <c r="AB18" s="162">
        <f t="shared" si="17"/>
        <v>0</v>
      </c>
      <c r="AC18" s="170">
        <f t="shared" si="18"/>
        <v>0.44</v>
      </c>
      <c r="AD18" s="144">
        <f t="shared" si="19"/>
        <v>1.0473956223456016E-5</v>
      </c>
      <c r="AE18" s="49">
        <f>+IF(H18&lt;$B$53,H18/$B$53,IF(AND(H18&gt;=$B$53,H18&lt;=$B$53+20),1,IF(AND(H18&gt;$B$53+20,H18&lt;=$B$53+20+$B$53),(1-(H18-($B$53+20))/$B$53),0)))</f>
        <v>0.83870967741935498</v>
      </c>
      <c r="AF18" s="51">
        <f t="shared" si="21"/>
        <v>38161290.32258065</v>
      </c>
      <c r="AG18" s="162">
        <f t="shared" si="20"/>
        <v>175.86786107849437</v>
      </c>
      <c r="AH18" s="173">
        <f>M18+R18+W18+AB18+AG18</f>
        <v>258.52806559557746</v>
      </c>
    </row>
    <row r="19" spans="1:35" x14ac:dyDescent="0.3">
      <c r="H19" s="161">
        <v>150</v>
      </c>
      <c r="I19" s="143">
        <f t="shared" si="0"/>
        <v>0.32</v>
      </c>
      <c r="J19" s="144">
        <f t="shared" si="1"/>
        <v>1.836447668226774E-5</v>
      </c>
      <c r="K19" s="49">
        <f t="shared" si="2"/>
        <v>0</v>
      </c>
      <c r="L19" s="51">
        <f t="shared" si="3"/>
        <v>0</v>
      </c>
      <c r="M19" s="162">
        <f t="shared" si="4"/>
        <v>0</v>
      </c>
      <c r="N19" s="170">
        <f t="shared" si="5"/>
        <v>0.62</v>
      </c>
      <c r="O19" s="144">
        <f t="shared" si="6"/>
        <v>1.6487151086364228E-5</v>
      </c>
      <c r="P19" s="49">
        <f t="shared" si="7"/>
        <v>0</v>
      </c>
      <c r="Q19" s="51">
        <f t="shared" si="8"/>
        <v>0</v>
      </c>
      <c r="R19" s="162">
        <f t="shared" si="9"/>
        <v>0</v>
      </c>
      <c r="S19" s="170">
        <f t="shared" si="10"/>
        <v>0.41</v>
      </c>
      <c r="T19" s="144">
        <f t="shared" si="11"/>
        <v>1.3515413145861479E-5</v>
      </c>
      <c r="U19" s="49">
        <f>+IF(H19&lt;$B$29,H19/$B$29,IF(AND(H19&gt;=$B$29,H19&lt;=$B$29+20),1,IF(AND(H19&gt;$B$29+20,H19&lt;=$B$29+20+$B$29),(1-(H19-($B$29+20))/$B$29),0)))</f>
        <v>0.15783434588830902</v>
      </c>
      <c r="V19" s="51">
        <f t="shared" si="12"/>
        <v>7860150.4252377898</v>
      </c>
      <c r="W19" s="162">
        <f t="shared" si="13"/>
        <v>43.555603958140075</v>
      </c>
      <c r="X19" s="170">
        <f t="shared" si="14"/>
        <v>0.52</v>
      </c>
      <c r="Y19" s="144">
        <f t="shared" si="15"/>
        <v>1.8163107825245347E-5</v>
      </c>
      <c r="Z19" s="49">
        <f>+IF(H19&lt;$F$29,H19/$F$29,IF(AND(H19&gt;=$F$29,H19&lt;=$F$29+20),1,IF(AND(H19&gt;$F$29+20,H19&lt;=$F$29+20+$F$29),(1-(H19-($F$29+20))/$F$29),0)))</f>
        <v>0</v>
      </c>
      <c r="AA19" s="51">
        <f t="shared" si="16"/>
        <v>0</v>
      </c>
      <c r="AB19" s="162">
        <f t="shared" si="17"/>
        <v>0</v>
      </c>
      <c r="AC19" s="170">
        <f t="shared" si="18"/>
        <v>0.44</v>
      </c>
      <c r="AD19" s="144">
        <f t="shared" si="19"/>
        <v>1.0473956223456016E-5</v>
      </c>
      <c r="AE19" s="49">
        <f>+IF(H19&lt;$B$53,H19/$B$53,IF(AND(H19&gt;=$B$53,H19&lt;=$B$53+20),1,IF(AND(H19&gt;$B$53+20,H19&lt;=$B$53+20+$B$53),(1-(H19-($B$53+20))/$B$53),0)))</f>
        <v>0.74193548387096786</v>
      </c>
      <c r="AF19" s="51">
        <f t="shared" si="21"/>
        <v>33758064.516129039</v>
      </c>
      <c r="AG19" s="162">
        <f t="shared" si="20"/>
        <v>155.57541556943735</v>
      </c>
      <c r="AH19" s="173">
        <f>M19+R19+W19+AB19+AG19</f>
        <v>199.13101952757742</v>
      </c>
    </row>
    <row r="20" spans="1:35" ht="15" thickBot="1" x14ac:dyDescent="0.35">
      <c r="H20" s="161">
        <v>160</v>
      </c>
      <c r="I20" s="143">
        <f t="shared" si="0"/>
        <v>0.32</v>
      </c>
      <c r="J20" s="144">
        <f t="shared" si="1"/>
        <v>1.836447668226774E-5</v>
      </c>
      <c r="K20" s="49">
        <f t="shared" si="2"/>
        <v>0</v>
      </c>
      <c r="L20" s="51">
        <f t="shared" si="3"/>
        <v>0</v>
      </c>
      <c r="M20" s="162">
        <f t="shared" si="4"/>
        <v>0</v>
      </c>
      <c r="N20" s="170">
        <f t="shared" si="5"/>
        <v>0.62</v>
      </c>
      <c r="O20" s="144">
        <f t="shared" si="6"/>
        <v>1.6487151086364228E-5</v>
      </c>
      <c r="P20" s="49">
        <f t="shared" si="7"/>
        <v>0</v>
      </c>
      <c r="Q20" s="51">
        <f t="shared" si="8"/>
        <v>0</v>
      </c>
      <c r="R20" s="162">
        <f t="shared" si="9"/>
        <v>0</v>
      </c>
      <c r="S20" s="170">
        <f t="shared" si="10"/>
        <v>0.41</v>
      </c>
      <c r="T20" s="144">
        <f t="shared" si="11"/>
        <v>1.3515413145861479E-5</v>
      </c>
      <c r="U20" s="49">
        <f>+IF(H20&lt;$B$29,H20/$B$29,IF(AND(H20&gt;=$B$29,H20&lt;=$B$29+20),1,IF(AND(H20&gt;$B$29+20,H20&lt;=$B$29+20+$B$29),(1-(H20-($B$29+20))/$B$29),0)))</f>
        <v>1.6129295572025026E-2</v>
      </c>
      <c r="V20" s="51">
        <f t="shared" si="12"/>
        <v>803238.91948684631</v>
      </c>
      <c r="W20" s="162">
        <f t="shared" si="13"/>
        <v>4.4510033991970381</v>
      </c>
      <c r="X20" s="170">
        <f t="shared" si="14"/>
        <v>0.52</v>
      </c>
      <c r="Y20" s="144">
        <f t="shared" si="15"/>
        <v>1.8163107825245347E-5</v>
      </c>
      <c r="Z20" s="49">
        <f>+IF(H20&lt;$F$29,H20/$F$29,IF(AND(H20&gt;=$F$29,H20&lt;=$F$29+20),1,IF(AND(H20&gt;$F$29+20,H20&lt;=$F$29+20+$F$29),(1-(H20-($F$29+20))/$F$29),0)))</f>
        <v>0</v>
      </c>
      <c r="AA20" s="51">
        <f t="shared" si="16"/>
        <v>0</v>
      </c>
      <c r="AB20" s="162">
        <f t="shared" si="17"/>
        <v>0</v>
      </c>
      <c r="AC20" s="170">
        <f t="shared" si="18"/>
        <v>0.44</v>
      </c>
      <c r="AD20" s="144">
        <f t="shared" si="19"/>
        <v>1.0473956223456016E-5</v>
      </c>
      <c r="AE20" s="49">
        <f>+IF(H20&lt;$B$53,H20/$B$53,IF(AND(H20&gt;=$B$53,H20&lt;=$B$53+20),1,IF(AND(H20&gt;$B$53+20,H20&lt;=$B$53+20+$B$53),(1-(H20-($B$53+20))/$B$53),0)))</f>
        <v>0.64516129032258074</v>
      </c>
      <c r="AF20" s="51">
        <f t="shared" si="21"/>
        <v>29354838.709677424</v>
      </c>
      <c r="AG20" s="162">
        <f t="shared" si="20"/>
        <v>135.28297006038031</v>
      </c>
      <c r="AH20" s="173">
        <f>M20+R20+W20+AB20+AG20</f>
        <v>139.73397345957736</v>
      </c>
    </row>
    <row r="21" spans="1:35" ht="16.2" thickBot="1" x14ac:dyDescent="0.35">
      <c r="A21" s="120" t="s">
        <v>45</v>
      </c>
      <c r="B21" s="121"/>
      <c r="C21" s="121"/>
      <c r="D21" s="121"/>
      <c r="E21" s="121"/>
      <c r="F21" s="121"/>
      <c r="G21" s="121"/>
      <c r="H21" s="161">
        <v>170</v>
      </c>
      <c r="I21" s="143">
        <f t="shared" si="0"/>
        <v>0.32</v>
      </c>
      <c r="J21" s="144">
        <f t="shared" si="1"/>
        <v>1.836447668226774E-5</v>
      </c>
      <c r="K21" s="49">
        <f t="shared" si="2"/>
        <v>0</v>
      </c>
      <c r="L21" s="51">
        <f t="shared" si="3"/>
        <v>0</v>
      </c>
      <c r="M21" s="162">
        <f t="shared" si="4"/>
        <v>0</v>
      </c>
      <c r="N21" s="170">
        <f t="shared" si="5"/>
        <v>0.62</v>
      </c>
      <c r="O21" s="144">
        <f t="shared" si="6"/>
        <v>1.6487151086364228E-5</v>
      </c>
      <c r="P21" s="49">
        <f t="shared" si="7"/>
        <v>0</v>
      </c>
      <c r="Q21" s="51">
        <f t="shared" si="8"/>
        <v>0</v>
      </c>
      <c r="R21" s="162">
        <f t="shared" si="9"/>
        <v>0</v>
      </c>
      <c r="S21" s="170">
        <f t="shared" si="10"/>
        <v>0.41</v>
      </c>
      <c r="T21" s="144">
        <f t="shared" si="11"/>
        <v>1.3515413145861479E-5</v>
      </c>
      <c r="U21" s="49">
        <f>+IF(H21&lt;$B$29,H21/$B$29,IF(AND(H21&gt;=$B$29,H21&lt;=$B$29+20),1,IF(AND(H21&gt;$B$29+20,H21&lt;=$B$29+20+$B$29),(1-(H21-($B$29+20))/$B$29),0)))</f>
        <v>0</v>
      </c>
      <c r="V21" s="51">
        <f t="shared" si="12"/>
        <v>0</v>
      </c>
      <c r="W21" s="162">
        <f t="shared" si="13"/>
        <v>0</v>
      </c>
      <c r="X21" s="170">
        <f t="shared" si="14"/>
        <v>0.52</v>
      </c>
      <c r="Y21" s="144">
        <f t="shared" si="15"/>
        <v>1.8163107825245347E-5</v>
      </c>
      <c r="Z21" s="49">
        <f>+IF(H21&lt;$F$29,H21/$F$29,IF(AND(H21&gt;=$F$29,H21&lt;=$F$29+20),1,IF(AND(H21&gt;$F$29+20,H21&lt;=$F$29+20+$F$29),(1-(H21-($F$29+20))/$F$29),0)))</f>
        <v>0</v>
      </c>
      <c r="AA21" s="51">
        <f t="shared" si="16"/>
        <v>0</v>
      </c>
      <c r="AB21" s="162">
        <f t="shared" si="17"/>
        <v>0</v>
      </c>
      <c r="AC21" s="170">
        <f t="shared" si="18"/>
        <v>0.44</v>
      </c>
      <c r="AD21" s="144">
        <f t="shared" si="19"/>
        <v>1.0473956223456016E-5</v>
      </c>
      <c r="AE21" s="49">
        <f>+IF(H21&lt;$B$53,H21/$B$53,IF(AND(H21&gt;=$B$53,H21&lt;=$B$53+20),1,IF(AND(H21&gt;$B$53+20,H21&lt;=$B$53+20+$B$53),(1-(H21-($B$53+20))/$B$53),0)))</f>
        <v>0.54838709677419373</v>
      </c>
      <c r="AF21" s="51">
        <f t="shared" si="21"/>
        <v>24951612.903225813</v>
      </c>
      <c r="AG21" s="162">
        <f t="shared" si="20"/>
        <v>114.99052455132326</v>
      </c>
      <c r="AH21" s="173">
        <f>M21+R21+W21+AB21+AG21</f>
        <v>114.99052455132326</v>
      </c>
    </row>
    <row r="22" spans="1:35" ht="15.6" x14ac:dyDescent="0.3">
      <c r="A22" s="139" t="s">
        <v>20</v>
      </c>
      <c r="B22" s="140"/>
      <c r="C22" s="141"/>
      <c r="D22" s="1"/>
      <c r="E22" s="139" t="s">
        <v>24</v>
      </c>
      <c r="F22" s="140"/>
      <c r="G22" s="157"/>
      <c r="H22" s="161">
        <v>180</v>
      </c>
      <c r="I22" s="143">
        <f t="shared" si="0"/>
        <v>0.32</v>
      </c>
      <c r="J22" s="144">
        <f t="shared" si="1"/>
        <v>1.836447668226774E-5</v>
      </c>
      <c r="K22" s="49">
        <f t="shared" si="2"/>
        <v>0</v>
      </c>
      <c r="L22" s="51">
        <f t="shared" si="3"/>
        <v>0</v>
      </c>
      <c r="M22" s="162">
        <f t="shared" si="4"/>
        <v>0</v>
      </c>
      <c r="N22" s="170">
        <f t="shared" si="5"/>
        <v>0.62</v>
      </c>
      <c r="O22" s="144">
        <f t="shared" si="6"/>
        <v>1.6487151086364228E-5</v>
      </c>
      <c r="P22" s="49">
        <f t="shared" si="7"/>
        <v>0</v>
      </c>
      <c r="Q22" s="51">
        <f t="shared" si="8"/>
        <v>0</v>
      </c>
      <c r="R22" s="162">
        <f t="shared" si="9"/>
        <v>0</v>
      </c>
      <c r="S22" s="170">
        <f t="shared" si="10"/>
        <v>0.41</v>
      </c>
      <c r="T22" s="144">
        <f t="shared" si="11"/>
        <v>1.3515413145861479E-5</v>
      </c>
      <c r="U22" s="49">
        <f>+IF(H22&lt;$B$29,H22/$B$29,IF(AND(H22&gt;=$B$29,H22&lt;=$B$29+20),1,IF(AND(H22&gt;$B$29+20,H22&lt;=$B$29+20+$B$29),(1-(H22-($B$29+20))/$B$29),0)))</f>
        <v>0</v>
      </c>
      <c r="V22" s="51">
        <f t="shared" si="12"/>
        <v>0</v>
      </c>
      <c r="W22" s="162">
        <f t="shared" si="13"/>
        <v>0</v>
      </c>
      <c r="X22" s="170">
        <f t="shared" si="14"/>
        <v>0.52</v>
      </c>
      <c r="Y22" s="144">
        <f t="shared" si="15"/>
        <v>1.8163107825245347E-5</v>
      </c>
      <c r="Z22" s="49">
        <f>+IF(H22&lt;$F$29,H22/$F$29,IF(AND(H22&gt;=$F$29,H22&lt;=$F$29+20),1,IF(AND(H22&gt;$F$29+20,H22&lt;=$F$29+20+$F$29),(1-(H22-($F$29+20))/$F$29),0)))</f>
        <v>0</v>
      </c>
      <c r="AA22" s="51">
        <f t="shared" si="16"/>
        <v>0</v>
      </c>
      <c r="AB22" s="162">
        <f t="shared" si="17"/>
        <v>0</v>
      </c>
      <c r="AC22" s="170">
        <f t="shared" si="18"/>
        <v>0.44</v>
      </c>
      <c r="AD22" s="144">
        <f t="shared" si="19"/>
        <v>1.0473956223456016E-5</v>
      </c>
      <c r="AE22" s="49">
        <f>+IF(H22&lt;$B$53,H22/$B$53,IF(AND(H22&gt;=$B$53,H22&lt;=$B$53+20),1,IF(AND(H22&gt;$B$53+20,H22&lt;=$B$53+20+$B$53),(1-(H22-($B$53+20))/$B$53),0)))</f>
        <v>0.45161290322580661</v>
      </c>
      <c r="AF22" s="51">
        <f t="shared" si="21"/>
        <v>20548387.096774202</v>
      </c>
      <c r="AG22" s="162">
        <f t="shared" si="20"/>
        <v>94.69807904226623</v>
      </c>
      <c r="AH22" s="173">
        <f>M22+R22+W22+AB22+AG22</f>
        <v>94.69807904226623</v>
      </c>
    </row>
    <row r="23" spans="1:35" ht="15.6" x14ac:dyDescent="0.3">
      <c r="A23" s="98" t="s">
        <v>1</v>
      </c>
      <c r="B23" s="99"/>
      <c r="C23" s="100"/>
      <c r="D23" s="1"/>
      <c r="E23" s="98" t="s">
        <v>34</v>
      </c>
      <c r="F23" s="99"/>
      <c r="G23" s="112"/>
      <c r="H23" s="161">
        <v>190</v>
      </c>
      <c r="I23" s="143">
        <f t="shared" si="0"/>
        <v>0.32</v>
      </c>
      <c r="J23" s="144">
        <f t="shared" si="1"/>
        <v>1.836447668226774E-5</v>
      </c>
      <c r="K23" s="49">
        <f t="shared" si="2"/>
        <v>0</v>
      </c>
      <c r="L23" s="51">
        <f t="shared" si="3"/>
        <v>0</v>
      </c>
      <c r="M23" s="162">
        <f t="shared" si="4"/>
        <v>0</v>
      </c>
      <c r="N23" s="170">
        <f t="shared" si="5"/>
        <v>0.62</v>
      </c>
      <c r="O23" s="144">
        <f t="shared" si="6"/>
        <v>1.6487151086364228E-5</v>
      </c>
      <c r="P23" s="49">
        <f t="shared" si="7"/>
        <v>0</v>
      </c>
      <c r="Q23" s="51">
        <f t="shared" si="8"/>
        <v>0</v>
      </c>
      <c r="R23" s="162">
        <f t="shared" si="9"/>
        <v>0</v>
      </c>
      <c r="S23" s="170">
        <f t="shared" si="10"/>
        <v>0.41</v>
      </c>
      <c r="T23" s="144">
        <f t="shared" si="11"/>
        <v>1.3515413145861479E-5</v>
      </c>
      <c r="U23" s="49">
        <f>+IF(H23&lt;$B$29,H23/$B$29,IF(AND(H23&gt;=$B$29,H23&lt;=$B$29+20),1,IF(AND(H23&gt;$B$29+20,H23&lt;=$B$29+20+$B$29),(1-(H23-($B$29+20))/$B$29),0)))</f>
        <v>0</v>
      </c>
      <c r="V23" s="51">
        <f t="shared" si="12"/>
        <v>0</v>
      </c>
      <c r="W23" s="162">
        <f t="shared" si="13"/>
        <v>0</v>
      </c>
      <c r="X23" s="170">
        <f t="shared" si="14"/>
        <v>0.52</v>
      </c>
      <c r="Y23" s="144">
        <f t="shared" si="15"/>
        <v>1.8163107825245347E-5</v>
      </c>
      <c r="Z23" s="49">
        <f>+IF(H23&lt;$F$29,H23/$F$29,IF(AND(H23&gt;=$F$29,H23&lt;=$F$29+20),1,IF(AND(H23&gt;$F$29+20,H23&lt;=$F$29+20+$F$29),(1-(H23-($F$29+20))/$F$29),0)))</f>
        <v>0</v>
      </c>
      <c r="AA23" s="51">
        <f t="shared" si="16"/>
        <v>0</v>
      </c>
      <c r="AB23" s="162">
        <f t="shared" si="17"/>
        <v>0</v>
      </c>
      <c r="AC23" s="170">
        <f t="shared" si="18"/>
        <v>0.44</v>
      </c>
      <c r="AD23" s="144">
        <f t="shared" si="19"/>
        <v>1.0473956223456016E-5</v>
      </c>
      <c r="AE23" s="49">
        <f>+IF(H23&lt;$B$53,H23/$B$53,IF(AND(H23&gt;=$B$53,H23&lt;=$B$53+20),1,IF(AND(H23&gt;$B$53+20,H23&lt;=$B$53+20+$B$53),(1-(H23-($B$53+20))/$B$53),0)))</f>
        <v>0.35483870967741948</v>
      </c>
      <c r="AF23" s="51">
        <f t="shared" si="21"/>
        <v>16145161.290322587</v>
      </c>
      <c r="AG23" s="162">
        <f t="shared" si="20"/>
        <v>74.405633533209183</v>
      </c>
      <c r="AH23" s="173">
        <f>M23+R23+W23+AB23+AG23</f>
        <v>74.405633533209183</v>
      </c>
    </row>
    <row r="24" spans="1:35" ht="15.6" x14ac:dyDescent="0.3">
      <c r="A24" s="2" t="s">
        <v>35</v>
      </c>
      <c r="B24" s="5">
        <f>Hoja1!B46</f>
        <v>9.1</v>
      </c>
      <c r="C24" s="6">
        <f>Hoja1!C46</f>
        <v>9100</v>
      </c>
      <c r="D24" s="1"/>
      <c r="E24" s="2" t="s">
        <v>35</v>
      </c>
      <c r="F24" s="5">
        <f>Hoja1!F46</f>
        <v>10.1</v>
      </c>
      <c r="G24" s="54">
        <f>Hoja1!G46</f>
        <v>10100</v>
      </c>
      <c r="H24" s="161">
        <v>200</v>
      </c>
      <c r="I24" s="143">
        <f t="shared" si="0"/>
        <v>0.32</v>
      </c>
      <c r="J24" s="144">
        <f t="shared" si="1"/>
        <v>1.836447668226774E-5</v>
      </c>
      <c r="K24" s="49">
        <f t="shared" si="2"/>
        <v>0</v>
      </c>
      <c r="L24" s="51">
        <f t="shared" si="3"/>
        <v>0</v>
      </c>
      <c r="M24" s="162">
        <f t="shared" si="4"/>
        <v>0</v>
      </c>
      <c r="N24" s="170">
        <f t="shared" si="5"/>
        <v>0.62</v>
      </c>
      <c r="O24" s="144">
        <f t="shared" si="6"/>
        <v>1.6487151086364228E-5</v>
      </c>
      <c r="P24" s="49">
        <f t="shared" si="7"/>
        <v>0</v>
      </c>
      <c r="Q24" s="51">
        <f t="shared" si="8"/>
        <v>0</v>
      </c>
      <c r="R24" s="162">
        <f t="shared" si="9"/>
        <v>0</v>
      </c>
      <c r="S24" s="170">
        <f t="shared" si="10"/>
        <v>0.41</v>
      </c>
      <c r="T24" s="144">
        <f t="shared" si="11"/>
        <v>1.3515413145861479E-5</v>
      </c>
      <c r="U24" s="49">
        <f>+IF(H24&lt;$B$29,H24/$B$29,IF(AND(H24&gt;=$B$29,H24&lt;=$B$29+20),1,IF(AND(H24&gt;$B$29+20,H24&lt;=$B$29+20+$B$29),(1-(H24-($B$29+20))/$B$29),0)))</f>
        <v>0</v>
      </c>
      <c r="V24" s="51">
        <f t="shared" si="12"/>
        <v>0</v>
      </c>
      <c r="W24" s="162">
        <f t="shared" si="13"/>
        <v>0</v>
      </c>
      <c r="X24" s="170">
        <f t="shared" si="14"/>
        <v>0.52</v>
      </c>
      <c r="Y24" s="144">
        <f t="shared" si="15"/>
        <v>1.8163107825245347E-5</v>
      </c>
      <c r="Z24" s="49">
        <f>+IF(H24&lt;$F$29,H24/$F$29,IF(AND(H24&gt;=$F$29,H24&lt;=$F$29+20),1,IF(AND(H24&gt;$F$29+20,H24&lt;=$F$29+20+$F$29),(1-(H24-($F$29+20))/$F$29),0)))</f>
        <v>0</v>
      </c>
      <c r="AA24" s="51">
        <f t="shared" si="16"/>
        <v>0</v>
      </c>
      <c r="AB24" s="162">
        <f t="shared" si="17"/>
        <v>0</v>
      </c>
      <c r="AC24" s="170">
        <f t="shared" si="18"/>
        <v>0.44</v>
      </c>
      <c r="AD24" s="144">
        <f t="shared" si="19"/>
        <v>1.0473956223456016E-5</v>
      </c>
      <c r="AE24" s="49">
        <f>+IF(H24&lt;$B$53,H24/$B$53,IF(AND(H24&gt;=$B$53,H24&lt;=$B$53+20),1,IF(AND(H24&gt;$B$53+20,H24&lt;=$B$53+20+$B$53),(1-(H24-($B$53+20))/$B$53),0)))</f>
        <v>0.25806451612903247</v>
      </c>
      <c r="AF24" s="51">
        <f t="shared" si="21"/>
        <v>11741935.483870978</v>
      </c>
      <c r="AG24" s="162">
        <f t="shared" si="20"/>
        <v>54.113188024152159</v>
      </c>
      <c r="AH24" s="173">
        <f>M24+R24+W24+AB24+AG24</f>
        <v>54.113188024152159</v>
      </c>
    </row>
    <row r="25" spans="1:35" ht="15.6" x14ac:dyDescent="0.3">
      <c r="A25" s="2" t="s">
        <v>36</v>
      </c>
      <c r="B25" s="7">
        <f>Hoja1!B47</f>
        <v>49.8</v>
      </c>
      <c r="C25" s="8">
        <f>Hoja1!C47</f>
        <v>49800000</v>
      </c>
      <c r="D25" s="1"/>
      <c r="E25" s="2" t="s">
        <v>36</v>
      </c>
      <c r="F25" s="7">
        <f>Hoja1!F47</f>
        <v>36.4</v>
      </c>
      <c r="G25" s="150">
        <f>Hoja1!G47</f>
        <v>36400000</v>
      </c>
      <c r="H25" s="161">
        <v>210</v>
      </c>
      <c r="I25" s="143">
        <f t="shared" si="0"/>
        <v>0.32</v>
      </c>
      <c r="J25" s="144">
        <f t="shared" si="1"/>
        <v>1.836447668226774E-5</v>
      </c>
      <c r="K25" s="49">
        <f t="shared" si="2"/>
        <v>0</v>
      </c>
      <c r="L25" s="51">
        <f t="shared" si="3"/>
        <v>0</v>
      </c>
      <c r="M25" s="162">
        <f t="shared" si="4"/>
        <v>0</v>
      </c>
      <c r="N25" s="170">
        <f t="shared" si="5"/>
        <v>0.62</v>
      </c>
      <c r="O25" s="144">
        <f t="shared" si="6"/>
        <v>1.6487151086364228E-5</v>
      </c>
      <c r="P25" s="49">
        <f t="shared" si="7"/>
        <v>0</v>
      </c>
      <c r="Q25" s="51">
        <f t="shared" si="8"/>
        <v>0</v>
      </c>
      <c r="R25" s="162">
        <f t="shared" si="9"/>
        <v>0</v>
      </c>
      <c r="S25" s="170">
        <f t="shared" si="10"/>
        <v>0.41</v>
      </c>
      <c r="T25" s="144">
        <f t="shared" si="11"/>
        <v>1.3515413145861479E-5</v>
      </c>
      <c r="U25" s="49">
        <f>+IF(H25&lt;$B$29,H25/$B$29,IF(AND(H25&gt;=$B$29,H25&lt;=$B$29+20),1,IF(AND(H25&gt;$B$29+20,H25&lt;=$B$29+20+$B$29),(1-(H25-($B$29+20))/$B$29),0)))</f>
        <v>0</v>
      </c>
      <c r="V25" s="51">
        <f t="shared" si="12"/>
        <v>0</v>
      </c>
      <c r="W25" s="162">
        <f t="shared" si="13"/>
        <v>0</v>
      </c>
      <c r="X25" s="170">
        <f t="shared" si="14"/>
        <v>0.52</v>
      </c>
      <c r="Y25" s="144">
        <f t="shared" si="15"/>
        <v>1.8163107825245347E-5</v>
      </c>
      <c r="Z25" s="49">
        <f>+IF(H25&lt;$F$29,H25/$F$29,IF(AND(H25&gt;=$F$29,H25&lt;=$F$29+20),1,IF(AND(H25&gt;$F$29+20,H25&lt;=$F$29+20+$F$29),(1-(H25-($F$29+20))/$F$29),0)))</f>
        <v>0</v>
      </c>
      <c r="AA25" s="51">
        <f t="shared" si="16"/>
        <v>0</v>
      </c>
      <c r="AB25" s="162">
        <f t="shared" si="17"/>
        <v>0</v>
      </c>
      <c r="AC25" s="170">
        <f t="shared" si="18"/>
        <v>0.44</v>
      </c>
      <c r="AD25" s="144">
        <f t="shared" si="19"/>
        <v>1.0473956223456016E-5</v>
      </c>
      <c r="AE25" s="49">
        <f>+IF(H25&lt;$B$53,H25/$B$53,IF(AND(H25&gt;=$B$53,H25&lt;=$B$53+20),1,IF(AND(H25&gt;$B$53+20,H25&lt;=$B$53+20+$B$53),(1-(H25-($B$53+20))/$B$53),0)))</f>
        <v>0.16129032258064535</v>
      </c>
      <c r="AF25" s="51">
        <f t="shared" si="21"/>
        <v>7338709.6774193635</v>
      </c>
      <c r="AG25" s="162">
        <f t="shared" si="20"/>
        <v>33.820742515095105</v>
      </c>
      <c r="AH25" s="173">
        <f>M25+R25+W25+AB25+AG25</f>
        <v>33.820742515095105</v>
      </c>
    </row>
    <row r="26" spans="1:35" ht="15.6" x14ac:dyDescent="0.3">
      <c r="A26" s="2" t="s">
        <v>4</v>
      </c>
      <c r="B26" s="9">
        <f>Hoja1!B48</f>
        <v>3</v>
      </c>
      <c r="C26" s="29">
        <f>Hoja1!C48</f>
        <v>0.03</v>
      </c>
      <c r="D26" s="1"/>
      <c r="E26" s="2" t="s">
        <v>4</v>
      </c>
      <c r="F26" s="9">
        <f>Hoja1!F48</f>
        <v>4.0999999999999996</v>
      </c>
      <c r="G26" s="151">
        <f>Hoja1!G48</f>
        <v>4.0999999999999995E-2</v>
      </c>
      <c r="H26" s="161">
        <v>220</v>
      </c>
      <c r="I26" s="143">
        <f t="shared" si="0"/>
        <v>0.32</v>
      </c>
      <c r="J26" s="144">
        <f t="shared" si="1"/>
        <v>1.836447668226774E-5</v>
      </c>
      <c r="K26" s="49">
        <f t="shared" si="2"/>
        <v>0</v>
      </c>
      <c r="L26" s="51">
        <f t="shared" si="3"/>
        <v>0</v>
      </c>
      <c r="M26" s="162">
        <f t="shared" si="4"/>
        <v>0</v>
      </c>
      <c r="N26" s="170">
        <f t="shared" si="5"/>
        <v>0.62</v>
      </c>
      <c r="O26" s="144">
        <f t="shared" si="6"/>
        <v>1.6487151086364228E-5</v>
      </c>
      <c r="P26" s="49">
        <f t="shared" si="7"/>
        <v>0</v>
      </c>
      <c r="Q26" s="51">
        <f t="shared" si="8"/>
        <v>0</v>
      </c>
      <c r="R26" s="162">
        <f t="shared" si="9"/>
        <v>0</v>
      </c>
      <c r="S26" s="170">
        <f t="shared" si="10"/>
        <v>0.41</v>
      </c>
      <c r="T26" s="144">
        <f t="shared" si="11"/>
        <v>1.3515413145861479E-5</v>
      </c>
      <c r="U26" s="49">
        <f>+IF(H26&lt;$B$29,H26/$B$29,IF(AND(H26&gt;=$B$29,H26&lt;=$B$29+20),1,IF(AND(H26&gt;$B$29+20,H26&lt;=$B$29+20+$B$29),(1-(H26-($B$29+20))/$B$29),0)))</f>
        <v>0</v>
      </c>
      <c r="V26" s="51">
        <f t="shared" si="12"/>
        <v>0</v>
      </c>
      <c r="W26" s="162">
        <f t="shared" si="13"/>
        <v>0</v>
      </c>
      <c r="X26" s="170">
        <f t="shared" si="14"/>
        <v>0.52</v>
      </c>
      <c r="Y26" s="144">
        <f t="shared" si="15"/>
        <v>1.8163107825245347E-5</v>
      </c>
      <c r="Z26" s="49">
        <f>+IF(H26&lt;$F$29,H26/$F$29,IF(AND(H26&gt;=$F$29,H26&lt;=$F$29+20),1,IF(AND(H26&gt;$F$29+20,H26&lt;=$F$29+20+$F$29),(1-(H26-($F$29+20))/$F$29),0)))</f>
        <v>0</v>
      </c>
      <c r="AA26" s="51">
        <f t="shared" si="16"/>
        <v>0</v>
      </c>
      <c r="AB26" s="162">
        <f t="shared" si="17"/>
        <v>0</v>
      </c>
      <c r="AC26" s="170">
        <f t="shared" si="18"/>
        <v>0.44</v>
      </c>
      <c r="AD26" s="144">
        <f t="shared" si="19"/>
        <v>1.0473956223456016E-5</v>
      </c>
      <c r="AE26" s="49">
        <f>+IF(H26&lt;$B$53,H26/$B$53,IF(AND(H26&gt;=$B$53,H26&lt;=$B$53+20),1,IF(AND(H26&gt;$B$53+20,H26&lt;=$B$53+20+$B$53),(1-(H26-($B$53+20))/$B$53),0)))</f>
        <v>6.4516129032258229E-2</v>
      </c>
      <c r="AF26" s="51">
        <f t="shared" si="21"/>
        <v>2935483.8709677495</v>
      </c>
      <c r="AG26" s="162">
        <f t="shared" si="20"/>
        <v>13.528297006038063</v>
      </c>
      <c r="AH26" s="173">
        <f>M26+R26+W26+AB26+AG26</f>
        <v>13.528297006038063</v>
      </c>
    </row>
    <row r="27" spans="1:35" ht="16.2" thickBot="1" x14ac:dyDescent="0.35">
      <c r="A27" s="2" t="s">
        <v>5</v>
      </c>
      <c r="B27" s="64">
        <f>Hoja1!B49</f>
        <v>273</v>
      </c>
      <c r="C27" s="65"/>
      <c r="D27" s="1"/>
      <c r="E27" s="2" t="s">
        <v>5</v>
      </c>
      <c r="F27" s="64">
        <f>Hoja1!F49</f>
        <v>414.1</v>
      </c>
      <c r="G27" s="128"/>
      <c r="H27" s="163">
        <v>230</v>
      </c>
      <c r="I27" s="164">
        <f t="shared" si="0"/>
        <v>0.32</v>
      </c>
      <c r="J27" s="165">
        <f t="shared" si="1"/>
        <v>1.836447668226774E-5</v>
      </c>
      <c r="K27" s="166">
        <f t="shared" si="2"/>
        <v>0</v>
      </c>
      <c r="L27" s="167">
        <f t="shared" si="3"/>
        <v>0</v>
      </c>
      <c r="M27" s="168">
        <f t="shared" si="4"/>
        <v>0</v>
      </c>
      <c r="N27" s="171">
        <f t="shared" si="5"/>
        <v>0.62</v>
      </c>
      <c r="O27" s="165">
        <f t="shared" si="6"/>
        <v>1.6487151086364228E-5</v>
      </c>
      <c r="P27" s="166">
        <f t="shared" si="7"/>
        <v>0</v>
      </c>
      <c r="Q27" s="167">
        <f t="shared" si="8"/>
        <v>0</v>
      </c>
      <c r="R27" s="168">
        <f t="shared" si="9"/>
        <v>0</v>
      </c>
      <c r="S27" s="171">
        <f t="shared" si="10"/>
        <v>0.41</v>
      </c>
      <c r="T27" s="165">
        <f t="shared" si="11"/>
        <v>1.3515413145861479E-5</v>
      </c>
      <c r="U27" s="166">
        <f>+IF(H27&lt;$B$29,H27/$B$29,IF(AND(H27&gt;=$B$29,H27&lt;=$B$29+20),1,IF(AND(H27&gt;$B$29+20,H27&lt;=$B$29+20+$B$29),(1-(H27-($B$29+20))/$B$29),0)))</f>
        <v>0</v>
      </c>
      <c r="V27" s="167">
        <f t="shared" si="12"/>
        <v>0</v>
      </c>
      <c r="W27" s="168">
        <f t="shared" si="13"/>
        <v>0</v>
      </c>
      <c r="X27" s="171">
        <f t="shared" si="14"/>
        <v>0.52</v>
      </c>
      <c r="Y27" s="165">
        <f t="shared" si="15"/>
        <v>1.8163107825245347E-5</v>
      </c>
      <c r="Z27" s="166">
        <f>+IF(H27&lt;$F$29,H27/$F$29,IF(AND(H27&gt;=$F$29,H27&lt;=$F$29+20),1,IF(AND(H27&gt;$F$29+20,H27&lt;=$F$29+20+$F$29),(1-(H27-($F$29+20))/$F$29),0)))</f>
        <v>0</v>
      </c>
      <c r="AA27" s="167">
        <f t="shared" si="16"/>
        <v>0</v>
      </c>
      <c r="AB27" s="168">
        <f t="shared" si="17"/>
        <v>0</v>
      </c>
      <c r="AC27" s="171">
        <f t="shared" si="18"/>
        <v>0.44</v>
      </c>
      <c r="AD27" s="165">
        <f t="shared" si="19"/>
        <v>1.0473956223456016E-5</v>
      </c>
      <c r="AE27" s="166">
        <f>+IF(H27&lt;$B$53,H27/$B$53,IF(AND(H27&gt;=$B$53,H27&lt;=$B$53+20),1,IF(AND(H27&gt;$B$53+20,H27&lt;=$B$53+20+$B$53),(1-(H27-($B$53+20))/$B$53),0)))</f>
        <v>0</v>
      </c>
      <c r="AF27" s="167">
        <f t="shared" si="21"/>
        <v>0</v>
      </c>
      <c r="AG27" s="168">
        <f t="shared" si="20"/>
        <v>0</v>
      </c>
      <c r="AH27" s="174">
        <f>M27+R27+W27+AB27+AG27</f>
        <v>0</v>
      </c>
    </row>
    <row r="28" spans="1:35" ht="15.6" x14ac:dyDescent="0.3">
      <c r="A28" s="2" t="s">
        <v>37</v>
      </c>
      <c r="B28" s="136">
        <f>Hoja1!B50</f>
        <v>0.41</v>
      </c>
      <c r="C28" s="100"/>
      <c r="D28" s="1"/>
      <c r="E28" s="2" t="s">
        <v>37</v>
      </c>
      <c r="F28" s="136">
        <f>Hoja1!F50</f>
        <v>0.52</v>
      </c>
      <c r="G28" s="100"/>
      <c r="I28" s="143"/>
      <c r="J28" s="144"/>
      <c r="K28" s="145"/>
      <c r="L28" s="146"/>
      <c r="M28" s="147"/>
      <c r="N28" s="143"/>
      <c r="O28" s="144"/>
      <c r="P28" s="145"/>
      <c r="Q28" s="146"/>
      <c r="R28" s="147"/>
      <c r="S28" s="143"/>
      <c r="T28" s="144"/>
      <c r="U28" s="145"/>
      <c r="V28" s="146"/>
      <c r="W28" s="147"/>
      <c r="X28" s="143"/>
      <c r="Y28" s="144"/>
      <c r="Z28" s="145"/>
      <c r="AA28" s="146"/>
      <c r="AB28" s="147"/>
      <c r="AC28" s="143"/>
      <c r="AD28" s="144"/>
      <c r="AE28" s="145"/>
      <c r="AF28" s="146"/>
      <c r="AG28" s="147"/>
      <c r="AH28" s="143"/>
      <c r="AI28" s="148"/>
    </row>
    <row r="29" spans="1:35" ht="15.6" x14ac:dyDescent="0.3">
      <c r="A29" s="2" t="s">
        <v>8</v>
      </c>
      <c r="B29" s="118">
        <f>Hoja2!D16</f>
        <v>70.569115057509407</v>
      </c>
      <c r="C29" s="119"/>
      <c r="D29" s="1"/>
      <c r="E29" s="2" t="s">
        <v>8</v>
      </c>
      <c r="F29" s="137">
        <f>Hoja2!D17</f>
        <v>44.145667694629338</v>
      </c>
      <c r="G29" s="138"/>
      <c r="I29" s="143"/>
      <c r="J29" s="144"/>
      <c r="K29" s="145"/>
      <c r="L29" s="146"/>
      <c r="M29" s="147"/>
      <c r="N29" s="143"/>
      <c r="O29" s="144"/>
      <c r="P29" s="145"/>
      <c r="Q29" s="146"/>
      <c r="R29" s="147"/>
      <c r="S29" s="143"/>
      <c r="T29" s="144"/>
      <c r="U29" s="145"/>
      <c r="V29" s="146"/>
      <c r="W29" s="147"/>
      <c r="X29" s="143"/>
      <c r="Y29" s="144"/>
      <c r="Z29" s="145"/>
      <c r="AA29" s="146"/>
      <c r="AB29" s="147"/>
      <c r="AC29" s="143"/>
      <c r="AD29" s="144"/>
      <c r="AE29" s="145"/>
      <c r="AF29" s="146"/>
      <c r="AG29" s="147"/>
      <c r="AH29" s="143"/>
      <c r="AI29" s="148"/>
    </row>
    <row r="30" spans="1:35" ht="15.6" x14ac:dyDescent="0.3">
      <c r="A30" s="2" t="s">
        <v>38</v>
      </c>
      <c r="B30" s="99">
        <v>1350</v>
      </c>
      <c r="C30" s="100"/>
      <c r="D30" s="1"/>
      <c r="E30" s="2" t="s">
        <v>38</v>
      </c>
      <c r="F30" s="99">
        <f>B30</f>
        <v>1350</v>
      </c>
      <c r="G30" s="100"/>
      <c r="I30" s="143"/>
      <c r="J30" s="144"/>
      <c r="K30" s="145"/>
      <c r="L30" s="146"/>
      <c r="M30" s="147"/>
      <c r="N30" s="143"/>
      <c r="O30" s="144"/>
      <c r="P30" s="145"/>
      <c r="Q30" s="146"/>
      <c r="R30" s="147"/>
      <c r="S30" s="143"/>
      <c r="T30" s="144"/>
      <c r="U30" s="145"/>
      <c r="V30" s="146"/>
      <c r="W30" s="147"/>
      <c r="X30" s="143"/>
      <c r="Y30" s="144"/>
      <c r="Z30" s="145"/>
      <c r="AA30" s="146"/>
      <c r="AB30" s="147"/>
      <c r="AC30" s="143"/>
      <c r="AD30" s="144"/>
      <c r="AE30" s="145"/>
      <c r="AF30" s="146"/>
      <c r="AG30" s="147"/>
      <c r="AH30" s="143"/>
      <c r="AI30" s="148"/>
    </row>
    <row r="31" spans="1:35" ht="15.6" x14ac:dyDescent="0.3">
      <c r="A31" s="2" t="s">
        <v>39</v>
      </c>
      <c r="B31" s="99">
        <v>11</v>
      </c>
      <c r="C31" s="100"/>
      <c r="D31" s="1"/>
      <c r="E31" s="2" t="s">
        <v>39</v>
      </c>
      <c r="F31" s="99">
        <f>B31</f>
        <v>11</v>
      </c>
      <c r="G31" s="100"/>
      <c r="I31" s="143"/>
      <c r="J31" s="144"/>
      <c r="K31" s="145"/>
      <c r="L31" s="146"/>
      <c r="M31" s="147"/>
      <c r="N31" s="143"/>
      <c r="O31" s="144"/>
      <c r="P31" s="145"/>
      <c r="Q31" s="146"/>
      <c r="R31" s="147"/>
      <c r="S31" s="143"/>
      <c r="T31" s="144"/>
      <c r="U31" s="145"/>
      <c r="V31" s="146"/>
      <c r="W31" s="147"/>
      <c r="X31" s="143"/>
      <c r="Y31" s="144"/>
      <c r="Z31" s="145"/>
      <c r="AA31" s="146"/>
      <c r="AB31" s="147"/>
      <c r="AC31" s="143"/>
      <c r="AD31" s="144"/>
      <c r="AE31" s="145"/>
      <c r="AF31" s="146"/>
      <c r="AG31" s="147"/>
      <c r="AH31" s="143"/>
      <c r="AI31" s="148"/>
    </row>
    <row r="32" spans="1:35" ht="15.6" x14ac:dyDescent="0.3">
      <c r="A32" s="2" t="s">
        <v>40</v>
      </c>
      <c r="B32" s="99">
        <v>0.755</v>
      </c>
      <c r="C32" s="100"/>
      <c r="D32" s="1"/>
      <c r="E32" s="2" t="s">
        <v>40</v>
      </c>
      <c r="F32" s="99">
        <f>B32</f>
        <v>0.755</v>
      </c>
      <c r="G32" s="100"/>
      <c r="I32" s="143"/>
      <c r="J32" s="144"/>
      <c r="K32" s="145"/>
      <c r="L32" s="146"/>
      <c r="M32" s="147"/>
      <c r="N32" s="143"/>
      <c r="O32" s="144"/>
      <c r="P32" s="145"/>
      <c r="Q32" s="146"/>
      <c r="R32" s="147"/>
      <c r="S32" s="143"/>
      <c r="T32" s="144"/>
      <c r="U32" s="145"/>
      <c r="V32" s="146"/>
      <c r="W32" s="147"/>
      <c r="X32" s="143"/>
      <c r="Y32" s="144"/>
      <c r="Z32" s="145"/>
      <c r="AA32" s="146"/>
      <c r="AB32" s="147"/>
      <c r="AC32" s="143"/>
      <c r="AD32" s="144"/>
      <c r="AE32" s="145"/>
      <c r="AF32" s="146"/>
      <c r="AG32" s="147"/>
      <c r="AH32" s="143"/>
      <c r="AI32" s="148"/>
    </row>
    <row r="33" spans="1:35" ht="15.6" x14ac:dyDescent="0.3">
      <c r="A33" s="2" t="s">
        <v>10</v>
      </c>
      <c r="B33" s="134">
        <f>+B30/((B31+B29)^B32)</f>
        <v>48.655487325101326</v>
      </c>
      <c r="C33" s="135"/>
      <c r="D33" s="1"/>
      <c r="E33" s="2" t="s">
        <v>10</v>
      </c>
      <c r="F33" s="134">
        <f>+F30/((F31+F29)^F32)</f>
        <v>65.387188170883249</v>
      </c>
      <c r="G33" s="135"/>
      <c r="I33" s="143"/>
      <c r="J33" s="144"/>
      <c r="K33" s="145"/>
      <c r="L33" s="146"/>
      <c r="M33" s="147"/>
      <c r="N33" s="143"/>
      <c r="O33" s="144"/>
      <c r="P33" s="145"/>
      <c r="Q33" s="146"/>
      <c r="R33" s="147"/>
      <c r="S33" s="143"/>
      <c r="T33" s="144"/>
      <c r="U33" s="145"/>
      <c r="V33" s="146"/>
      <c r="W33" s="147"/>
      <c r="X33" s="143"/>
      <c r="Y33" s="144"/>
      <c r="Z33" s="145"/>
      <c r="AA33" s="146"/>
      <c r="AB33" s="147"/>
      <c r="AC33" s="143"/>
      <c r="AD33" s="144"/>
      <c r="AE33" s="145"/>
      <c r="AF33" s="146"/>
      <c r="AG33" s="147"/>
      <c r="AH33" s="143"/>
      <c r="AI33" s="148"/>
    </row>
    <row r="34" spans="1:35" ht="16.2" thickBot="1" x14ac:dyDescent="0.35">
      <c r="A34" s="11" t="s">
        <v>10</v>
      </c>
      <c r="B34" s="130">
        <f>+B33*(1/1000)*(1/3600)</f>
        <v>1.3515413145861479E-5</v>
      </c>
      <c r="C34" s="131"/>
      <c r="D34" s="1"/>
      <c r="E34" s="11" t="s">
        <v>10</v>
      </c>
      <c r="F34" s="130">
        <f>+F33*(1/1000)*(1/3600)</f>
        <v>1.8163107825245347E-5</v>
      </c>
      <c r="G34" s="131"/>
      <c r="I34" s="143"/>
      <c r="J34" s="144"/>
      <c r="K34" s="145"/>
      <c r="L34" s="146"/>
      <c r="M34" s="147"/>
      <c r="N34" s="143"/>
      <c r="O34" s="144"/>
      <c r="P34" s="145"/>
      <c r="Q34" s="146"/>
      <c r="R34" s="147"/>
      <c r="S34" s="143"/>
      <c r="T34" s="144"/>
      <c r="U34" s="145"/>
      <c r="V34" s="146"/>
      <c r="W34" s="147"/>
      <c r="X34" s="143"/>
      <c r="Y34" s="144"/>
      <c r="Z34" s="145"/>
      <c r="AA34" s="146"/>
      <c r="AB34" s="147"/>
      <c r="AC34" s="143"/>
      <c r="AD34" s="144"/>
      <c r="AE34" s="145"/>
      <c r="AF34" s="146"/>
      <c r="AG34" s="147"/>
      <c r="AH34" s="143"/>
      <c r="AI34" s="148"/>
    </row>
    <row r="35" spans="1:35" x14ac:dyDescent="0.3">
      <c r="I35" s="143"/>
      <c r="J35" s="144"/>
      <c r="K35" s="145"/>
      <c r="L35" s="146"/>
      <c r="M35" s="147"/>
      <c r="N35" s="143"/>
      <c r="O35" s="144"/>
      <c r="P35" s="145"/>
      <c r="Q35" s="146"/>
      <c r="R35" s="147"/>
      <c r="S35" s="143"/>
      <c r="T35" s="144"/>
      <c r="U35" s="145"/>
      <c r="V35" s="146"/>
      <c r="W35" s="147"/>
      <c r="X35" s="143"/>
      <c r="Y35" s="144"/>
      <c r="Z35" s="145"/>
      <c r="AA35" s="146"/>
      <c r="AB35" s="147"/>
      <c r="AC35" s="143"/>
      <c r="AD35" s="144"/>
      <c r="AE35" s="145"/>
      <c r="AF35" s="146"/>
      <c r="AG35" s="147"/>
      <c r="AH35" s="143"/>
      <c r="AI35" s="148"/>
    </row>
    <row r="36" spans="1:35" x14ac:dyDescent="0.3">
      <c r="A36" s="132" t="s">
        <v>53</v>
      </c>
      <c r="B36" s="132"/>
      <c r="C36" s="132"/>
      <c r="D36" s="48"/>
      <c r="E36" s="132" t="s">
        <v>54</v>
      </c>
      <c r="F36" s="132"/>
      <c r="G36" s="132"/>
      <c r="I36" s="143"/>
      <c r="J36" s="144"/>
      <c r="K36" s="145"/>
      <c r="L36" s="146"/>
      <c r="M36" s="147"/>
      <c r="N36" s="143"/>
      <c r="O36" s="144"/>
      <c r="P36" s="145"/>
      <c r="Q36" s="146"/>
      <c r="R36" s="147"/>
      <c r="S36" s="143"/>
      <c r="T36" s="144"/>
      <c r="U36" s="145"/>
      <c r="V36" s="146"/>
      <c r="W36" s="147"/>
      <c r="X36" s="143"/>
      <c r="Y36" s="144"/>
      <c r="Z36" s="145"/>
      <c r="AA36" s="146"/>
      <c r="AB36" s="147"/>
      <c r="AC36" s="143"/>
      <c r="AD36" s="144"/>
      <c r="AE36" s="145"/>
      <c r="AF36" s="146"/>
      <c r="AG36" s="147"/>
      <c r="AH36" s="143"/>
      <c r="AI36" s="148"/>
    </row>
    <row r="37" spans="1:35" x14ac:dyDescent="0.3">
      <c r="A37" s="133">
        <f>+B29+20+B29</f>
        <v>161.13823011501881</v>
      </c>
      <c r="B37" s="133"/>
      <c r="C37" s="133"/>
      <c r="D37" s="48"/>
      <c r="E37" s="133">
        <f>+F29+20+F29</f>
        <v>108.29133538925868</v>
      </c>
      <c r="F37" s="133"/>
      <c r="G37" s="133"/>
      <c r="I37" s="143"/>
      <c r="J37" s="144"/>
      <c r="K37" s="145"/>
      <c r="L37" s="146"/>
      <c r="M37" s="147"/>
      <c r="N37" s="143"/>
      <c r="O37" s="144"/>
      <c r="P37" s="145"/>
      <c r="Q37" s="146"/>
      <c r="R37" s="147"/>
      <c r="S37" s="143"/>
      <c r="T37" s="144"/>
      <c r="U37" s="145"/>
      <c r="V37" s="146"/>
      <c r="W37" s="147"/>
      <c r="X37" s="143"/>
      <c r="Y37" s="144"/>
      <c r="Z37" s="145"/>
      <c r="AA37" s="146"/>
      <c r="AB37" s="147"/>
      <c r="AC37" s="143"/>
      <c r="AD37" s="144"/>
      <c r="AE37" s="145"/>
      <c r="AF37" s="146"/>
      <c r="AG37" s="147"/>
      <c r="AH37" s="143"/>
      <c r="AI37" s="148"/>
    </row>
    <row r="38" spans="1:35" x14ac:dyDescent="0.3">
      <c r="I38" s="143"/>
      <c r="J38" s="144"/>
      <c r="K38" s="145"/>
      <c r="L38" s="146"/>
      <c r="M38" s="147"/>
      <c r="N38" s="143"/>
      <c r="O38" s="144"/>
      <c r="P38" s="145"/>
      <c r="Q38" s="146"/>
      <c r="R38" s="147"/>
      <c r="S38" s="143"/>
      <c r="T38" s="144"/>
      <c r="U38" s="145"/>
      <c r="V38" s="146"/>
      <c r="W38" s="147"/>
      <c r="X38" s="143"/>
      <c r="Y38" s="144"/>
      <c r="Z38" s="145"/>
      <c r="AA38" s="146"/>
      <c r="AB38" s="147"/>
      <c r="AC38" s="143"/>
      <c r="AD38" s="144"/>
      <c r="AE38" s="145"/>
      <c r="AF38" s="146"/>
      <c r="AG38" s="147"/>
      <c r="AH38" s="143"/>
      <c r="AI38" s="148"/>
    </row>
    <row r="39" spans="1:35" x14ac:dyDescent="0.3">
      <c r="I39" s="143"/>
      <c r="J39" s="144"/>
      <c r="K39" s="145"/>
      <c r="L39" s="146"/>
      <c r="M39" s="147"/>
      <c r="N39" s="143"/>
      <c r="O39" s="144"/>
      <c r="P39" s="145"/>
      <c r="Q39" s="146"/>
      <c r="R39" s="147"/>
      <c r="S39" s="143"/>
      <c r="T39" s="144"/>
      <c r="U39" s="145"/>
      <c r="V39" s="146"/>
      <c r="W39" s="147"/>
      <c r="X39" s="143"/>
      <c r="Y39" s="144"/>
      <c r="Z39" s="145"/>
      <c r="AA39" s="146"/>
      <c r="AB39" s="147"/>
      <c r="AC39" s="143"/>
      <c r="AD39" s="144"/>
      <c r="AE39" s="145"/>
      <c r="AF39" s="146"/>
      <c r="AG39" s="147"/>
      <c r="AH39" s="143"/>
      <c r="AI39" s="148"/>
    </row>
    <row r="40" spans="1:35" x14ac:dyDescent="0.3">
      <c r="I40" s="143"/>
      <c r="J40" s="144"/>
      <c r="K40" s="145"/>
      <c r="L40" s="146"/>
      <c r="M40" s="147"/>
      <c r="N40" s="143"/>
      <c r="O40" s="144"/>
      <c r="P40" s="145"/>
      <c r="Q40" s="146"/>
      <c r="R40" s="147"/>
      <c r="S40" s="143"/>
      <c r="T40" s="144"/>
      <c r="U40" s="145"/>
      <c r="V40" s="146"/>
      <c r="W40" s="147"/>
      <c r="X40" s="143"/>
      <c r="Y40" s="144"/>
      <c r="Z40" s="145"/>
      <c r="AA40" s="146"/>
      <c r="AB40" s="147"/>
      <c r="AC40" s="143"/>
      <c r="AD40" s="144"/>
      <c r="AE40" s="145"/>
      <c r="AF40" s="146"/>
      <c r="AG40" s="147"/>
      <c r="AH40" s="143"/>
      <c r="AI40" s="148"/>
    </row>
    <row r="41" spans="1:35" x14ac:dyDescent="0.3">
      <c r="I41" s="143"/>
      <c r="J41" s="144"/>
      <c r="K41" s="145"/>
      <c r="L41" s="146"/>
      <c r="M41" s="147"/>
      <c r="N41" s="143"/>
      <c r="O41" s="144"/>
      <c r="P41" s="145"/>
      <c r="Q41" s="146"/>
      <c r="R41" s="147"/>
      <c r="S41" s="143"/>
      <c r="T41" s="144"/>
      <c r="U41" s="145"/>
      <c r="V41" s="146"/>
      <c r="W41" s="147"/>
      <c r="X41" s="143"/>
      <c r="Y41" s="144"/>
      <c r="Z41" s="145"/>
      <c r="AA41" s="146"/>
      <c r="AB41" s="147"/>
      <c r="AC41" s="143"/>
      <c r="AD41" s="144"/>
      <c r="AE41" s="145"/>
      <c r="AF41" s="146"/>
      <c r="AG41" s="147"/>
      <c r="AH41" s="143"/>
      <c r="AI41" s="148"/>
    </row>
    <row r="42" spans="1:35" x14ac:dyDescent="0.3">
      <c r="I42" s="143"/>
      <c r="J42" s="144"/>
      <c r="K42" s="145"/>
      <c r="L42" s="146"/>
      <c r="M42" s="147"/>
      <c r="N42" s="143"/>
      <c r="O42" s="144"/>
      <c r="P42" s="145"/>
      <c r="Q42" s="146"/>
      <c r="R42" s="147"/>
      <c r="S42" s="143"/>
      <c r="T42" s="144"/>
      <c r="U42" s="145"/>
      <c r="V42" s="146"/>
      <c r="W42" s="147"/>
      <c r="X42" s="143"/>
      <c r="Y42" s="144"/>
      <c r="Z42" s="145"/>
      <c r="AA42" s="146"/>
      <c r="AB42" s="147"/>
      <c r="AC42" s="143"/>
      <c r="AD42" s="144"/>
      <c r="AE42" s="145"/>
      <c r="AF42" s="146"/>
      <c r="AG42" s="147"/>
      <c r="AH42" s="143"/>
      <c r="AI42" s="148"/>
    </row>
    <row r="43" spans="1:35" x14ac:dyDescent="0.3">
      <c r="I43" s="143"/>
      <c r="J43" s="144"/>
      <c r="K43" s="145"/>
      <c r="L43" s="146"/>
      <c r="M43" s="147"/>
      <c r="N43" s="143"/>
      <c r="O43" s="144"/>
      <c r="P43" s="145"/>
      <c r="Q43" s="146"/>
      <c r="R43" s="147"/>
      <c r="S43" s="143"/>
      <c r="T43" s="144"/>
      <c r="U43" s="145"/>
      <c r="V43" s="146"/>
      <c r="W43" s="147"/>
      <c r="X43" s="143"/>
      <c r="Y43" s="144"/>
      <c r="Z43" s="145"/>
      <c r="AA43" s="146"/>
      <c r="AB43" s="147"/>
      <c r="AC43" s="143"/>
      <c r="AD43" s="144"/>
      <c r="AE43" s="145"/>
      <c r="AF43" s="146"/>
      <c r="AG43" s="147"/>
      <c r="AH43" s="143"/>
      <c r="AI43" s="148"/>
    </row>
    <row r="44" spans="1:35" ht="15" thickBot="1" x14ac:dyDescent="0.35">
      <c r="I44" s="143"/>
      <c r="J44" s="144"/>
      <c r="K44" s="145"/>
      <c r="L44" s="146"/>
      <c r="M44" s="147"/>
      <c r="N44" s="143"/>
      <c r="O44" s="144"/>
      <c r="P44" s="145"/>
      <c r="Q44" s="146"/>
      <c r="R44" s="147"/>
      <c r="S44" s="143"/>
      <c r="T44" s="144"/>
      <c r="U44" s="145"/>
      <c r="V44" s="146"/>
      <c r="W44" s="147"/>
      <c r="X44" s="143"/>
      <c r="Y44" s="144"/>
      <c r="Z44" s="145"/>
      <c r="AA44" s="146"/>
      <c r="AB44" s="147"/>
      <c r="AC44" s="143"/>
      <c r="AD44" s="144"/>
      <c r="AE44" s="145"/>
      <c r="AF44" s="146"/>
      <c r="AG44" s="147"/>
      <c r="AH44" s="143"/>
      <c r="AI44" s="148"/>
    </row>
    <row r="45" spans="1:35" ht="16.2" thickBot="1" x14ac:dyDescent="0.35">
      <c r="A45" s="120" t="s">
        <v>45</v>
      </c>
      <c r="B45" s="121"/>
      <c r="C45" s="121"/>
      <c r="D45" s="121"/>
      <c r="E45" s="121"/>
      <c r="F45" s="121"/>
      <c r="G45" s="122"/>
      <c r="I45" s="148"/>
      <c r="J45" s="148"/>
      <c r="K45" s="148"/>
      <c r="L45" s="149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  <c r="AA45" s="148"/>
      <c r="AB45" s="148"/>
      <c r="AC45" s="148"/>
      <c r="AD45" s="148"/>
      <c r="AE45" s="148"/>
      <c r="AF45" s="148"/>
      <c r="AG45" s="148"/>
      <c r="AH45" s="148"/>
      <c r="AI45" s="148"/>
    </row>
    <row r="46" spans="1:35" ht="15.6" x14ac:dyDescent="0.3">
      <c r="A46" s="123" t="s">
        <v>25</v>
      </c>
      <c r="B46" s="124"/>
      <c r="C46" s="125"/>
      <c r="D46" s="1"/>
      <c r="E46" s="123" t="s">
        <v>26</v>
      </c>
      <c r="F46" s="124"/>
      <c r="G46" s="125"/>
      <c r="I46" s="148"/>
      <c r="J46" s="148"/>
      <c r="K46" s="148"/>
      <c r="L46" s="149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8"/>
      <c r="AA46" s="148"/>
      <c r="AB46" s="148"/>
      <c r="AC46" s="148"/>
      <c r="AD46" s="148"/>
      <c r="AE46" s="148"/>
      <c r="AF46" s="148"/>
      <c r="AG46" s="148"/>
      <c r="AH46" s="148"/>
      <c r="AI46" s="148"/>
    </row>
    <row r="47" spans="1:35" ht="15.6" x14ac:dyDescent="0.3">
      <c r="A47" s="126" t="s">
        <v>1</v>
      </c>
      <c r="B47" s="127"/>
      <c r="C47" s="113"/>
      <c r="D47" s="1"/>
      <c r="E47" s="126" t="s">
        <v>34</v>
      </c>
      <c r="F47" s="127"/>
      <c r="G47" s="113"/>
    </row>
    <row r="48" spans="1:35" ht="15.6" x14ac:dyDescent="0.3">
      <c r="A48" s="2" t="s">
        <v>35</v>
      </c>
      <c r="B48" s="5">
        <f>Hoja1!B88</f>
        <v>3.1</v>
      </c>
      <c r="C48" s="6">
        <f>Hoja1!C88</f>
        <v>3100</v>
      </c>
      <c r="D48" s="1"/>
      <c r="E48" s="2" t="s">
        <v>35</v>
      </c>
      <c r="F48" s="5">
        <v>0</v>
      </c>
      <c r="G48" s="6">
        <v>0</v>
      </c>
    </row>
    <row r="49" spans="1:7" ht="15.6" x14ac:dyDescent="0.3">
      <c r="A49" s="2" t="s">
        <v>36</v>
      </c>
      <c r="B49" s="7">
        <f>Hoja1!B89</f>
        <v>45.5</v>
      </c>
      <c r="C49" s="8">
        <f>Hoja1!C89</f>
        <v>45500000</v>
      </c>
      <c r="D49" s="1"/>
      <c r="E49" s="2" t="s">
        <v>36</v>
      </c>
      <c r="F49" s="7">
        <v>0</v>
      </c>
      <c r="G49" s="8">
        <v>0</v>
      </c>
    </row>
    <row r="50" spans="1:7" ht="15.6" x14ac:dyDescent="0.3">
      <c r="A50" s="2" t="s">
        <v>4</v>
      </c>
      <c r="B50" s="9">
        <f>Hoja1!B90</f>
        <v>1.8</v>
      </c>
      <c r="C50" s="29">
        <f>Hoja1!C49</f>
        <v>0</v>
      </c>
      <c r="D50" s="1"/>
      <c r="E50" s="2" t="s">
        <v>4</v>
      </c>
      <c r="F50" s="9">
        <v>0</v>
      </c>
      <c r="G50" s="10">
        <v>0</v>
      </c>
    </row>
    <row r="51" spans="1:7" ht="15.6" x14ac:dyDescent="0.3">
      <c r="A51" s="2" t="s">
        <v>5</v>
      </c>
      <c r="B51" s="128">
        <f>Hoja1!B91</f>
        <v>55.8</v>
      </c>
      <c r="C51" s="129"/>
      <c r="D51" s="1"/>
      <c r="E51" s="2" t="s">
        <v>5</v>
      </c>
      <c r="F51" s="128">
        <f>Hoja1!F50</f>
        <v>0.52</v>
      </c>
      <c r="G51" s="129"/>
    </row>
    <row r="52" spans="1:7" ht="15.6" x14ac:dyDescent="0.3">
      <c r="A52" s="2" t="s">
        <v>37</v>
      </c>
      <c r="B52" s="116">
        <f>Hoja1!B92</f>
        <v>0.44</v>
      </c>
      <c r="C52" s="117"/>
      <c r="D52" s="1"/>
      <c r="E52" s="2" t="s">
        <v>37</v>
      </c>
      <c r="F52" s="116">
        <v>0</v>
      </c>
      <c r="G52" s="117"/>
    </row>
    <row r="53" spans="1:7" ht="15.6" x14ac:dyDescent="0.3">
      <c r="A53" s="2" t="s">
        <v>8</v>
      </c>
      <c r="B53" s="118">
        <f>Hoja2!D18</f>
        <v>103.33333333333334</v>
      </c>
      <c r="C53" s="119"/>
      <c r="D53" s="1"/>
      <c r="E53" s="2" t="s">
        <v>8</v>
      </c>
      <c r="F53" s="118">
        <v>0</v>
      </c>
      <c r="G53" s="119"/>
    </row>
    <row r="54" spans="1:7" ht="15.6" x14ac:dyDescent="0.3">
      <c r="A54" s="2" t="s">
        <v>38</v>
      </c>
      <c r="B54" s="112">
        <v>1350</v>
      </c>
      <c r="C54" s="113"/>
      <c r="D54" s="1"/>
      <c r="E54" s="2" t="s">
        <v>38</v>
      </c>
      <c r="F54" s="112">
        <v>0</v>
      </c>
      <c r="G54" s="113"/>
    </row>
    <row r="55" spans="1:7" ht="15.6" x14ac:dyDescent="0.3">
      <c r="A55" s="2" t="s">
        <v>39</v>
      </c>
      <c r="B55" s="112">
        <v>11</v>
      </c>
      <c r="C55" s="113"/>
      <c r="D55" s="1"/>
      <c r="E55" s="2" t="s">
        <v>39</v>
      </c>
      <c r="F55" s="112">
        <v>0</v>
      </c>
      <c r="G55" s="113"/>
    </row>
    <row r="56" spans="1:7" ht="15.6" x14ac:dyDescent="0.3">
      <c r="A56" s="2" t="s">
        <v>40</v>
      </c>
      <c r="B56" s="112">
        <v>0.755</v>
      </c>
      <c r="C56" s="113"/>
      <c r="D56" s="1"/>
      <c r="E56" s="2" t="s">
        <v>40</v>
      </c>
      <c r="F56" s="112">
        <v>0</v>
      </c>
      <c r="G56" s="113"/>
    </row>
    <row r="57" spans="1:7" ht="15.6" x14ac:dyDescent="0.3">
      <c r="A57" s="2" t="s">
        <v>10</v>
      </c>
      <c r="B57" s="114">
        <f>+B54/((B55+B53)^B56)</f>
        <v>37.706242404441653</v>
      </c>
      <c r="C57" s="115"/>
      <c r="D57" s="1"/>
      <c r="E57" s="2" t="s">
        <v>10</v>
      </c>
      <c r="F57" s="114" t="e">
        <f>+F54/((F55+F53)^F56)</f>
        <v>#NUM!</v>
      </c>
      <c r="G57" s="115"/>
    </row>
    <row r="58" spans="1:7" ht="16.2" thickBot="1" x14ac:dyDescent="0.35">
      <c r="A58" s="11" t="s">
        <v>10</v>
      </c>
      <c r="B58" s="104">
        <f>+B57*(1/1000)*(1/3600)</f>
        <v>1.0473956223456016E-5</v>
      </c>
      <c r="C58" s="105"/>
      <c r="D58" s="1"/>
      <c r="E58" s="11" t="s">
        <v>10</v>
      </c>
      <c r="F58" s="104">
        <v>0</v>
      </c>
      <c r="G58" s="105"/>
    </row>
    <row r="60" spans="1:7" x14ac:dyDescent="0.3">
      <c r="A60" s="106" t="s">
        <v>55</v>
      </c>
      <c r="B60" s="107"/>
      <c r="C60" s="108"/>
      <c r="D60" s="48"/>
      <c r="E60" s="106" t="s">
        <v>56</v>
      </c>
      <c r="F60" s="107"/>
      <c r="G60" s="108"/>
    </row>
    <row r="61" spans="1:7" x14ac:dyDescent="0.3">
      <c r="A61" s="109">
        <f>+B53+20+B53</f>
        <v>226.66666666666669</v>
      </c>
      <c r="B61" s="110"/>
      <c r="C61" s="111"/>
      <c r="D61" s="48"/>
      <c r="E61" s="109">
        <v>0</v>
      </c>
      <c r="F61" s="110"/>
      <c r="G61" s="111"/>
    </row>
  </sheetData>
  <mergeCells count="81">
    <mergeCell ref="B7:C7"/>
    <mergeCell ref="F7:G7"/>
    <mergeCell ref="X2:AB2"/>
    <mergeCell ref="AC2:AG2"/>
    <mergeCell ref="AI9:AJ10"/>
    <mergeCell ref="A1:G1"/>
    <mergeCell ref="A2:C2"/>
    <mergeCell ref="E2:G2"/>
    <mergeCell ref="A3:C3"/>
    <mergeCell ref="E3:G3"/>
    <mergeCell ref="B8:C8"/>
    <mergeCell ref="F8:G8"/>
    <mergeCell ref="B9:C9"/>
    <mergeCell ref="F9:G9"/>
    <mergeCell ref="B10:C10"/>
    <mergeCell ref="F10:G10"/>
    <mergeCell ref="B11:C11"/>
    <mergeCell ref="F11:G11"/>
    <mergeCell ref="B12:C12"/>
    <mergeCell ref="F12:G12"/>
    <mergeCell ref="B13:C13"/>
    <mergeCell ref="F13:G13"/>
    <mergeCell ref="B27:C27"/>
    <mergeCell ref="F27:G27"/>
    <mergeCell ref="B14:C14"/>
    <mergeCell ref="F14:G14"/>
    <mergeCell ref="A16:C16"/>
    <mergeCell ref="E16:G16"/>
    <mergeCell ref="A17:C17"/>
    <mergeCell ref="E17:G17"/>
    <mergeCell ref="A21:G21"/>
    <mergeCell ref="A22:C22"/>
    <mergeCell ref="E22:G22"/>
    <mergeCell ref="A23:C23"/>
    <mergeCell ref="E23:G23"/>
    <mergeCell ref="B28:C28"/>
    <mergeCell ref="F28:G28"/>
    <mergeCell ref="B29:C29"/>
    <mergeCell ref="F29:G29"/>
    <mergeCell ref="B30:C30"/>
    <mergeCell ref="F30:G30"/>
    <mergeCell ref="B31:C31"/>
    <mergeCell ref="F31:G31"/>
    <mergeCell ref="B32:C32"/>
    <mergeCell ref="F32:G32"/>
    <mergeCell ref="B33:C33"/>
    <mergeCell ref="F33:G33"/>
    <mergeCell ref="B51:C51"/>
    <mergeCell ref="F51:G51"/>
    <mergeCell ref="B34:C34"/>
    <mergeCell ref="F34:G34"/>
    <mergeCell ref="A36:C36"/>
    <mergeCell ref="E36:G36"/>
    <mergeCell ref="A37:C37"/>
    <mergeCell ref="E37:G37"/>
    <mergeCell ref="A60:C60"/>
    <mergeCell ref="E60:G60"/>
    <mergeCell ref="A61:C61"/>
    <mergeCell ref="E61:G61"/>
    <mergeCell ref="B55:C55"/>
    <mergeCell ref="F55:G55"/>
    <mergeCell ref="B56:C56"/>
    <mergeCell ref="F56:G56"/>
    <mergeCell ref="B57:C57"/>
    <mergeCell ref="F57:G57"/>
    <mergeCell ref="I2:M2"/>
    <mergeCell ref="N2:R2"/>
    <mergeCell ref="S2:W2"/>
    <mergeCell ref="B58:C58"/>
    <mergeCell ref="F58:G58"/>
    <mergeCell ref="B52:C52"/>
    <mergeCell ref="F52:G52"/>
    <mergeCell ref="B53:C53"/>
    <mergeCell ref="F53:G53"/>
    <mergeCell ref="B54:C54"/>
    <mergeCell ref="F54:G54"/>
    <mergeCell ref="A45:G45"/>
    <mergeCell ref="A46:C46"/>
    <mergeCell ref="E46:G46"/>
    <mergeCell ref="A47:C47"/>
    <mergeCell ref="E47:G47"/>
  </mergeCells>
  <pageMargins left="0.7" right="0.7" top="0.75" bottom="0.75" header="0.3" footer="0.3"/>
  <pageSetup orientation="portrait" horizontalDpi="4294967293" verticalDpi="300" r:id="rId1"/>
  <headerFooter>
    <oddHeader>&amp;C&amp;"-,Negrita"&amp;12Marlon Ivan Carreto Rivera
 201230088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Ivan Carreto Rivera</dc:creator>
  <cp:lastModifiedBy>Marlon Ivan Carreto Rivera</cp:lastModifiedBy>
  <cp:lastPrinted>2024-05-11T01:15:17Z</cp:lastPrinted>
  <dcterms:created xsi:type="dcterms:W3CDTF">2024-05-10T04:14:43Z</dcterms:created>
  <dcterms:modified xsi:type="dcterms:W3CDTF">2024-05-11T01:17:01Z</dcterms:modified>
</cp:coreProperties>
</file>