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Ubicacion C a D\Documentos\VIDEOS\"/>
    </mc:Choice>
  </mc:AlternateContent>
  <xr:revisionPtr revIDLastSave="0" documentId="13_ncr:1_{40CC5DD6-E178-4FA3-946C-8E7CCE91F70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 1" sheetId="1" r:id="rId1"/>
  </sheets>
  <definedNames>
    <definedName name="_xlnm._FilterDatabase" localSheetId="0" hidden="1">'Hoja 1'!$B$30:$B$34</definedName>
  </definedNames>
  <calcPr calcId="191029"/>
</workbook>
</file>

<file path=xl/calcChain.xml><?xml version="1.0" encoding="utf-8"?>
<calcChain xmlns="http://schemas.openxmlformats.org/spreadsheetml/2006/main">
  <c r="B81" i="1" l="1"/>
  <c r="B123" i="1"/>
  <c r="B124" i="1"/>
  <c r="B122" i="1"/>
  <c r="B16" i="1"/>
  <c r="E16" i="1"/>
  <c r="B95" i="1" s="1"/>
  <c r="B96" i="1" s="1"/>
  <c r="B97" i="1" s="1"/>
  <c r="F98" i="1"/>
  <c r="H1" i="1"/>
  <c r="E14" i="1" s="1"/>
  <c r="F99" i="1" l="1"/>
  <c r="F109" i="1"/>
  <c r="B79" i="1"/>
  <c r="B78" i="1"/>
  <c r="F39" i="1"/>
  <c r="C23" i="1"/>
  <c r="B39" i="1" s="1"/>
  <c r="B5" i="1"/>
  <c r="E11" i="1"/>
  <c r="E10" i="1"/>
  <c r="F20" i="1"/>
  <c r="F19" i="1"/>
  <c r="D19" i="1"/>
  <c r="D20" i="1"/>
  <c r="D61" i="1" s="1"/>
  <c r="E6" i="1"/>
  <c r="B82" i="1" l="1"/>
  <c r="C5" i="1"/>
  <c r="B41" i="1" s="1"/>
  <c r="F108" i="1"/>
  <c r="B106" i="1"/>
  <c r="F21" i="1"/>
  <c r="B107" i="1" l="1"/>
  <c r="B108" i="1" s="1"/>
  <c r="B114" i="1"/>
  <c r="B115" i="1" s="1"/>
  <c r="B116" i="1" s="1"/>
  <c r="B40" i="1"/>
  <c r="B38" i="1"/>
  <c r="B42" i="1" s="1"/>
  <c r="B44" i="1"/>
  <c r="B48" i="1" s="1"/>
  <c r="B47" i="1" l="1"/>
  <c r="B46" i="1"/>
  <c r="B53" i="1" l="1"/>
  <c r="E67" i="1"/>
  <c r="B67" i="1"/>
  <c r="B72" i="1" s="1"/>
  <c r="E68" i="1"/>
  <c r="B89" i="1" s="1"/>
  <c r="B68" i="1"/>
  <c r="B55" i="1"/>
  <c r="B73" i="1" s="1"/>
  <c r="B54" i="1"/>
  <c r="B109" i="1" l="1"/>
  <c r="B110" i="1" s="1"/>
  <c r="F110" i="1" s="1"/>
  <c r="B91" i="1"/>
  <c r="B74" i="1"/>
  <c r="B84" i="1"/>
  <c r="B87" i="1" s="1"/>
  <c r="B99" i="1" s="1"/>
  <c r="F100" i="1" s="1"/>
  <c r="B75" i="1"/>
  <c r="E101" i="1" l="1"/>
  <c r="E102" i="1"/>
  <c r="E112" i="1"/>
  <c r="E111" i="1"/>
  <c r="B86" i="1"/>
</calcChain>
</file>

<file path=xl/sharedStrings.xml><?xml version="1.0" encoding="utf-8"?>
<sst xmlns="http://schemas.openxmlformats.org/spreadsheetml/2006/main" count="211" uniqueCount="164">
  <si>
    <t xml:space="preserve">Diseño de losas con vigueta y bobedilla </t>
  </si>
  <si>
    <t>Requisitos ACI-318</t>
  </si>
  <si>
    <t>Kg/m2</t>
  </si>
  <si>
    <t>t´ (SIN RELLENO)</t>
  </si>
  <si>
    <t>bmin</t>
  </si>
  <si>
    <t>cm</t>
  </si>
  <si>
    <t>t´ (CON RELLENO)</t>
  </si>
  <si>
    <t>Acabados</t>
  </si>
  <si>
    <t>Bmin</t>
  </si>
  <si>
    <t>∂=</t>
  </si>
  <si>
    <t>Instalaciones</t>
  </si>
  <si>
    <t>t ≤ 3,5b (MAXIMO)</t>
  </si>
  <si>
    <t>∂max= 12t´</t>
  </si>
  <si>
    <t>Desniveles</t>
  </si>
  <si>
    <t>t ≥ 12 cms (LOSAS NERVADAS)</t>
  </si>
  <si>
    <t xml:space="preserve">Carga viva </t>
  </si>
  <si>
    <t>m</t>
  </si>
  <si>
    <t xml:space="preserve">4 apoyos </t>
  </si>
  <si>
    <t>kg/m2</t>
  </si>
  <si>
    <t>Carga muerta total</t>
  </si>
  <si>
    <t>b</t>
  </si>
  <si>
    <t>T</t>
  </si>
  <si>
    <t xml:space="preserve">1. REVISAR GEOMETRIA </t>
  </si>
  <si>
    <t xml:space="preserve">EDIFICACIÓN A LA CUAL SE LE REQUEIRE EL CALCULO DE LOSA </t>
  </si>
  <si>
    <t>LOSA</t>
  </si>
  <si>
    <t>M=a/b</t>
  </si>
  <si>
    <t>a (LADO CORTO) m</t>
  </si>
  <si>
    <t>b (LADO LARGO) m</t>
  </si>
  <si>
    <r>
      <rPr>
        <sz val="10"/>
        <color theme="5" tint="-0.249977111117893"/>
        <rFont val="Arial"/>
        <family val="2"/>
        <scheme val="minor"/>
      </rPr>
      <t>M = a/b &gt; 0,5 = 2 sentidos</t>
    </r>
    <r>
      <rPr>
        <sz val="10"/>
        <color theme="1"/>
        <rFont val="Arial"/>
        <family val="2"/>
        <scheme val="minor"/>
      </rPr>
      <t xml:space="preserve"> y </t>
    </r>
    <r>
      <rPr>
        <sz val="10"/>
        <color theme="5" tint="-0.249977111117893"/>
        <rFont val="Arial"/>
        <family val="2"/>
        <scheme val="minor"/>
      </rPr>
      <t xml:space="preserve">M = a/b &lt;0.5  = 1 sentido </t>
    </r>
  </si>
  <si>
    <t>Sentido</t>
  </si>
  <si>
    <t>t</t>
  </si>
  <si>
    <t>t=a+b/90</t>
  </si>
  <si>
    <t>Tabla de Claculo de espesor</t>
  </si>
  <si>
    <t>Simple mente apoyada</t>
  </si>
  <si>
    <t>Continua 1 extremo</t>
  </si>
  <si>
    <t>Continua 2 extremos</t>
  </si>
  <si>
    <t>Voladizo</t>
  </si>
  <si>
    <t>Vigas o losas nervadas 1 dirección</t>
  </si>
  <si>
    <t>L/16</t>
  </si>
  <si>
    <t>L/18,5</t>
  </si>
  <si>
    <t>L/21</t>
  </si>
  <si>
    <t>L/8</t>
  </si>
  <si>
    <t xml:space="preserve">Losa en 2 direcciones </t>
  </si>
  <si>
    <t xml:space="preserve">2. DIMENSIONAMIENTO DE LOSA </t>
  </si>
  <si>
    <t xml:space="preserve">Sin relleno </t>
  </si>
  <si>
    <t xml:space="preserve">t promedio </t>
  </si>
  <si>
    <r>
      <t>Propuesta de viga: por el t de 0.15 m, se considero dejar un ancho de bloque de 14 cm con un espesor de losa de distribución (t´) de 4cm dando esto un</t>
    </r>
    <r>
      <rPr>
        <b/>
        <sz val="10"/>
        <color theme="7"/>
        <rFont val="Arial"/>
        <family val="2"/>
        <scheme val="minor"/>
      </rPr>
      <t xml:space="preserve"> t=18cm</t>
    </r>
    <r>
      <rPr>
        <sz val="10"/>
        <color rgb="FF000000"/>
        <rFont val="Arial"/>
        <scheme val="minor"/>
      </rPr>
      <t xml:space="preserve"> </t>
    </r>
  </si>
  <si>
    <t xml:space="preserve">según mediadas estandar de block </t>
  </si>
  <si>
    <t>t=</t>
  </si>
  <si>
    <t>Predimsneisonamiento de viga</t>
  </si>
  <si>
    <t>h = L/13</t>
  </si>
  <si>
    <t>b = h2/3</t>
  </si>
  <si>
    <t xml:space="preserve">3. INTEGRACIÓN DE CARGAS </t>
  </si>
  <si>
    <t xml:space="preserve">Carga muerta </t>
  </si>
  <si>
    <t>γ (PESO ESPECIFICO DE CONCRETO) =</t>
  </si>
  <si>
    <t xml:space="preserve">DATOS NECESARIOS DE CONCRETO Y ACERO </t>
  </si>
  <si>
    <t>Fy</t>
  </si>
  <si>
    <t xml:space="preserve">F´c </t>
  </si>
  <si>
    <t>Kg/m3</t>
  </si>
  <si>
    <t>Kg/cm2</t>
  </si>
  <si>
    <t>1. losa = t´*B*γc</t>
  </si>
  <si>
    <t>kg/m</t>
  </si>
  <si>
    <t>2. Nervio = b ( t-t´)*γc</t>
  </si>
  <si>
    <t>Kg/m</t>
  </si>
  <si>
    <t>3. Relleno = Wrelleno * (B-b)</t>
  </si>
  <si>
    <t>Wrelleno (PESO DE BLOCK * M2)</t>
  </si>
  <si>
    <t xml:space="preserve">Sobre carga </t>
  </si>
  <si>
    <t>4. Sobre carga y acabados = Wacabdos * B</t>
  </si>
  <si>
    <t xml:space="preserve">Carga Ulitma = 1.2 cm + 1.6 cv </t>
  </si>
  <si>
    <t xml:space="preserve">Carga muerta mayorada = 1.2 Cm </t>
  </si>
  <si>
    <t xml:space="preserve">Carga viva mayorada = 1.6 Cv </t>
  </si>
  <si>
    <t xml:space="preserve">4. CALCULO DE MOMENTOS </t>
  </si>
  <si>
    <t>WL^2/24</t>
  </si>
  <si>
    <t>WL^2/16</t>
  </si>
  <si>
    <t>WL^2/11</t>
  </si>
  <si>
    <t>kg*m</t>
  </si>
  <si>
    <t>Caso 6</t>
  </si>
  <si>
    <t xml:space="preserve">Lado </t>
  </si>
  <si>
    <t>a</t>
  </si>
  <si>
    <t>Cu</t>
  </si>
  <si>
    <t>Cv</t>
  </si>
  <si>
    <t>LOSA 2, 2 SENTIDOS</t>
  </si>
  <si>
    <t>M=</t>
  </si>
  <si>
    <t>Cm</t>
  </si>
  <si>
    <t>Momentos negativos y positivos en "b"</t>
  </si>
  <si>
    <t xml:space="preserve">Momentos negativos y positivos en "a" </t>
  </si>
  <si>
    <t>ma(-) = Cua*W*a^2</t>
  </si>
  <si>
    <t>mb(-) = Cub*W*b^2</t>
  </si>
  <si>
    <t>mb(+) = ((Cmb*cmm)+(Cvb*Cvm))b^2</t>
  </si>
  <si>
    <t xml:space="preserve">5. BALANCEO DE MOMENTOS </t>
  </si>
  <si>
    <t xml:space="preserve">M1 = </t>
  </si>
  <si>
    <t>Evaluar 80% momento mayor &gt; momento menor = RIGIDEZ</t>
  </si>
  <si>
    <t xml:space="preserve">Evaluar 80% momento mayor &lt; momento menor = PROMEDIO </t>
  </si>
  <si>
    <t xml:space="preserve">M2= </t>
  </si>
  <si>
    <t>SE UTILIZA RIGIDEZ</t>
  </si>
  <si>
    <t xml:space="preserve">a) RIGIDEZ </t>
  </si>
  <si>
    <t>K1= 1/l1</t>
  </si>
  <si>
    <t>K2= 1/l2</t>
  </si>
  <si>
    <t xml:space="preserve">b) FACTORES DE DISTRIBUCIÓN </t>
  </si>
  <si>
    <t>D1= (K1)/(K1+K2)</t>
  </si>
  <si>
    <t>D2= (K2)/(K1+K2)</t>
  </si>
  <si>
    <t xml:space="preserve">c) DIFERENCIAL m </t>
  </si>
  <si>
    <t>ΔM= M1 - M2</t>
  </si>
  <si>
    <t>d) Momento Balanceado</t>
  </si>
  <si>
    <t>Mbal = M1 - (D1 * ΔM)</t>
  </si>
  <si>
    <t>Mbal = M2 + (D2 * ΔM)</t>
  </si>
  <si>
    <r>
      <t xml:space="preserve">Momentos negativos (-) "b" = </t>
    </r>
    <r>
      <rPr>
        <b/>
        <sz val="10"/>
        <color rgb="FF000000"/>
        <rFont val="Arial"/>
        <family val="2"/>
        <scheme val="minor"/>
      </rPr>
      <t>Mb (+) / 3</t>
    </r>
  </si>
  <si>
    <t>LOSA 1, 1 SENTIDO</t>
  </si>
  <si>
    <t xml:space="preserve">Diametro de varilla (db) = </t>
  </si>
  <si>
    <t xml:space="preserve">3/8" </t>
  </si>
  <si>
    <t>pulgadas</t>
  </si>
  <si>
    <t xml:space="preserve">Area de varilla </t>
  </si>
  <si>
    <t>cm^2</t>
  </si>
  <si>
    <t>pi =</t>
  </si>
  <si>
    <t xml:space="preserve">a.1) Asmin = 14/fy*bw*d </t>
  </si>
  <si>
    <t>a.2) M(Asmin) = Asmin fy(d-Asfy/1.7f´cb)</t>
  </si>
  <si>
    <t>Carga vida (SEGÚN NS2) * B</t>
  </si>
  <si>
    <r>
      <t xml:space="preserve">Momento negativo (-) "a" extremo derecho = </t>
    </r>
    <r>
      <rPr>
        <b/>
        <sz val="10"/>
        <color rgb="FF000000"/>
        <rFont val="Arial"/>
        <family val="2"/>
        <scheme val="minor"/>
      </rPr>
      <t>Ma (+) / 3</t>
    </r>
  </si>
  <si>
    <t>6) CALCULO DE REFUERZO</t>
  </si>
  <si>
    <t>cm2</t>
  </si>
  <si>
    <t>kg*cm</t>
  </si>
  <si>
    <t xml:space="preserve">a.3) As Requerida </t>
  </si>
  <si>
    <t xml:space="preserve">a) MOMENTO NEGATIVO bw=b </t>
  </si>
  <si>
    <t>a=dbfy^2/1.7*f´c*b</t>
  </si>
  <si>
    <t>b=db*fy*d</t>
  </si>
  <si>
    <t>c=Mu = kg*cm</t>
  </si>
  <si>
    <t xml:space="preserve">As= </t>
  </si>
  <si>
    <t>a.4) Diagrama de Distribución</t>
  </si>
  <si>
    <t>b) MOMENTO POSITIVO bw = B</t>
  </si>
  <si>
    <t>b.1) Asmin = 40%*14/fy*bw*d</t>
  </si>
  <si>
    <t>b.2) M (Asmin) = Asmin fy(d-Asfy/1.7f´cbw)</t>
  </si>
  <si>
    <t>As requerido = Mact - M (Asmin)</t>
  </si>
  <si>
    <t>ma(+) = ((Cma*cmm)+(Cva*Cvm))a^2    (kg/m)</t>
  </si>
  <si>
    <t>RECUBRIMIENTO</t>
  </si>
  <si>
    <t>ok</t>
  </si>
  <si>
    <t xml:space="preserve">ok </t>
  </si>
  <si>
    <t>no ok</t>
  </si>
  <si>
    <t xml:space="preserve">no ok </t>
  </si>
  <si>
    <t>d = t-db/2-2-db´</t>
  </si>
  <si>
    <t xml:space="preserve">Se usara 2 varillas de 3/8" </t>
  </si>
  <si>
    <t>Se usaran 2 varillas de 1/2"</t>
  </si>
  <si>
    <t>Mu (max) requerido</t>
  </si>
  <si>
    <t xml:space="preserve">Se uso el Mu  (max) de los momentos positivos </t>
  </si>
  <si>
    <t>LOS ELEMTOS ESTRUCTURALES SECUNDARIOS SE HARA DE: No.2 @ 0.15 m</t>
  </si>
  <si>
    <r>
      <t xml:space="preserve">Diametro de barra de 2/8" (d´) </t>
    </r>
    <r>
      <rPr>
        <b/>
        <sz val="10"/>
        <color rgb="FF000000"/>
        <rFont val="Arial"/>
        <family val="2"/>
        <scheme val="minor"/>
      </rPr>
      <t>ESTRIBO</t>
    </r>
  </si>
  <si>
    <t>NO BALANCEADOS</t>
  </si>
  <si>
    <t>g</t>
  </si>
  <si>
    <t xml:space="preserve">DIAGRAMA DE DISTRIBUCION DE ACERO </t>
  </si>
  <si>
    <t xml:space="preserve">8. LOSA DE DISTRIBUCIÓN </t>
  </si>
  <si>
    <t>b.4) Chequeo a=Asfy/0.85*f´c*B</t>
  </si>
  <si>
    <t>a=</t>
  </si>
  <si>
    <t>β=</t>
  </si>
  <si>
    <t>c = a/β1</t>
  </si>
  <si>
    <t xml:space="preserve">cm </t>
  </si>
  <si>
    <t>si c&lt;t´</t>
  </si>
  <si>
    <t>si c&gt;t´</t>
  </si>
  <si>
    <t>As Temperatura 0.002*b*t´</t>
  </si>
  <si>
    <t>40%*14/fy*b*t´</t>
  </si>
  <si>
    <t xml:space="preserve">cm2 </t>
  </si>
  <si>
    <t>Separación maxima 5*t´</t>
  </si>
  <si>
    <t>7. REFUERZO A CORTE (TRANVERSAL)</t>
  </si>
  <si>
    <t xml:space="preserve">NOTA: SE USO UN DIAMETRO DE ELECTRO MALLA DE 3.80, CON SEPARACIÓN 0.15 </t>
  </si>
  <si>
    <t>As=</t>
  </si>
  <si>
    <t>MOMENTOS  BALANCEADOS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</si>
</sst>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1"/>
      <color theme="1"/>
      <name val="Times New Roman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5" tint="-0.249977111117893"/>
      <name val="Arial"/>
      <family val="2"/>
      <scheme val="minor"/>
    </font>
    <font>
      <b/>
      <sz val="10"/>
      <color theme="7"/>
      <name val="Arial"/>
      <family val="2"/>
      <scheme val="minor"/>
    </font>
    <font>
      <sz val="11"/>
      <color rgb="FF040C28"/>
      <name val="Times New Roman"/>
      <family val="1"/>
    </font>
    <font>
      <sz val="8"/>
      <name val="Arial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2"/>
      <color rgb="FF040C28"/>
      <name val="Arial"/>
      <family val="2"/>
      <scheme val="minor"/>
    </font>
    <font>
      <sz val="11"/>
      <color rgb="FF474747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E0666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4" fillId="0" borderId="0" xfId="0" applyFont="1"/>
    <xf numFmtId="0" fontId="4" fillId="0" borderId="1" xfId="0" applyFont="1" applyBorder="1"/>
    <xf numFmtId="0" fontId="2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5" borderId="3" xfId="0" applyFill="1" applyBorder="1"/>
    <xf numFmtId="0" fontId="6" fillId="6" borderId="3" xfId="0" applyFont="1" applyFill="1" applyBorder="1" applyAlignment="1">
      <alignment horizontal="center"/>
    </xf>
    <xf numFmtId="0" fontId="0" fillId="6" borderId="3" xfId="0" applyFill="1" applyBorder="1"/>
    <xf numFmtId="0" fontId="7" fillId="0" borderId="3" xfId="0" applyFont="1" applyBorder="1"/>
    <xf numFmtId="0" fontId="0" fillId="7" borderId="3" xfId="0" applyFill="1" applyBorder="1"/>
    <xf numFmtId="0" fontId="7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2" xfId="0" applyFont="1" applyBorder="1"/>
    <xf numFmtId="0" fontId="13" fillId="0" borderId="3" xfId="0" applyFont="1" applyBorder="1"/>
    <xf numFmtId="0" fontId="6" fillId="5" borderId="0" xfId="0" applyFont="1" applyFill="1"/>
    <xf numFmtId="0" fontId="6" fillId="5" borderId="3" xfId="0" applyFont="1" applyFill="1" applyBorder="1"/>
    <xf numFmtId="0" fontId="6" fillId="6" borderId="3" xfId="0" applyFont="1" applyFill="1" applyBorder="1"/>
    <xf numFmtId="2" fontId="0" fillId="5" borderId="3" xfId="0" applyNumberFormat="1" applyFill="1" applyBorder="1"/>
    <xf numFmtId="0" fontId="6" fillId="8" borderId="3" xfId="0" applyFont="1" applyFill="1" applyBorder="1"/>
    <xf numFmtId="0" fontId="0" fillId="8" borderId="3" xfId="0" applyFill="1" applyBorder="1"/>
    <xf numFmtId="0" fontId="0" fillId="5" borderId="0" xfId="0" applyFill="1"/>
    <xf numFmtId="0" fontId="6" fillId="0" borderId="7" xfId="0" applyFont="1" applyBorder="1"/>
    <xf numFmtId="0" fontId="14" fillId="0" borderId="3" xfId="0" applyFont="1" applyBorder="1"/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/>
    <xf numFmtId="0" fontId="0" fillId="0" borderId="0" xfId="0" applyAlignment="1">
      <alignment vertical="center"/>
    </xf>
    <xf numFmtId="0" fontId="5" fillId="9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6" fillId="10" borderId="3" xfId="0" applyFont="1" applyFill="1" applyBorder="1"/>
    <xf numFmtId="0" fontId="0" fillId="10" borderId="3" xfId="0" applyFill="1" applyBorder="1"/>
    <xf numFmtId="0" fontId="6" fillId="0" borderId="0" xfId="0" applyFont="1" applyAlignment="1">
      <alignment horizontal="right"/>
    </xf>
    <xf numFmtId="0" fontId="6" fillId="10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2" fontId="16" fillId="10" borderId="3" xfId="0" applyNumberFormat="1" applyFont="1" applyFill="1" applyBorder="1" applyAlignment="1">
      <alignment horizontal="center"/>
    </xf>
    <xf numFmtId="0" fontId="6" fillId="11" borderId="3" xfId="0" applyFont="1" applyFill="1" applyBorder="1"/>
    <xf numFmtId="0" fontId="0" fillId="11" borderId="3" xfId="0" applyFill="1" applyBorder="1"/>
    <xf numFmtId="0" fontId="6" fillId="11" borderId="9" xfId="0" applyFont="1" applyFill="1" applyBorder="1"/>
    <xf numFmtId="0" fontId="0" fillId="11" borderId="10" xfId="0" applyFill="1" applyBorder="1"/>
    <xf numFmtId="0" fontId="6" fillId="11" borderId="11" xfId="0" applyFont="1" applyFill="1" applyBorder="1"/>
    <xf numFmtId="0" fontId="0" fillId="11" borderId="12" xfId="0" applyFill="1" applyBorder="1"/>
    <xf numFmtId="0" fontId="17" fillId="12" borderId="3" xfId="0" applyFont="1" applyFill="1" applyBorder="1"/>
    <xf numFmtId="0" fontId="0" fillId="12" borderId="3" xfId="0" applyFill="1" applyBorder="1"/>
    <xf numFmtId="0" fontId="6" fillId="12" borderId="3" xfId="0" applyFont="1" applyFill="1" applyBorder="1"/>
    <xf numFmtId="0" fontId="0" fillId="13" borderId="3" xfId="0" applyFill="1" applyBorder="1"/>
    <xf numFmtId="0" fontId="0" fillId="13" borderId="3" xfId="0" applyFill="1" applyBorder="1" applyAlignment="1">
      <alignment horizontal="left"/>
    </xf>
    <xf numFmtId="0" fontId="5" fillId="12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left" vertical="center" indent="11"/>
    </xf>
    <xf numFmtId="0" fontId="5" fillId="3" borderId="0" xfId="0" applyFont="1" applyFill="1"/>
    <xf numFmtId="0" fontId="5" fillId="3" borderId="0" xfId="0" applyFont="1" applyFill="1" applyAlignment="1">
      <alignment horizontal="left"/>
    </xf>
    <xf numFmtId="0" fontId="6" fillId="7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10" fillId="0" borderId="3" xfId="0" applyFont="1" applyBorder="1" applyAlignment="1">
      <alignment horizontal="left"/>
    </xf>
    <xf numFmtId="0" fontId="4" fillId="4" borderId="3" xfId="0" applyFont="1" applyFill="1" applyBorder="1"/>
    <xf numFmtId="0" fontId="15" fillId="0" borderId="3" xfId="0" applyFont="1" applyBorder="1" applyAlignment="1">
      <alignment horizontal="right"/>
    </xf>
    <xf numFmtId="0" fontId="0" fillId="0" borderId="3" xfId="0" applyBorder="1" applyAlignment="1">
      <alignment horizontal="left"/>
    </xf>
    <xf numFmtId="0" fontId="0" fillId="15" borderId="3" xfId="0" applyFill="1" applyBorder="1"/>
    <xf numFmtId="0" fontId="7" fillId="2" borderId="13" xfId="0" applyFont="1" applyFill="1" applyBorder="1"/>
    <xf numFmtId="0" fontId="3" fillId="0" borderId="14" xfId="0" applyFont="1" applyBorder="1"/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2" fillId="0" borderId="16" xfId="0" applyFont="1" applyBorder="1"/>
    <xf numFmtId="0" fontId="7" fillId="0" borderId="17" xfId="0" applyFont="1" applyBorder="1"/>
    <xf numFmtId="0" fontId="2" fillId="0" borderId="17" xfId="0" applyFont="1" applyBorder="1"/>
    <xf numFmtId="0" fontId="4" fillId="0" borderId="3" xfId="0" applyFont="1" applyBorder="1" applyAlignment="1">
      <alignment horizontal="right"/>
    </xf>
    <xf numFmtId="0" fontId="7" fillId="5" borderId="17" xfId="0" applyFont="1" applyFill="1" applyBorder="1" applyAlignment="1">
      <alignment horizontal="center" wrapText="1"/>
    </xf>
    <xf numFmtId="0" fontId="7" fillId="0" borderId="16" xfId="0" applyFont="1" applyBorder="1"/>
    <xf numFmtId="0" fontId="0" fillId="0" borderId="17" xfId="0" applyBorder="1"/>
    <xf numFmtId="0" fontId="7" fillId="7" borderId="17" xfId="0" applyFont="1" applyFill="1" applyBorder="1"/>
    <xf numFmtId="0" fontId="0" fillId="0" borderId="16" xfId="0" applyBorder="1"/>
    <xf numFmtId="0" fontId="6" fillId="0" borderId="17" xfId="0" applyFont="1" applyBorder="1"/>
    <xf numFmtId="0" fontId="5" fillId="0" borderId="16" xfId="0" applyFont="1" applyBorder="1"/>
    <xf numFmtId="0" fontId="6" fillId="10" borderId="17" xfId="0" applyFont="1" applyFill="1" applyBorder="1"/>
    <xf numFmtId="0" fontId="5" fillId="3" borderId="16" xfId="0" applyFont="1" applyFill="1" applyBorder="1"/>
    <xf numFmtId="0" fontId="0" fillId="15" borderId="17" xfId="0" applyFill="1" applyBorder="1"/>
    <xf numFmtId="0" fontId="6" fillId="0" borderId="16" xfId="0" applyFont="1" applyBorder="1"/>
    <xf numFmtId="0" fontId="6" fillId="0" borderId="17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6" borderId="17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16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19" xfId="0" applyFont="1" applyBorder="1" applyAlignment="1">
      <alignment horizontal="left"/>
    </xf>
    <xf numFmtId="0" fontId="0" fillId="0" borderId="20" xfId="0" applyBorder="1"/>
    <xf numFmtId="0" fontId="6" fillId="11" borderId="5" xfId="0" applyFont="1" applyFill="1" applyBorder="1" applyAlignment="1">
      <alignment horizontal="right"/>
    </xf>
    <xf numFmtId="0" fontId="5" fillId="3" borderId="13" xfId="0" applyFont="1" applyFill="1" applyBorder="1"/>
    <xf numFmtId="0" fontId="0" fillId="0" borderId="14" xfId="0" applyBorder="1"/>
    <xf numFmtId="0" fontId="0" fillId="0" borderId="15" xfId="0" applyBorder="1"/>
    <xf numFmtId="0" fontId="6" fillId="13" borderId="16" xfId="0" applyFont="1" applyFill="1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6" fillId="0" borderId="18" xfId="0" applyFont="1" applyBorder="1"/>
    <xf numFmtId="0" fontId="6" fillId="8" borderId="6" xfId="0" applyFont="1" applyFill="1" applyBorder="1" applyAlignment="1">
      <alignment horizontal="center"/>
    </xf>
    <xf numFmtId="0" fontId="5" fillId="0" borderId="13" xfId="0" applyFont="1" applyBorder="1"/>
    <xf numFmtId="0" fontId="6" fillId="13" borderId="16" xfId="0" applyFont="1" applyFill="1" applyBorder="1"/>
    <xf numFmtId="0" fontId="6" fillId="0" borderId="16" xfId="0" applyFont="1" applyBorder="1" applyAlignment="1">
      <alignment horizontal="right"/>
    </xf>
    <xf numFmtId="0" fontId="5" fillId="14" borderId="19" xfId="0" applyFont="1" applyFill="1" applyBorder="1"/>
    <xf numFmtId="0" fontId="6" fillId="8" borderId="7" xfId="0" applyFont="1" applyFill="1" applyBorder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/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jpe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12" Type="http://schemas.openxmlformats.org/officeDocument/2006/relationships/image" Target="../media/image11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0.jpeg"/><Relationship Id="rId5" Type="http://schemas.openxmlformats.org/officeDocument/2006/relationships/image" Target="../media/image5.jpeg"/><Relationship Id="rId10" Type="http://schemas.openxmlformats.org/officeDocument/2006/relationships/image" Target="../media/image9.jpeg"/><Relationship Id="rId4" Type="http://schemas.openxmlformats.org/officeDocument/2006/relationships/image" Target="../media/image4.jpeg"/><Relationship Id="rId9" Type="http://schemas.microsoft.com/office/2007/relationships/hdphoto" Target="../media/hdphoto1.wdp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546566</xdr:colOff>
      <xdr:row>30</xdr:row>
      <xdr:rowOff>155438</xdr:rowOff>
    </xdr:from>
    <xdr:ext cx="1157907" cy="93743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05908" y="6381780"/>
          <a:ext cx="1157907" cy="93743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97692</xdr:colOff>
      <xdr:row>23</xdr:row>
      <xdr:rowOff>9769</xdr:rowOff>
    </xdr:from>
    <xdr:to>
      <xdr:col>2</xdr:col>
      <xdr:colOff>261487</xdr:colOff>
      <xdr:row>30</xdr:row>
      <xdr:rowOff>156308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528EC59-635D-4562-94D2-A0FC9D48D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92" y="4572000"/>
          <a:ext cx="5186575" cy="1426308"/>
        </a:xfrm>
        <a:prstGeom prst="rect">
          <a:avLst/>
        </a:prstGeom>
      </xdr:spPr>
    </xdr:pic>
    <xdr:clientData/>
  </xdr:twoCellAnchor>
  <xdr:twoCellAnchor editAs="oneCell">
    <xdr:from>
      <xdr:col>2</xdr:col>
      <xdr:colOff>1033996</xdr:colOff>
      <xdr:row>24</xdr:row>
      <xdr:rowOff>51240</xdr:rowOff>
    </xdr:from>
    <xdr:to>
      <xdr:col>4</xdr:col>
      <xdr:colOff>1158098</xdr:colOff>
      <xdr:row>34</xdr:row>
      <xdr:rowOff>5110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2B165BB-D960-42C9-A1DF-D739BF962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6575" y="5164661"/>
          <a:ext cx="4043250" cy="1831815"/>
        </a:xfrm>
        <a:prstGeom prst="rect">
          <a:avLst/>
        </a:prstGeom>
      </xdr:spPr>
    </xdr:pic>
    <xdr:clientData/>
  </xdr:twoCellAnchor>
  <xdr:twoCellAnchor editAs="oneCell">
    <xdr:from>
      <xdr:col>2</xdr:col>
      <xdr:colOff>167474</xdr:colOff>
      <xdr:row>49</xdr:row>
      <xdr:rowOff>2201</xdr:rowOff>
    </xdr:from>
    <xdr:to>
      <xdr:col>4</xdr:col>
      <xdr:colOff>341814</xdr:colOff>
      <xdr:row>58</xdr:row>
      <xdr:rowOff>353451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4148E98-E057-4F4C-BE29-7A3A08770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7188" y="10167783"/>
          <a:ext cx="4094701" cy="2159954"/>
        </a:xfrm>
        <a:prstGeom prst="rect">
          <a:avLst/>
        </a:prstGeom>
      </xdr:spPr>
    </xdr:pic>
    <xdr:clientData/>
  </xdr:twoCellAnchor>
  <xdr:twoCellAnchor editAs="oneCell">
    <xdr:from>
      <xdr:col>3</xdr:col>
      <xdr:colOff>727087</xdr:colOff>
      <xdr:row>73</xdr:row>
      <xdr:rowOff>174980</xdr:rowOff>
    </xdr:from>
    <xdr:to>
      <xdr:col>6</xdr:col>
      <xdr:colOff>1200239</xdr:colOff>
      <xdr:row>94</xdr:row>
      <xdr:rowOff>93001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648DCB7E-39B4-498A-95F2-2A7728CF3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4723" y="15611253"/>
          <a:ext cx="5973737" cy="4039748"/>
        </a:xfrm>
        <a:prstGeom prst="rect">
          <a:avLst/>
        </a:prstGeom>
      </xdr:spPr>
    </xdr:pic>
    <xdr:clientData/>
  </xdr:twoCellAnchor>
  <xdr:twoCellAnchor editAs="oneCell">
    <xdr:from>
      <xdr:col>6</xdr:col>
      <xdr:colOff>920793</xdr:colOff>
      <xdr:row>24</xdr:row>
      <xdr:rowOff>105889</xdr:rowOff>
    </xdr:from>
    <xdr:to>
      <xdr:col>12</xdr:col>
      <xdr:colOff>501914</xdr:colOff>
      <xdr:row>54</xdr:row>
      <xdr:rowOff>53831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3867069-3695-4036-A6BD-386EA8B22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4284" y="5315198"/>
          <a:ext cx="7447351" cy="5656015"/>
        </a:xfrm>
        <a:prstGeom prst="rect">
          <a:avLst/>
        </a:prstGeom>
      </xdr:spPr>
    </xdr:pic>
    <xdr:clientData/>
  </xdr:twoCellAnchor>
  <xdr:twoCellAnchor editAs="oneCell">
    <xdr:from>
      <xdr:col>4</xdr:col>
      <xdr:colOff>272317</xdr:colOff>
      <xdr:row>103</xdr:row>
      <xdr:rowOff>39705</xdr:rowOff>
    </xdr:from>
    <xdr:to>
      <xdr:col>5</xdr:col>
      <xdr:colOff>828985</xdr:colOff>
      <xdr:row>106</xdr:row>
      <xdr:rowOff>128182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4F79E66-928A-458F-9BAD-7BBF15E72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8028" y="21997337"/>
          <a:ext cx="2194158" cy="690056"/>
        </a:xfrm>
        <a:prstGeom prst="rect">
          <a:avLst/>
        </a:prstGeom>
      </xdr:spPr>
    </xdr:pic>
    <xdr:clientData/>
  </xdr:twoCellAnchor>
  <xdr:twoCellAnchor editAs="oneCell">
    <xdr:from>
      <xdr:col>0</xdr:col>
      <xdr:colOff>552586</xdr:colOff>
      <xdr:row>142</xdr:row>
      <xdr:rowOff>62721</xdr:rowOff>
    </xdr:from>
    <xdr:to>
      <xdr:col>2</xdr:col>
      <xdr:colOff>17063</xdr:colOff>
      <xdr:row>152</xdr:row>
      <xdr:rowOff>177192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329F9226-D34F-4365-90E9-0A085D00F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86" y="30745921"/>
          <a:ext cx="4488234" cy="2146470"/>
        </a:xfrm>
        <a:prstGeom prst="rect">
          <a:avLst/>
        </a:prstGeom>
      </xdr:spPr>
    </xdr:pic>
    <xdr:clientData/>
  </xdr:twoCellAnchor>
  <xdr:twoCellAnchor editAs="oneCell">
    <xdr:from>
      <xdr:col>0</xdr:col>
      <xdr:colOff>225871</xdr:colOff>
      <xdr:row>126</xdr:row>
      <xdr:rowOff>152940</xdr:rowOff>
    </xdr:from>
    <xdr:to>
      <xdr:col>3</xdr:col>
      <xdr:colOff>2216214</xdr:colOff>
      <xdr:row>141</xdr:row>
      <xdr:rowOff>50800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4C070951-5DBF-4AD2-9C9E-A66267122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871" y="27584940"/>
          <a:ext cx="8360300" cy="2945860"/>
        </a:xfrm>
        <a:prstGeom prst="rect">
          <a:avLst/>
        </a:prstGeom>
      </xdr:spPr>
    </xdr:pic>
    <xdr:clientData/>
  </xdr:twoCellAnchor>
  <xdr:twoCellAnchor editAs="oneCell">
    <xdr:from>
      <xdr:col>3</xdr:col>
      <xdr:colOff>2420794</xdr:colOff>
      <xdr:row>126</xdr:row>
      <xdr:rowOff>37593</xdr:rowOff>
    </xdr:from>
    <xdr:to>
      <xdr:col>6</xdr:col>
      <xdr:colOff>719615</xdr:colOff>
      <xdr:row>141</xdr:row>
      <xdr:rowOff>55943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54968AF6-BD67-4BDF-9C9F-093741578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4894" y="27469593"/>
          <a:ext cx="3690878" cy="306635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2</xdr:row>
      <xdr:rowOff>76201</xdr:rowOff>
    </xdr:from>
    <xdr:to>
      <xdr:col>10</xdr:col>
      <xdr:colOff>1092200</xdr:colOff>
      <xdr:row>18</xdr:row>
      <xdr:rowOff>175308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C7564354-5FEE-44CC-886B-05C2CF40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00" y="406401"/>
          <a:ext cx="4381500" cy="3109007"/>
        </a:xfrm>
        <a:prstGeom prst="rect">
          <a:avLst/>
        </a:prstGeom>
      </xdr:spPr>
    </xdr:pic>
    <xdr:clientData/>
  </xdr:twoCellAnchor>
  <xdr:twoCellAnchor editAs="oneCell">
    <xdr:from>
      <xdr:col>5</xdr:col>
      <xdr:colOff>1119910</xdr:colOff>
      <xdr:row>58</xdr:row>
      <xdr:rowOff>57727</xdr:rowOff>
    </xdr:from>
    <xdr:to>
      <xdr:col>10</xdr:col>
      <xdr:colOff>356693</xdr:colOff>
      <xdr:row>70</xdr:row>
      <xdr:rowOff>7486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1C82009-B7EE-48E1-B6AA-666069720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5546" y="11418454"/>
          <a:ext cx="6256419" cy="3436487"/>
        </a:xfrm>
        <a:prstGeom prst="rect">
          <a:avLst/>
        </a:prstGeom>
      </xdr:spPr>
    </xdr:pic>
    <xdr:clientData/>
  </xdr:twoCellAnchor>
  <xdr:twoCellAnchor editAs="oneCell">
    <xdr:from>
      <xdr:col>12</xdr:col>
      <xdr:colOff>540854</xdr:colOff>
      <xdr:row>1</xdr:row>
      <xdr:rowOff>111126</xdr:rowOff>
    </xdr:from>
    <xdr:to>
      <xdr:col>19</xdr:col>
      <xdr:colOff>764746</xdr:colOff>
      <xdr:row>25</xdr:row>
      <xdr:rowOff>158750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5B94106-610A-B335-33D9-541641BEF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527479" y="285751"/>
          <a:ext cx="6446892" cy="4810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6"/>
  <sheetViews>
    <sheetView tabSelected="1" zoomScale="40" zoomScaleNormal="40" workbookViewId="0">
      <selection activeCell="P35" sqref="P35"/>
    </sheetView>
  </sheetViews>
  <sheetFormatPr baseColWidth="10" defaultColWidth="12.6328125" defaultRowHeight="15.75" customHeight="1" x14ac:dyDescent="0.25"/>
  <cols>
    <col min="1" max="1" width="51.90625" customWidth="1"/>
    <col min="2" max="2" width="21.36328125" customWidth="1"/>
    <col min="3" max="3" width="19.6328125" customWidth="1"/>
    <col min="4" max="4" width="37.54296875" customWidth="1"/>
    <col min="5" max="5" width="23.90625" customWidth="1"/>
    <col min="6" max="6" width="17.1796875" customWidth="1"/>
    <col min="7" max="7" width="33.6328125" customWidth="1"/>
    <col min="8" max="8" width="20.1796875" customWidth="1"/>
    <col min="9" max="9" width="16.90625" customWidth="1"/>
    <col min="11" max="11" width="18.54296875" customWidth="1"/>
  </cols>
  <sheetData>
    <row r="1" spans="1:18" ht="13.5" thickBot="1" x14ac:dyDescent="0.35">
      <c r="A1" s="115" t="s">
        <v>0</v>
      </c>
      <c r="B1" s="116"/>
      <c r="G1" s="39" t="s">
        <v>113</v>
      </c>
      <c r="H1" s="36">
        <f>PI()</f>
        <v>3.1415926535897931</v>
      </c>
    </row>
    <row r="2" spans="1:18" ht="13" thickTop="1" x14ac:dyDescent="0.25">
      <c r="A2" s="69" t="s">
        <v>1</v>
      </c>
      <c r="B2" s="70"/>
      <c r="C2" s="70"/>
      <c r="D2" s="70"/>
      <c r="E2" s="71" t="s">
        <v>5</v>
      </c>
      <c r="F2" s="72" t="s">
        <v>16</v>
      </c>
      <c r="I2" s="6" t="s">
        <v>23</v>
      </c>
    </row>
    <row r="3" spans="1:18" ht="12.5" x14ac:dyDescent="0.25">
      <c r="A3" s="73"/>
      <c r="B3" s="19" t="s">
        <v>5</v>
      </c>
      <c r="C3" s="19" t="s">
        <v>16</v>
      </c>
      <c r="D3" s="63" t="s">
        <v>3</v>
      </c>
      <c r="E3" s="63">
        <v>5</v>
      </c>
      <c r="F3" s="74">
        <v>0.05</v>
      </c>
      <c r="L3" s="3"/>
    </row>
    <row r="4" spans="1:18" ht="12.5" x14ac:dyDescent="0.25">
      <c r="A4" s="73" t="s">
        <v>4</v>
      </c>
      <c r="B4" s="20">
        <v>10</v>
      </c>
      <c r="C4" s="20">
        <v>0.1</v>
      </c>
      <c r="D4" s="63" t="s">
        <v>6</v>
      </c>
      <c r="E4" s="63">
        <v>4</v>
      </c>
      <c r="F4" s="75">
        <v>0.04</v>
      </c>
      <c r="L4" s="3"/>
    </row>
    <row r="5" spans="1:18" ht="14" x14ac:dyDescent="0.3">
      <c r="A5" s="73" t="s">
        <v>8</v>
      </c>
      <c r="B5" s="20">
        <f>(E7+B4)</f>
        <v>50</v>
      </c>
      <c r="C5" s="20">
        <f>(B5/100)</f>
        <v>0.5</v>
      </c>
      <c r="D5" s="64" t="s">
        <v>9</v>
      </c>
      <c r="E5" s="76">
        <v>12</v>
      </c>
      <c r="F5" s="75"/>
      <c r="L5" s="3"/>
    </row>
    <row r="6" spans="1:18" ht="14" x14ac:dyDescent="0.3">
      <c r="A6" s="73" t="s">
        <v>11</v>
      </c>
      <c r="B6" s="13"/>
      <c r="C6" s="13"/>
      <c r="D6" s="65" t="s">
        <v>12</v>
      </c>
      <c r="E6" s="65">
        <f>(E4*E5)</f>
        <v>48</v>
      </c>
      <c r="F6" s="75"/>
      <c r="L6" s="3"/>
    </row>
    <row r="7" spans="1:18" ht="25" x14ac:dyDescent="0.25">
      <c r="A7" s="73" t="s">
        <v>14</v>
      </c>
      <c r="B7" s="13"/>
      <c r="C7" s="13"/>
      <c r="D7" s="14" t="s">
        <v>9</v>
      </c>
      <c r="E7" s="14">
        <v>40</v>
      </c>
      <c r="F7" s="77" t="s">
        <v>47</v>
      </c>
    </row>
    <row r="8" spans="1:18" ht="14" x14ac:dyDescent="0.3">
      <c r="A8" s="78" t="s">
        <v>28</v>
      </c>
      <c r="B8" s="66" t="s">
        <v>151</v>
      </c>
      <c r="C8" s="67">
        <v>0.85</v>
      </c>
      <c r="D8" s="13"/>
      <c r="E8" s="13"/>
      <c r="F8" s="79"/>
    </row>
    <row r="9" spans="1:18" ht="12.5" x14ac:dyDescent="0.25">
      <c r="A9" s="73" t="s">
        <v>17</v>
      </c>
      <c r="B9" s="13"/>
      <c r="C9" s="13"/>
      <c r="D9" s="18"/>
      <c r="E9" s="62" t="s">
        <v>49</v>
      </c>
      <c r="F9" s="80"/>
    </row>
    <row r="10" spans="1:18" ht="12.5" x14ac:dyDescent="0.25">
      <c r="A10" s="81"/>
      <c r="B10" s="13"/>
      <c r="C10" s="13"/>
      <c r="D10" s="11" t="s">
        <v>50</v>
      </c>
      <c r="E10" s="13">
        <f>(7/13)</f>
        <v>0.53846153846153844</v>
      </c>
      <c r="F10" s="82" t="s">
        <v>5</v>
      </c>
    </row>
    <row r="11" spans="1:18" ht="15.75" customHeight="1" x14ac:dyDescent="0.3">
      <c r="A11" s="83" t="s">
        <v>55</v>
      </c>
      <c r="B11" s="13"/>
      <c r="C11" s="13"/>
      <c r="D11" s="11" t="s">
        <v>51</v>
      </c>
      <c r="E11" s="13">
        <f>(0.5*2/3)</f>
        <v>0.33333333333333331</v>
      </c>
      <c r="F11" s="82" t="s">
        <v>5</v>
      </c>
    </row>
    <row r="12" spans="1:18" ht="12.5" x14ac:dyDescent="0.25">
      <c r="A12" s="78" t="s">
        <v>54</v>
      </c>
      <c r="B12" s="13">
        <v>2400</v>
      </c>
      <c r="C12" s="17" t="s">
        <v>58</v>
      </c>
      <c r="D12" s="40" t="s">
        <v>108</v>
      </c>
      <c r="E12" s="40" t="s">
        <v>109</v>
      </c>
      <c r="F12" s="84" t="s">
        <v>110</v>
      </c>
    </row>
    <row r="13" spans="1:18" ht="12.5" x14ac:dyDescent="0.25">
      <c r="A13" s="78" t="s">
        <v>56</v>
      </c>
      <c r="B13" s="13">
        <v>4200</v>
      </c>
      <c r="C13" s="10" t="s">
        <v>59</v>
      </c>
      <c r="D13" s="38"/>
      <c r="E13" s="41">
        <v>0.95</v>
      </c>
      <c r="F13" s="84" t="s">
        <v>5</v>
      </c>
      <c r="R13" s="3"/>
    </row>
    <row r="14" spans="1:18" ht="14" x14ac:dyDescent="0.3">
      <c r="A14" s="78" t="s">
        <v>57</v>
      </c>
      <c r="B14" s="13">
        <v>280</v>
      </c>
      <c r="C14" s="10" t="s">
        <v>59</v>
      </c>
      <c r="D14" s="40" t="s">
        <v>111</v>
      </c>
      <c r="E14" s="42">
        <f>(H1*(E13)^2)/4</f>
        <v>0.70882184246619706</v>
      </c>
      <c r="F14" s="84" t="s">
        <v>112</v>
      </c>
      <c r="R14" s="3"/>
    </row>
    <row r="15" spans="1:18" ht="13" x14ac:dyDescent="0.3">
      <c r="A15" s="78" t="s">
        <v>65</v>
      </c>
      <c r="B15" s="13">
        <v>120</v>
      </c>
      <c r="C15" s="10" t="s">
        <v>18</v>
      </c>
      <c r="D15" s="37" t="s">
        <v>144</v>
      </c>
      <c r="E15" s="41">
        <v>0.63500000000000001</v>
      </c>
      <c r="F15" s="84" t="s">
        <v>5</v>
      </c>
      <c r="R15" s="3"/>
    </row>
    <row r="16" spans="1:18" ht="15.75" customHeight="1" x14ac:dyDescent="0.25">
      <c r="A16" s="78" t="s">
        <v>133</v>
      </c>
      <c r="B16" s="13">
        <f>(2+E15+(E13/2))</f>
        <v>3.11</v>
      </c>
      <c r="C16" s="10" t="s">
        <v>5</v>
      </c>
      <c r="D16" s="40" t="s">
        <v>138</v>
      </c>
      <c r="E16" s="41">
        <f>(C22-((E13)/2)-2)-E15</f>
        <v>14.889999999999999</v>
      </c>
      <c r="F16" s="84" t="s">
        <v>5</v>
      </c>
      <c r="R16" s="3"/>
    </row>
    <row r="17" spans="1:18" ht="15.75" customHeight="1" x14ac:dyDescent="0.3">
      <c r="A17" s="85" t="s">
        <v>22</v>
      </c>
      <c r="B17" s="68"/>
      <c r="C17" s="68"/>
      <c r="D17" s="68"/>
      <c r="E17" s="68"/>
      <c r="F17" s="86"/>
      <c r="R17" s="3"/>
    </row>
    <row r="18" spans="1:18" ht="15.75" customHeight="1" x14ac:dyDescent="0.25">
      <c r="A18" s="87" t="s">
        <v>24</v>
      </c>
      <c r="B18" s="11" t="s">
        <v>26</v>
      </c>
      <c r="C18" s="11" t="s">
        <v>27</v>
      </c>
      <c r="D18" s="11" t="s">
        <v>25</v>
      </c>
      <c r="E18" s="11" t="s">
        <v>29</v>
      </c>
      <c r="F18" s="88" t="s">
        <v>30</v>
      </c>
    </row>
    <row r="19" spans="1:18" ht="15.75" customHeight="1" x14ac:dyDescent="0.25">
      <c r="A19" s="89">
        <v>1</v>
      </c>
      <c r="B19" s="12">
        <v>3</v>
      </c>
      <c r="C19" s="12">
        <v>7</v>
      </c>
      <c r="D19" s="12">
        <f>(B19/C19)</f>
        <v>0.42857142857142855</v>
      </c>
      <c r="E19" s="12">
        <v>1</v>
      </c>
      <c r="F19" s="90">
        <f>(B19/18.5)</f>
        <v>0.16216216216216217</v>
      </c>
    </row>
    <row r="20" spans="1:18" ht="12.5" x14ac:dyDescent="0.25">
      <c r="A20" s="89">
        <v>2</v>
      </c>
      <c r="B20" s="12">
        <v>7</v>
      </c>
      <c r="C20" s="12">
        <v>7</v>
      </c>
      <c r="D20" s="11">
        <f>(B20/C20)</f>
        <v>1</v>
      </c>
      <c r="E20" s="12">
        <v>2</v>
      </c>
      <c r="F20" s="90">
        <f>(B20+C20)/90</f>
        <v>0.15555555555555556</v>
      </c>
      <c r="H20" s="117" t="s">
        <v>32</v>
      </c>
      <c r="I20" s="118"/>
      <c r="J20" s="118"/>
      <c r="K20" s="118"/>
      <c r="L20" s="119"/>
    </row>
    <row r="21" spans="1:18" ht="25" x14ac:dyDescent="0.25">
      <c r="A21" s="89"/>
      <c r="B21" s="12"/>
      <c r="C21" s="12"/>
      <c r="D21" s="12"/>
      <c r="E21" s="15" t="s">
        <v>45</v>
      </c>
      <c r="F21" s="90">
        <f>(F19+F20)/2</f>
        <v>0.15885885885885886</v>
      </c>
      <c r="H21" s="7" t="s">
        <v>21</v>
      </c>
      <c r="I21" s="7" t="s">
        <v>33</v>
      </c>
      <c r="J21" s="7" t="s">
        <v>34</v>
      </c>
      <c r="K21" s="7" t="s">
        <v>35</v>
      </c>
      <c r="L21" s="7" t="s">
        <v>36</v>
      </c>
    </row>
    <row r="22" spans="1:18" ht="38" x14ac:dyDescent="0.3">
      <c r="A22" s="93" t="s">
        <v>46</v>
      </c>
      <c r="B22" s="94" t="s">
        <v>48</v>
      </c>
      <c r="C22" s="55">
        <v>18</v>
      </c>
      <c r="D22" s="95" t="s">
        <v>5</v>
      </c>
      <c r="E22" s="12"/>
      <c r="F22" s="79"/>
      <c r="H22" s="7" t="s">
        <v>37</v>
      </c>
      <c r="I22" s="8" t="s">
        <v>38</v>
      </c>
      <c r="J22" s="7" t="s">
        <v>39</v>
      </c>
      <c r="K22" s="7" t="s">
        <v>40</v>
      </c>
      <c r="L22" s="7" t="s">
        <v>41</v>
      </c>
    </row>
    <row r="23" spans="1:18" ht="15.75" customHeight="1" thickBot="1" x14ac:dyDescent="0.3">
      <c r="A23" s="91"/>
      <c r="B23" s="92"/>
      <c r="C23" s="92">
        <f>(C22/100)</f>
        <v>0.18</v>
      </c>
      <c r="D23" s="96" t="s">
        <v>16</v>
      </c>
      <c r="E23" s="92"/>
      <c r="F23" s="97"/>
      <c r="H23" s="7" t="s">
        <v>42</v>
      </c>
      <c r="I23" s="7" t="s">
        <v>31</v>
      </c>
      <c r="J23" s="9"/>
      <c r="K23" s="9"/>
    </row>
    <row r="24" spans="1:18" ht="15.75" customHeight="1" thickTop="1" x14ac:dyDescent="0.25">
      <c r="B24" s="5"/>
      <c r="C24" s="5"/>
      <c r="D24" s="5"/>
      <c r="E24" s="5"/>
    </row>
    <row r="25" spans="1:18" ht="15.75" customHeight="1" x14ac:dyDescent="0.25">
      <c r="B25" s="5"/>
      <c r="C25" s="5"/>
      <c r="D25" s="5"/>
      <c r="E25" s="5"/>
    </row>
    <row r="27" spans="1:18" ht="15.75" customHeight="1" x14ac:dyDescent="0.3">
      <c r="H27" s="1"/>
    </row>
    <row r="28" spans="1:18" ht="12.5" x14ac:dyDescent="0.25"/>
    <row r="29" spans="1:18" ht="12.5" x14ac:dyDescent="0.25"/>
    <row r="30" spans="1:18" ht="12.5" x14ac:dyDescent="0.25"/>
    <row r="31" spans="1:18" ht="12.5" x14ac:dyDescent="0.25"/>
    <row r="33" spans="1:6" ht="15.75" customHeight="1" x14ac:dyDescent="0.3">
      <c r="A33" s="61" t="s">
        <v>43</v>
      </c>
    </row>
    <row r="34" spans="1:6" ht="15.75" customHeight="1" x14ac:dyDescent="0.25">
      <c r="A34" s="6" t="s">
        <v>44</v>
      </c>
    </row>
    <row r="35" spans="1:6" ht="15.75" customHeight="1" x14ac:dyDescent="0.3">
      <c r="E35" s="1"/>
      <c r="F35" s="2" t="s">
        <v>2</v>
      </c>
    </row>
    <row r="36" spans="1:6" ht="15.75" customHeight="1" x14ac:dyDescent="0.3">
      <c r="A36" s="61" t="s">
        <v>52</v>
      </c>
      <c r="E36" s="2" t="s">
        <v>7</v>
      </c>
      <c r="F36" s="2">
        <v>100</v>
      </c>
    </row>
    <row r="37" spans="1:6" ht="15.75" customHeight="1" x14ac:dyDescent="0.3">
      <c r="A37" s="4" t="s">
        <v>53</v>
      </c>
      <c r="E37" s="2" t="s">
        <v>10</v>
      </c>
      <c r="F37" s="2">
        <v>50</v>
      </c>
    </row>
    <row r="38" spans="1:6" ht="15.75" customHeight="1" x14ac:dyDescent="0.3">
      <c r="A38" s="4" t="s">
        <v>60</v>
      </c>
      <c r="B38">
        <f>(F4*C5*B12)</f>
        <v>48</v>
      </c>
      <c r="C38" s="4" t="s">
        <v>61</v>
      </c>
      <c r="E38" s="21" t="s">
        <v>13</v>
      </c>
      <c r="F38" s="21">
        <v>50</v>
      </c>
    </row>
    <row r="39" spans="1:6" ht="15.75" customHeight="1" x14ac:dyDescent="0.3">
      <c r="A39" s="4" t="s">
        <v>62</v>
      </c>
      <c r="B39">
        <f>(C4*(C23-F4)*B12)</f>
        <v>33.599999999999994</v>
      </c>
      <c r="C39" s="4" t="s">
        <v>63</v>
      </c>
      <c r="E39" s="22" t="s">
        <v>66</v>
      </c>
      <c r="F39" s="13">
        <f>(F36+F37+F38)</f>
        <v>200</v>
      </c>
    </row>
    <row r="40" spans="1:6" ht="15.75" customHeight="1" x14ac:dyDescent="0.25">
      <c r="A40" s="4" t="s">
        <v>64</v>
      </c>
      <c r="B40">
        <f>(B15*(C5-C4))</f>
        <v>48</v>
      </c>
      <c r="C40" s="4" t="s">
        <v>63</v>
      </c>
    </row>
    <row r="41" spans="1:6" ht="15.75" customHeight="1" x14ac:dyDescent="0.3">
      <c r="A41" s="4" t="s">
        <v>67</v>
      </c>
      <c r="B41">
        <f>(F39*C5)</f>
        <v>100</v>
      </c>
      <c r="C41" s="4" t="s">
        <v>63</v>
      </c>
      <c r="E41" s="2" t="s">
        <v>15</v>
      </c>
      <c r="F41" s="2">
        <v>250</v>
      </c>
    </row>
    <row r="42" spans="1:6" ht="15.75" customHeight="1" x14ac:dyDescent="0.25">
      <c r="A42" s="24" t="s">
        <v>19</v>
      </c>
      <c r="B42" s="26">
        <f>(B38+B39+B40+B41)</f>
        <v>229.6</v>
      </c>
      <c r="C42" s="24" t="s">
        <v>63</v>
      </c>
    </row>
    <row r="44" spans="1:6" ht="15.75" customHeight="1" x14ac:dyDescent="0.25">
      <c r="A44" s="24" t="s">
        <v>116</v>
      </c>
      <c r="B44" s="14">
        <f>(F41*C5)</f>
        <v>125</v>
      </c>
      <c r="C44" s="24" t="s">
        <v>63</v>
      </c>
      <c r="D44" s="39"/>
    </row>
    <row r="46" spans="1:6" ht="15.75" customHeight="1" x14ac:dyDescent="0.25">
      <c r="A46" s="25" t="s">
        <v>68</v>
      </c>
      <c r="B46" s="16">
        <f>(1.2*(B42)+1.6*(B44))</f>
        <v>475.52</v>
      </c>
      <c r="C46" s="25" t="s">
        <v>63</v>
      </c>
    </row>
    <row r="47" spans="1:6" ht="15.75" customHeight="1" x14ac:dyDescent="0.25">
      <c r="A47" s="27" t="s">
        <v>69</v>
      </c>
      <c r="B47" s="28">
        <f>(1.2*B42)</f>
        <v>275.52</v>
      </c>
      <c r="C47" s="25" t="s">
        <v>63</v>
      </c>
    </row>
    <row r="48" spans="1:6" ht="15.75" customHeight="1" x14ac:dyDescent="0.25">
      <c r="A48" s="27" t="s">
        <v>70</v>
      </c>
      <c r="B48" s="28">
        <f>(1.6*B44)</f>
        <v>200</v>
      </c>
      <c r="C48" s="25" t="s">
        <v>63</v>
      </c>
    </row>
    <row r="51" spans="1:7" ht="15.75" customHeight="1" x14ac:dyDescent="0.3">
      <c r="A51" s="60" t="s">
        <v>71</v>
      </c>
    </row>
    <row r="52" spans="1:7" ht="15.75" customHeight="1" x14ac:dyDescent="0.25">
      <c r="A52" s="11" t="s">
        <v>107</v>
      </c>
      <c r="B52" s="11" t="s">
        <v>75</v>
      </c>
    </row>
    <row r="53" spans="1:7" ht="15.75" customHeight="1" x14ac:dyDescent="0.25">
      <c r="A53" s="10" t="s">
        <v>72</v>
      </c>
      <c r="B53" s="12">
        <f>(B46*B19^2) /24</f>
        <v>178.32000000000002</v>
      </c>
    </row>
    <row r="54" spans="1:7" ht="15.75" customHeight="1" x14ac:dyDescent="0.25">
      <c r="A54" s="10" t="s">
        <v>73</v>
      </c>
      <c r="B54" s="12">
        <f>(B46*B19^2)/16</f>
        <v>267.48</v>
      </c>
    </row>
    <row r="55" spans="1:7" ht="15.75" customHeight="1" x14ac:dyDescent="0.25">
      <c r="A55" s="10" t="s">
        <v>74</v>
      </c>
      <c r="B55" s="12">
        <f>(B46*B19^2)/11</f>
        <v>389.06181818181818</v>
      </c>
    </row>
    <row r="56" spans="1:7" ht="15.75" customHeight="1" x14ac:dyDescent="0.25">
      <c r="A56" s="10" t="s">
        <v>73</v>
      </c>
    </row>
    <row r="57" spans="1:7" ht="15.75" customHeight="1" x14ac:dyDescent="0.25">
      <c r="A57" s="10" t="s">
        <v>72</v>
      </c>
    </row>
    <row r="58" spans="1:7" ht="15.75" customHeight="1" x14ac:dyDescent="0.3">
      <c r="G58" s="54" t="s">
        <v>145</v>
      </c>
    </row>
    <row r="59" spans="1:7" ht="40.25" customHeight="1" x14ac:dyDescent="0.25"/>
    <row r="60" spans="1:7" ht="48" customHeight="1" x14ac:dyDescent="0.3">
      <c r="D60" s="35" t="s">
        <v>82</v>
      </c>
      <c r="E60" s="34"/>
    </row>
    <row r="61" spans="1:7" ht="15.75" customHeight="1" x14ac:dyDescent="0.3">
      <c r="A61" s="114" t="s">
        <v>81</v>
      </c>
      <c r="B61" s="114"/>
      <c r="C61" s="114"/>
      <c r="D61" s="35">
        <f>(D20)</f>
        <v>1</v>
      </c>
    </row>
    <row r="62" spans="1:7" ht="15.75" customHeight="1" x14ac:dyDescent="0.25">
      <c r="A62" s="114" t="s">
        <v>76</v>
      </c>
      <c r="B62" s="114"/>
      <c r="C62" s="114"/>
      <c r="D62" s="13"/>
    </row>
    <row r="63" spans="1:7" ht="15.75" customHeight="1" x14ac:dyDescent="0.25">
      <c r="A63" s="11" t="s">
        <v>77</v>
      </c>
      <c r="B63" s="11" t="s">
        <v>79</v>
      </c>
      <c r="C63" s="11" t="s">
        <v>80</v>
      </c>
      <c r="D63" s="11" t="s">
        <v>83</v>
      </c>
    </row>
    <row r="64" spans="1:7" ht="15.75" customHeight="1" x14ac:dyDescent="0.25">
      <c r="A64" s="11" t="s">
        <v>78</v>
      </c>
      <c r="B64" s="55">
        <v>7.0999999999999994E-2</v>
      </c>
      <c r="C64" s="55">
        <v>3.5000000000000003E-2</v>
      </c>
      <c r="D64" s="55">
        <v>3.3000000000000002E-2</v>
      </c>
    </row>
    <row r="65" spans="1:8" ht="15.75" customHeight="1" x14ac:dyDescent="0.25">
      <c r="A65" s="11" t="s">
        <v>20</v>
      </c>
      <c r="B65" s="55">
        <v>0</v>
      </c>
      <c r="C65" s="55">
        <v>3.2000000000000001E-2</v>
      </c>
      <c r="D65" s="55">
        <v>2.7E-2</v>
      </c>
    </row>
    <row r="66" spans="1:8" ht="15.75" customHeight="1" x14ac:dyDescent="0.25">
      <c r="A66" s="11" t="s">
        <v>85</v>
      </c>
      <c r="B66" s="13"/>
      <c r="C66" s="13"/>
      <c r="D66" s="11" t="s">
        <v>84</v>
      </c>
      <c r="E66" s="13"/>
    </row>
    <row r="67" spans="1:8" ht="15.75" customHeight="1" x14ac:dyDescent="0.25">
      <c r="A67" s="11" t="s">
        <v>86</v>
      </c>
      <c r="B67" s="56">
        <f>(B64*B46*B20^2)</f>
        <v>1654.3340799999999</v>
      </c>
      <c r="C67" s="13"/>
      <c r="D67" s="11" t="s">
        <v>87</v>
      </c>
      <c r="E67" s="57">
        <f>(B65*B46*C20^2)</f>
        <v>0</v>
      </c>
    </row>
    <row r="68" spans="1:8" ht="47.4" customHeight="1" x14ac:dyDescent="0.25">
      <c r="A68" s="32" t="s">
        <v>132</v>
      </c>
      <c r="B68" s="57">
        <f>((D64*B47)+(C64*B48))*B20^2</f>
        <v>788.51584000000003</v>
      </c>
      <c r="C68" s="13"/>
      <c r="D68" s="32" t="s">
        <v>88</v>
      </c>
      <c r="E68" s="57">
        <f>((D65*B47)+(C65*B48))*C20^2</f>
        <v>678.11296000000004</v>
      </c>
    </row>
    <row r="69" spans="1:8" ht="15.75" customHeight="1" x14ac:dyDescent="0.25">
      <c r="D69" s="4"/>
    </row>
    <row r="71" spans="1:8" ht="15.75" customHeight="1" x14ac:dyDescent="0.3">
      <c r="A71" s="60" t="s">
        <v>89</v>
      </c>
    </row>
    <row r="72" spans="1:8" ht="15.75" customHeight="1" x14ac:dyDescent="0.3">
      <c r="A72" s="4" t="s">
        <v>90</v>
      </c>
      <c r="B72">
        <f>(B67)</f>
        <v>1654.3340799999999</v>
      </c>
      <c r="C72" s="4" t="s">
        <v>75</v>
      </c>
      <c r="E72" s="54" t="s">
        <v>163</v>
      </c>
    </row>
    <row r="73" spans="1:8" ht="15.75" customHeight="1" x14ac:dyDescent="0.25">
      <c r="A73" s="4" t="s">
        <v>93</v>
      </c>
      <c r="B73">
        <f>(B55)</f>
        <v>389.06181818181818</v>
      </c>
      <c r="C73" s="4" t="s">
        <v>75</v>
      </c>
    </row>
    <row r="74" spans="1:8" ht="15.75" customHeight="1" x14ac:dyDescent="0.25">
      <c r="A74" s="23" t="s">
        <v>91</v>
      </c>
      <c r="B74" s="29">
        <f>(0.8*(B72))</f>
        <v>1323.4672639999999</v>
      </c>
      <c r="C74" s="24" t="s">
        <v>94</v>
      </c>
    </row>
    <row r="75" spans="1:8" ht="15.75" customHeight="1" x14ac:dyDescent="0.25">
      <c r="A75" s="4" t="s">
        <v>92</v>
      </c>
      <c r="B75">
        <f>(0.8*(B72))</f>
        <v>1323.4672639999999</v>
      </c>
    </row>
    <row r="77" spans="1:8" ht="15.75" customHeight="1" x14ac:dyDescent="0.25">
      <c r="A77" s="30" t="s">
        <v>95</v>
      </c>
    </row>
    <row r="78" spans="1:8" ht="15.75" customHeight="1" x14ac:dyDescent="0.25">
      <c r="A78" s="10" t="s">
        <v>96</v>
      </c>
      <c r="B78" s="13">
        <f>(1/B20)</f>
        <v>0.14285714285714285</v>
      </c>
      <c r="H78" s="4" t="s">
        <v>146</v>
      </c>
    </row>
    <row r="79" spans="1:8" ht="15.75" customHeight="1" x14ac:dyDescent="0.25">
      <c r="A79" s="10" t="s">
        <v>97</v>
      </c>
      <c r="B79" s="13">
        <f>(1/B19)</f>
        <v>0.33333333333333331</v>
      </c>
    </row>
    <row r="80" spans="1:8" ht="15.75" customHeight="1" x14ac:dyDescent="0.25">
      <c r="A80" s="30" t="s">
        <v>98</v>
      </c>
    </row>
    <row r="81" spans="1:3" ht="15.75" customHeight="1" x14ac:dyDescent="0.25">
      <c r="A81" s="10" t="s">
        <v>99</v>
      </c>
      <c r="B81" s="13">
        <f>((B78)/(B79+B78))</f>
        <v>0.3</v>
      </c>
    </row>
    <row r="82" spans="1:3" ht="15.75" customHeight="1" x14ac:dyDescent="0.25">
      <c r="A82" s="10" t="s">
        <v>100</v>
      </c>
      <c r="B82" s="13">
        <f>((B79)/(B79+B78))</f>
        <v>0.7</v>
      </c>
    </row>
    <row r="83" spans="1:3" ht="15.75" customHeight="1" x14ac:dyDescent="0.25">
      <c r="A83" s="30" t="s">
        <v>101</v>
      </c>
    </row>
    <row r="84" spans="1:3" ht="15.75" customHeight="1" x14ac:dyDescent="0.35">
      <c r="A84" s="31" t="s">
        <v>102</v>
      </c>
      <c r="B84" s="13">
        <f>(B72-B73)</f>
        <v>1265.2722618181817</v>
      </c>
      <c r="C84" s="10" t="s">
        <v>75</v>
      </c>
    </row>
    <row r="85" spans="1:3" ht="15.75" customHeight="1" x14ac:dyDescent="0.25">
      <c r="A85" s="30" t="s">
        <v>103</v>
      </c>
    </row>
    <row r="86" spans="1:3" ht="15.75" customHeight="1" x14ac:dyDescent="0.25">
      <c r="A86" s="10" t="s">
        <v>104</v>
      </c>
      <c r="B86" s="16">
        <f>(B72-(B81*B84))</f>
        <v>1274.7524014545454</v>
      </c>
      <c r="C86" s="25" t="s">
        <v>75</v>
      </c>
    </row>
    <row r="87" spans="1:3" ht="15.75" customHeight="1" x14ac:dyDescent="0.25">
      <c r="A87" s="10" t="s">
        <v>105</v>
      </c>
      <c r="B87" s="16">
        <f>(B73+(B82*B84))</f>
        <v>1274.7524014545454</v>
      </c>
      <c r="C87" s="25" t="s">
        <v>75</v>
      </c>
    </row>
    <row r="88" spans="1:3" ht="15.75" customHeight="1" x14ac:dyDescent="0.25">
      <c r="A88" s="33"/>
    </row>
    <row r="89" spans="1:3" ht="15.75" customHeight="1" x14ac:dyDescent="0.3">
      <c r="A89" s="43" t="s">
        <v>106</v>
      </c>
      <c r="B89" s="44">
        <f>(E68/3)</f>
        <v>226.03765333333334</v>
      </c>
      <c r="C89" s="43" t="s">
        <v>75</v>
      </c>
    </row>
    <row r="90" spans="1:3" ht="15.75" customHeight="1" x14ac:dyDescent="0.25">
      <c r="A90" s="4"/>
    </row>
    <row r="91" spans="1:3" ht="15.75" customHeight="1" x14ac:dyDescent="0.3">
      <c r="A91" s="43" t="s">
        <v>117</v>
      </c>
      <c r="B91" s="44">
        <f>(B68/3)</f>
        <v>262.83861333333334</v>
      </c>
      <c r="C91" s="43" t="s">
        <v>75</v>
      </c>
    </row>
    <row r="92" spans="1:3" ht="15.75" customHeight="1" thickBot="1" x14ac:dyDescent="0.3"/>
    <row r="93" spans="1:3" ht="15.75" customHeight="1" thickTop="1" x14ac:dyDescent="0.3">
      <c r="A93" s="99" t="s">
        <v>118</v>
      </c>
      <c r="B93" s="100"/>
      <c r="C93" s="101"/>
    </row>
    <row r="94" spans="1:3" ht="15.75" customHeight="1" x14ac:dyDescent="0.3">
      <c r="A94" s="83" t="s">
        <v>122</v>
      </c>
      <c r="B94" s="13"/>
      <c r="C94" s="79"/>
    </row>
    <row r="95" spans="1:3" ht="15.75" customHeight="1" x14ac:dyDescent="0.25">
      <c r="A95" s="87" t="s">
        <v>114</v>
      </c>
      <c r="B95" s="13">
        <f>((14/B13)*B4*E16)</f>
        <v>0.49633333333333329</v>
      </c>
      <c r="C95" s="82" t="s">
        <v>119</v>
      </c>
    </row>
    <row r="96" spans="1:3" ht="15.75" customHeight="1" x14ac:dyDescent="0.25">
      <c r="A96" s="87" t="s">
        <v>115</v>
      </c>
      <c r="B96" s="13">
        <f>(B95*B13)*(E16-((B95*B13)/(1.7*B14*B4)))</f>
        <v>30126.76182352941</v>
      </c>
      <c r="C96" s="82" t="s">
        <v>120</v>
      </c>
    </row>
    <row r="97" spans="1:7" ht="15.75" customHeight="1" x14ac:dyDescent="0.25">
      <c r="A97" s="81"/>
      <c r="B97" s="13">
        <f>(B96/100)</f>
        <v>301.26761823529409</v>
      </c>
      <c r="C97" s="82" t="s">
        <v>75</v>
      </c>
    </row>
    <row r="98" spans="1:7" ht="15.75" customHeight="1" x14ac:dyDescent="0.25">
      <c r="A98" s="87" t="s">
        <v>121</v>
      </c>
      <c r="B98" s="13"/>
      <c r="C98" s="79"/>
      <c r="E98" s="45" t="s">
        <v>123</v>
      </c>
      <c r="F98" s="46">
        <f>((E13*B13^2)/(1.7*B14*B4))</f>
        <v>3520.5882352941176</v>
      </c>
    </row>
    <row r="99" spans="1:7" ht="15.75" customHeight="1" x14ac:dyDescent="0.25">
      <c r="A99" s="102" t="s">
        <v>141</v>
      </c>
      <c r="B99" s="53">
        <f>(B87)</f>
        <v>1274.7524014545454</v>
      </c>
      <c r="C99" s="82" t="s">
        <v>75</v>
      </c>
      <c r="E99" s="47" t="s">
        <v>124</v>
      </c>
      <c r="F99" s="48">
        <f>-(E13*B13*E16)</f>
        <v>-59411.1</v>
      </c>
    </row>
    <row r="100" spans="1:7" ht="15.75" customHeight="1" x14ac:dyDescent="0.25">
      <c r="A100" s="81"/>
      <c r="B100" s="13"/>
      <c r="C100" s="79"/>
      <c r="E100" s="47" t="s">
        <v>125</v>
      </c>
      <c r="F100" s="48">
        <f>(B99*100)</f>
        <v>127475.24014545455</v>
      </c>
    </row>
    <row r="101" spans="1:7" ht="15.75" customHeight="1" x14ac:dyDescent="0.25">
      <c r="A101" s="81"/>
      <c r="B101" s="13"/>
      <c r="C101" s="79"/>
      <c r="D101" s="98" t="s">
        <v>126</v>
      </c>
      <c r="E101" s="44">
        <f>((-F99-SQRT(F99^2-4*F98*F100))/(2*F98))</f>
        <v>2.5227944951851087</v>
      </c>
      <c r="F101" s="43" t="s">
        <v>119</v>
      </c>
      <c r="G101" s="43" t="s">
        <v>134</v>
      </c>
    </row>
    <row r="102" spans="1:7" ht="15.75" customHeight="1" x14ac:dyDescent="0.25">
      <c r="A102" s="81"/>
      <c r="B102" s="13"/>
      <c r="C102" s="79"/>
      <c r="E102" s="50">
        <f>((-F99+SQRT(F99^2-4*F98*F100))/(2*F98))</f>
        <v>14.352538838148224</v>
      </c>
      <c r="F102" s="51" t="s">
        <v>119</v>
      </c>
      <c r="G102" s="51" t="s">
        <v>137</v>
      </c>
    </row>
    <row r="103" spans="1:7" ht="15.75" customHeight="1" thickBot="1" x14ac:dyDescent="0.3">
      <c r="A103" s="105" t="s">
        <v>127</v>
      </c>
      <c r="B103" s="104"/>
      <c r="C103" s="97"/>
      <c r="E103" s="44" t="s">
        <v>140</v>
      </c>
    </row>
    <row r="104" spans="1:7" ht="15.75" customHeight="1" thickTop="1" thickBot="1" x14ac:dyDescent="0.3"/>
    <row r="105" spans="1:7" ht="15.75" customHeight="1" thickTop="1" x14ac:dyDescent="0.3">
      <c r="A105" s="107" t="s">
        <v>128</v>
      </c>
      <c r="B105" s="100"/>
      <c r="C105" s="101"/>
    </row>
    <row r="106" spans="1:7" ht="15.75" customHeight="1" x14ac:dyDescent="0.25">
      <c r="A106" s="87" t="s">
        <v>129</v>
      </c>
      <c r="B106" s="13">
        <f>((0.4*((14)/(B13))*B5*E16))</f>
        <v>0.99266666666666681</v>
      </c>
      <c r="C106" s="82" t="s">
        <v>119</v>
      </c>
    </row>
    <row r="107" spans="1:7" ht="15.75" customHeight="1" x14ac:dyDescent="0.25">
      <c r="A107" s="87" t="s">
        <v>130</v>
      </c>
      <c r="B107" s="13">
        <f>(B106*B13)*(E16-((B106*B13)/(1.7*B14*B5)))</f>
        <v>61349.042258823538</v>
      </c>
      <c r="C107" s="82" t="s">
        <v>120</v>
      </c>
    </row>
    <row r="108" spans="1:7" ht="15.75" customHeight="1" x14ac:dyDescent="0.25">
      <c r="A108" s="81"/>
      <c r="B108" s="13">
        <f>(B107/100)</f>
        <v>613.49042258823533</v>
      </c>
      <c r="C108" s="82" t="s">
        <v>75</v>
      </c>
      <c r="E108" s="45" t="s">
        <v>123</v>
      </c>
      <c r="F108" s="46">
        <f>((E13*B13^2)/(1.7*B14*B5))</f>
        <v>704.11764705882354</v>
      </c>
    </row>
    <row r="109" spans="1:7" ht="15.75" customHeight="1" x14ac:dyDescent="0.25">
      <c r="A109" s="87" t="s">
        <v>131</v>
      </c>
      <c r="B109" s="13">
        <f>B68</f>
        <v>788.51584000000003</v>
      </c>
      <c r="C109" s="82" t="s">
        <v>75</v>
      </c>
      <c r="E109" s="47" t="s">
        <v>124</v>
      </c>
      <c r="F109" s="48">
        <f>-(E13*B13*E16)</f>
        <v>-59411.1</v>
      </c>
    </row>
    <row r="110" spans="1:7" ht="15.75" customHeight="1" x14ac:dyDescent="0.25">
      <c r="A110" s="108" t="s">
        <v>142</v>
      </c>
      <c r="B110" s="52">
        <f>(B109*100)</f>
        <v>78851.584000000003</v>
      </c>
      <c r="C110" s="82" t="s">
        <v>120</v>
      </c>
      <c r="E110" s="47" t="s">
        <v>125</v>
      </c>
      <c r="F110" s="48">
        <f>(B110)</f>
        <v>78851.584000000003</v>
      </c>
    </row>
    <row r="111" spans="1:7" ht="15.75" customHeight="1" x14ac:dyDescent="0.25">
      <c r="A111" s="81"/>
      <c r="B111" s="13"/>
      <c r="C111" s="79"/>
      <c r="D111" s="98" t="s">
        <v>162</v>
      </c>
      <c r="E111" s="44">
        <f>((-F109-SQRT(F109^2-4*F108*F110))/(2*F108))</f>
        <v>1.3487802893018981</v>
      </c>
      <c r="F111" s="43" t="s">
        <v>119</v>
      </c>
      <c r="G111" s="43" t="s">
        <v>135</v>
      </c>
    </row>
    <row r="112" spans="1:7" ht="15.75" customHeight="1" x14ac:dyDescent="0.25">
      <c r="A112" s="81"/>
      <c r="B112" s="13"/>
      <c r="C112" s="79"/>
      <c r="E112" s="49">
        <f>((-F109+SQRT(F109^2-4*F108*F110))/(2*F108))</f>
        <v>83.027886377364766</v>
      </c>
      <c r="F112" s="49" t="s">
        <v>119</v>
      </c>
      <c r="G112" s="49" t="s">
        <v>136</v>
      </c>
    </row>
    <row r="113" spans="1:5" ht="15.75" customHeight="1" x14ac:dyDescent="0.25">
      <c r="A113" s="87" t="s">
        <v>149</v>
      </c>
      <c r="B113" s="13"/>
      <c r="C113" s="79"/>
      <c r="E113" s="44" t="s">
        <v>139</v>
      </c>
    </row>
    <row r="114" spans="1:5" ht="18" customHeight="1" x14ac:dyDescent="0.25">
      <c r="A114" s="109" t="s">
        <v>150</v>
      </c>
      <c r="B114" s="13">
        <f>((B106*B13)/(0.85*B14*B5))</f>
        <v>0.35035294117647064</v>
      </c>
      <c r="C114" s="82" t="s">
        <v>5</v>
      </c>
    </row>
    <row r="115" spans="1:5" ht="15.75" customHeight="1" x14ac:dyDescent="0.25">
      <c r="A115" s="109" t="s">
        <v>152</v>
      </c>
      <c r="B115" s="13">
        <f>(B114/C8)</f>
        <v>0.4121799307958478</v>
      </c>
      <c r="C115" s="82" t="s">
        <v>153</v>
      </c>
    </row>
    <row r="116" spans="1:5" ht="15.75" customHeight="1" thickBot="1" x14ac:dyDescent="0.35">
      <c r="A116" s="103"/>
      <c r="B116" s="110" t="b">
        <f>(B115&lt;E4)</f>
        <v>1</v>
      </c>
      <c r="C116" s="97"/>
      <c r="D116" s="106" t="s">
        <v>154</v>
      </c>
      <c r="E116" s="27" t="s">
        <v>134</v>
      </c>
    </row>
    <row r="117" spans="1:5" ht="15.75" customHeight="1" thickTop="1" thickBot="1" x14ac:dyDescent="0.3">
      <c r="D117" s="111" t="s">
        <v>155</v>
      </c>
      <c r="E117" s="27" t="s">
        <v>136</v>
      </c>
    </row>
    <row r="118" spans="1:5" ht="15.75" customHeight="1" thickTop="1" x14ac:dyDescent="0.3">
      <c r="A118" s="99" t="s">
        <v>160</v>
      </c>
      <c r="B118" s="100"/>
      <c r="C118" s="100"/>
      <c r="D118" s="101"/>
    </row>
    <row r="119" spans="1:5" ht="39.65" customHeight="1" x14ac:dyDescent="0.25">
      <c r="A119" s="112" t="s">
        <v>143</v>
      </c>
      <c r="B119" s="13"/>
      <c r="C119" s="13"/>
      <c r="D119" s="79"/>
    </row>
    <row r="120" spans="1:5" ht="15.75" customHeight="1" x14ac:dyDescent="0.25">
      <c r="A120" s="81"/>
      <c r="B120" s="13"/>
      <c r="C120" s="13"/>
      <c r="D120" s="79"/>
    </row>
    <row r="121" spans="1:5" ht="15.75" customHeight="1" x14ac:dyDescent="0.3">
      <c r="A121" s="85" t="s">
        <v>148</v>
      </c>
      <c r="B121" s="13"/>
      <c r="C121" s="13"/>
      <c r="D121" s="113" t="s">
        <v>161</v>
      </c>
    </row>
    <row r="122" spans="1:5" ht="15.75" customHeight="1" x14ac:dyDescent="0.25">
      <c r="A122" s="87" t="s">
        <v>156</v>
      </c>
      <c r="B122" s="13">
        <f>(0.002*B4*E4)</f>
        <v>0.08</v>
      </c>
      <c r="C122" s="10" t="s">
        <v>119</v>
      </c>
      <c r="D122" s="113"/>
    </row>
    <row r="123" spans="1:5" ht="15.75" customHeight="1" x14ac:dyDescent="0.25">
      <c r="A123" s="87" t="s">
        <v>157</v>
      </c>
      <c r="B123" s="13">
        <f>(0.4*(14/B13)*B4*E4)</f>
        <v>5.3333333333333344E-2</v>
      </c>
      <c r="C123" s="10" t="s">
        <v>158</v>
      </c>
      <c r="D123" s="113"/>
    </row>
    <row r="124" spans="1:5" ht="15.65" customHeight="1" x14ac:dyDescent="0.25">
      <c r="A124" s="87" t="s">
        <v>159</v>
      </c>
      <c r="B124" s="13">
        <f>(5*E4)</f>
        <v>20</v>
      </c>
      <c r="C124" s="10" t="s">
        <v>5</v>
      </c>
      <c r="D124" s="113"/>
    </row>
    <row r="125" spans="1:5" ht="15.75" customHeight="1" thickBot="1" x14ac:dyDescent="0.3">
      <c r="A125" s="103"/>
      <c r="B125" s="104"/>
      <c r="C125" s="104"/>
      <c r="D125" s="97"/>
    </row>
    <row r="126" spans="1:5" ht="41.4" customHeight="1" thickTop="1" x14ac:dyDescent="0.3">
      <c r="B126" s="59" t="s">
        <v>147</v>
      </c>
      <c r="C126" s="58"/>
      <c r="D126" s="58"/>
    </row>
  </sheetData>
  <autoFilter ref="B30:B34" xr:uid="{00000000-0009-0000-0000-000000000000}"/>
  <mergeCells count="5">
    <mergeCell ref="D121:D124"/>
    <mergeCell ref="A61:C61"/>
    <mergeCell ref="A62:C62"/>
    <mergeCell ref="A1:B1"/>
    <mergeCell ref="H20:L20"/>
  </mergeCells>
  <phoneticPr fontId="1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Thomyto</dc:creator>
  <cp:lastModifiedBy>Marlon Ivan Carreto Rivera</cp:lastModifiedBy>
  <dcterms:created xsi:type="dcterms:W3CDTF">2024-12-29T08:09:48Z</dcterms:created>
  <dcterms:modified xsi:type="dcterms:W3CDTF">2024-12-30T21:15:58Z</dcterms:modified>
</cp:coreProperties>
</file>