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"/>
    </mc:Choice>
  </mc:AlternateContent>
  <xr:revisionPtr revIDLastSave="0" documentId="8_{85DED1C8-5244-4740-B8B3-89BED75B35CA}" xr6:coauthVersionLast="47" xr6:coauthVersionMax="47" xr10:uidLastSave="{00000000-0000-0000-0000-000000000000}"/>
  <bookViews>
    <workbookView xWindow="-110" yWindow="-110" windowWidth="19420" windowHeight="10420" xr2:uid="{93EFB819-2724-4E2A-A6DE-6E5816FB82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1" l="1"/>
  <c r="C122" i="1" s="1"/>
  <c r="K115" i="1"/>
  <c r="G110" i="1"/>
  <c r="F106" i="1"/>
  <c r="E111" i="1" s="1"/>
  <c r="C100" i="1"/>
  <c r="C94" i="1"/>
  <c r="G98" i="1" s="1"/>
  <c r="C93" i="1"/>
  <c r="D89" i="1"/>
  <c r="G100" i="1" s="1"/>
  <c r="C87" i="1"/>
  <c r="D86" i="1"/>
  <c r="C86" i="1"/>
  <c r="D85" i="1"/>
  <c r="K112" i="1" s="1"/>
  <c r="C85" i="1"/>
  <c r="C124" i="1" s="1"/>
  <c r="S79" i="1"/>
  <c r="R79" i="1"/>
  <c r="S78" i="1"/>
  <c r="R78" i="1"/>
  <c r="S77" i="1"/>
  <c r="R77" i="1"/>
  <c r="S75" i="1"/>
  <c r="R75" i="1"/>
  <c r="S74" i="1"/>
  <c r="R74" i="1"/>
  <c r="S73" i="1"/>
  <c r="R73" i="1"/>
  <c r="S72" i="1"/>
  <c r="R72" i="1"/>
  <c r="L63" i="1"/>
  <c r="H63" i="1"/>
  <c r="D63" i="1"/>
  <c r="M56" i="1"/>
  <c r="I56" i="1"/>
  <c r="E56" i="1"/>
  <c r="M51" i="1"/>
  <c r="I51" i="1"/>
  <c r="E51" i="1"/>
  <c r="L45" i="1"/>
  <c r="H45" i="1"/>
  <c r="D45" i="1"/>
  <c r="M38" i="1"/>
  <c r="I38" i="1"/>
  <c r="E38" i="1"/>
  <c r="I36" i="1"/>
  <c r="M35" i="1"/>
  <c r="M33" i="1"/>
  <c r="I33" i="1"/>
  <c r="E33" i="1"/>
  <c r="G29" i="1"/>
  <c r="M54" i="1" s="1"/>
  <c r="O10" i="1"/>
  <c r="K10" i="1"/>
  <c r="J10" i="1"/>
  <c r="L10" i="1" s="1"/>
  <c r="K9" i="1"/>
  <c r="J9" i="1"/>
  <c r="L9" i="1" s="1"/>
  <c r="K8" i="1"/>
  <c r="O8" i="1" s="1"/>
  <c r="J8" i="1"/>
  <c r="K7" i="1"/>
  <c r="J7" i="1"/>
  <c r="L7" i="1" s="1"/>
  <c r="K6" i="1"/>
  <c r="L6" i="1" s="1"/>
  <c r="J6" i="1"/>
  <c r="O6" i="1" s="1"/>
  <c r="O5" i="1"/>
  <c r="K5" i="1"/>
  <c r="J5" i="1"/>
  <c r="L5" i="1" s="1"/>
  <c r="E74" i="1" l="1"/>
  <c r="M6" i="1"/>
  <c r="E77" i="1"/>
  <c r="M9" i="1"/>
  <c r="M7" i="1"/>
  <c r="E75" i="1"/>
  <c r="E37" i="1"/>
  <c r="E39" i="1" s="1"/>
  <c r="D42" i="1" s="1"/>
  <c r="M10" i="1"/>
  <c r="E78" i="1"/>
  <c r="M5" i="1"/>
  <c r="E73" i="1"/>
  <c r="D123" i="1"/>
  <c r="D122" i="1"/>
  <c r="C99" i="1"/>
  <c r="C115" i="1"/>
  <c r="G120" i="1" s="1"/>
  <c r="L8" i="1"/>
  <c r="E36" i="1"/>
  <c r="G99" i="1"/>
  <c r="E52" i="1"/>
  <c r="I52" i="1"/>
  <c r="G101" i="1"/>
  <c r="B104" i="1" s="1"/>
  <c r="M52" i="1"/>
  <c r="M55" i="1" s="1"/>
  <c r="M57" i="1" s="1"/>
  <c r="E34" i="1"/>
  <c r="I53" i="1"/>
  <c r="I55" i="1" s="1"/>
  <c r="I57" i="1" s="1"/>
  <c r="E110" i="1"/>
  <c r="I34" i="1"/>
  <c r="I37" i="1" s="1"/>
  <c r="I39" i="1" s="1"/>
  <c r="M53" i="1"/>
  <c r="M34" i="1"/>
  <c r="M37" i="1" s="1"/>
  <c r="M39" i="1" s="1"/>
  <c r="E54" i="1"/>
  <c r="E55" i="1" s="1"/>
  <c r="E57" i="1" s="1"/>
  <c r="D60" i="1" s="1"/>
  <c r="O9" i="1"/>
  <c r="O7" i="1"/>
  <c r="L14" i="1" s="1"/>
  <c r="E35" i="1"/>
  <c r="I54" i="1"/>
  <c r="C95" i="1"/>
  <c r="C123" i="1"/>
  <c r="M36" i="1"/>
  <c r="E53" i="1"/>
  <c r="I35" i="1"/>
  <c r="G114" i="1"/>
  <c r="G115" i="1" s="1"/>
  <c r="L42" i="1" l="1"/>
  <c r="M40" i="1"/>
  <c r="H42" i="1"/>
  <c r="I40" i="1"/>
  <c r="H60" i="1"/>
  <c r="I58" i="1"/>
  <c r="N58" i="1"/>
  <c r="L60" i="1"/>
  <c r="G76" i="1"/>
  <c r="H76" i="1" s="1"/>
  <c r="D66" i="1"/>
  <c r="J76" i="1"/>
  <c r="K76" i="1" s="1"/>
  <c r="D48" i="1"/>
  <c r="G73" i="1"/>
  <c r="J73" i="1"/>
  <c r="E76" i="1"/>
  <c r="M8" i="1"/>
  <c r="I76" i="1" l="1"/>
  <c r="O77" i="1" s="1"/>
  <c r="F76" i="1"/>
  <c r="N74" i="1" s="1"/>
  <c r="J78" i="1"/>
  <c r="K78" i="1" s="1"/>
  <c r="L66" i="1"/>
  <c r="G78" i="1"/>
  <c r="H78" i="1" s="1"/>
  <c r="G77" i="1"/>
  <c r="H66" i="1"/>
  <c r="J77" i="1"/>
  <c r="K77" i="1" s="1"/>
  <c r="K73" i="1"/>
  <c r="J81" i="1"/>
  <c r="I73" i="1"/>
  <c r="N77" i="1" s="1"/>
  <c r="F73" i="1"/>
  <c r="O72" i="1" s="1"/>
  <c r="H48" i="1"/>
  <c r="J74" i="1"/>
  <c r="K74" i="1" s="1"/>
  <c r="G74" i="1"/>
  <c r="G81" i="1" s="1"/>
  <c r="H85" i="1" s="1"/>
  <c r="H89" i="1" s="1"/>
  <c r="I89" i="1" s="1"/>
  <c r="H93" i="1" s="1"/>
  <c r="H94" i="1" s="1"/>
  <c r="H73" i="1"/>
  <c r="J75" i="1"/>
  <c r="K75" i="1" s="1"/>
  <c r="L48" i="1"/>
  <c r="G75" i="1"/>
  <c r="H75" i="1" s="1"/>
  <c r="I74" i="1" l="1"/>
  <c r="N78" i="1" s="1"/>
  <c r="F74" i="1"/>
  <c r="T77" i="1"/>
  <c r="I75" i="1"/>
  <c r="N79" i="1" s="1"/>
  <c r="C116" i="1"/>
  <c r="F75" i="1"/>
  <c r="N73" i="1" s="1"/>
  <c r="P77" i="1"/>
  <c r="U77" i="1"/>
  <c r="F77" i="1"/>
  <c r="I77" i="1"/>
  <c r="O78" i="1" s="1"/>
  <c r="I78" i="1"/>
  <c r="O79" i="1" s="1"/>
  <c r="P79" i="1" s="1"/>
  <c r="F78" i="1"/>
  <c r="N75" i="1" s="1"/>
  <c r="O75" i="1" l="1"/>
  <c r="O74" i="1"/>
  <c r="T79" i="1"/>
  <c r="C117" i="1"/>
  <c r="G122" i="1"/>
  <c r="O73" i="1"/>
  <c r="N72" i="1"/>
  <c r="U78" i="1"/>
  <c r="P78" i="1"/>
  <c r="T78" i="1"/>
  <c r="U75" i="1" l="1"/>
  <c r="P75" i="1"/>
  <c r="T72" i="1"/>
  <c r="U72" i="1"/>
  <c r="P72" i="1"/>
  <c r="P73" i="1"/>
  <c r="U73" i="1"/>
  <c r="T75" i="1"/>
  <c r="T73" i="1"/>
  <c r="U74" i="1"/>
  <c r="P74" i="1"/>
  <c r="T74" i="1"/>
  <c r="T83" i="1" l="1"/>
  <c r="H84" i="1" s="1"/>
  <c r="H88" i="1" s="1"/>
  <c r="I88" i="1" s="1"/>
  <c r="I90" i="1" s="1"/>
  <c r="C92" i="1" s="1"/>
  <c r="E93" i="1" s="1"/>
</calcChain>
</file>

<file path=xl/sharedStrings.xml><?xml version="1.0" encoding="utf-8"?>
<sst xmlns="http://schemas.openxmlformats.org/spreadsheetml/2006/main" count="201" uniqueCount="91">
  <si>
    <t>LOSAS NERVURADAS</t>
  </si>
  <si>
    <t>LOSA 1</t>
  </si>
  <si>
    <t>LOSA 2</t>
  </si>
  <si>
    <t>LOSA 3</t>
  </si>
  <si>
    <t>LOSA 7</t>
  </si>
  <si>
    <t>LOSA1</t>
  </si>
  <si>
    <t>LOSA2</t>
  </si>
  <si>
    <t>LOSA 4</t>
  </si>
  <si>
    <t>LOSA 5</t>
  </si>
  <si>
    <t>LOSA 6</t>
  </si>
  <si>
    <t>se tomara el t mayor =</t>
  </si>
  <si>
    <t>LOSA 8</t>
  </si>
  <si>
    <t>DISTRIBUCION DE NERVIOS DE 0.10 M</t>
  </si>
  <si>
    <t>RELLENOS</t>
  </si>
  <si>
    <t>EJE X-X</t>
  </si>
  <si>
    <t>EJE Y-Y</t>
  </si>
  <si>
    <t>10 de 0.60</t>
  </si>
  <si>
    <t>2 de 0.40</t>
  </si>
  <si>
    <t>12 de 0.60</t>
  </si>
  <si>
    <t>7 de  0.60</t>
  </si>
  <si>
    <t>7 de 0.60</t>
  </si>
  <si>
    <t>10 de  0.60</t>
  </si>
  <si>
    <t>6 de 0.60</t>
  </si>
  <si>
    <t>6 de  0.60</t>
  </si>
  <si>
    <t>INTEGRACION DE CARGAS</t>
  </si>
  <si>
    <t>concreto=</t>
  </si>
  <si>
    <t>relleno=</t>
  </si>
  <si>
    <t>s/c=</t>
  </si>
  <si>
    <t>Wlosa de distribucion=</t>
  </si>
  <si>
    <t>W nervios x-x=</t>
  </si>
  <si>
    <t>W nervios y-y=</t>
  </si>
  <si>
    <t>W relleno =</t>
  </si>
  <si>
    <t>W propio =</t>
  </si>
  <si>
    <t>S/C=</t>
  </si>
  <si>
    <t>CM=</t>
  </si>
  <si>
    <t>Carga Muerta Ultima Lineal</t>
  </si>
  <si>
    <t>C.M.U.L.=</t>
  </si>
  <si>
    <t>Carga Viva Lineal</t>
  </si>
  <si>
    <t>C.V.U.L.=</t>
  </si>
  <si>
    <t>Carga Ultima Lineal</t>
  </si>
  <si>
    <t>C.U.L.=</t>
  </si>
  <si>
    <t>CALCULO DE MOMENTOS</t>
  </si>
  <si>
    <t>MOMENTOS PARA X-X</t>
  </si>
  <si>
    <t>MOMENTOS PARA Y-Y</t>
  </si>
  <si>
    <t>BALANCEO DE MOMENTOS</t>
  </si>
  <si>
    <t>CONTINUOS</t>
  </si>
  <si>
    <t>DISCONTINUO</t>
  </si>
  <si>
    <t>D1</t>
  </si>
  <si>
    <t>D2</t>
  </si>
  <si>
    <t>MB1</t>
  </si>
  <si>
    <t>CASO</t>
  </si>
  <si>
    <t>A/B</t>
  </si>
  <si>
    <t>-</t>
  </si>
  <si>
    <t>+</t>
  </si>
  <si>
    <t>EJE X</t>
  </si>
  <si>
    <t>EJE Y</t>
  </si>
  <si>
    <t>PROPUESTA DE ARMADO</t>
  </si>
  <si>
    <t>CALCULO DE TIPO DE FALLA DE LA SECCION</t>
  </si>
  <si>
    <t>MAYOR</t>
  </si>
  <si>
    <t>D varilla #4</t>
  </si>
  <si>
    <t>M(-) mayor=</t>
  </si>
  <si>
    <t>M(+) mayor=</t>
  </si>
  <si>
    <t>CALCULO DE AREA DE ACERO As(-) y As(+) PARA LOS MOMENTOS</t>
  </si>
  <si>
    <t>As(-)</t>
  </si>
  <si>
    <t>PERALTE FECTIVO</t>
  </si>
  <si>
    <t>As(+)</t>
  </si>
  <si>
    <t>CALCULANDO</t>
  </si>
  <si>
    <t>FORMA EN QUE TRABAJA LA SECCION TRANSVERSAL</t>
  </si>
  <si>
    <t>CALCULO DE As min. PARA ARMADO MINIMO DE ACERO NEGATIVO</t>
  </si>
  <si>
    <t xml:space="preserve">CALCULO DE </t>
  </si>
  <si>
    <t>ARMADO MINIMO</t>
  </si>
  <si>
    <t>1 varilla # 4 = 1.267 cm2</t>
  </si>
  <si>
    <t>ARMADO MINIMO DE ACERO POSITIVO</t>
  </si>
  <si>
    <t xml:space="preserve"> </t>
  </si>
  <si>
    <t>1 varilla # 4 =</t>
  </si>
  <si>
    <t>2 varillas # 3 =</t>
  </si>
  <si>
    <t>area total</t>
  </si>
  <si>
    <t>MOMENTO QUE SATISFACE EL ACERO MINIMO</t>
  </si>
  <si>
    <t>PARA MOMENTOS NO SATISFECHOS</t>
  </si>
  <si>
    <t>ACERO POR TEMPERATURA</t>
  </si>
  <si>
    <t>momento negativo minimo</t>
  </si>
  <si>
    <t>As temp =0.002 x (area que se agrietara)</t>
  </si>
  <si>
    <t>momento positivo minimo</t>
  </si>
  <si>
    <t>As temp =0.002 x b x t´</t>
  </si>
  <si>
    <t>b=franja unitaria = 100 cm</t>
  </si>
  <si>
    <t>DISEÑO A CORTE</t>
  </si>
  <si>
    <t>CHEQUEO DE Av COLOCADO Y Av MINIMO</t>
  </si>
  <si>
    <t>SEPARACION TEORICA</t>
  </si>
  <si>
    <t>VERIFICANDO CORTE ULTIMO</t>
  </si>
  <si>
    <t>Vu= Vuc +Vus      Vuc= Vresist.</t>
  </si>
  <si>
    <t>SE PROPONE ESTRIBOS DE VARILLA #2 = 0.317 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</si>
</sst>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164" formatCode="\ &quot;A=&quot;\ 0.0"/>
    <numFmt numFmtId="165" formatCode="\ &quot;B=&quot;\ 0.00"/>
    <numFmt numFmtId="166" formatCode="\ &quot;A/B=&quot;\ 0.00"/>
    <numFmt numFmtId="167" formatCode="\ &quot;t=&quot;\ 0.00"/>
    <numFmt numFmtId="168" formatCode="\ &quot;A=&quot;\ 0.00"/>
    <numFmt numFmtId="169" formatCode="0.00\ &quot;kg/m3&quot;"/>
    <numFmt numFmtId="170" formatCode="&quot;b=&quot;\ 0.0\ &quot;m&quot;"/>
    <numFmt numFmtId="171" formatCode="&quot;t´=&quot;\ 0.00\ &quot;m&quot;"/>
    <numFmt numFmtId="172" formatCode="&quot;B=&quot;\ 0.0\ &quot;m&quot;"/>
    <numFmt numFmtId="173" formatCode="&quot;t-t´=&quot;\ 0.000\ &quot;m&quot;"/>
    <numFmt numFmtId="174" formatCode="0.00\ &quot;kg/m2&quot;"/>
    <numFmt numFmtId="175" formatCode="&quot;t=&quot;\ 0.00\ &quot;m&quot;"/>
    <numFmt numFmtId="176" formatCode="0.00\ &quot;kg/m&quot;"/>
    <numFmt numFmtId="177" formatCode="\ &quot;M1=&quot;\ 0.00\ &quot;kg-m&quot;"/>
    <numFmt numFmtId="178" formatCode="\ &quot;M2=&quot;\ 0.00\ &quot;kg-m&quot;"/>
    <numFmt numFmtId="179" formatCode="0.00\ &quot;kg-m&quot;"/>
    <numFmt numFmtId="180" formatCode="\ 0.00"/>
    <numFmt numFmtId="181" formatCode="0.0000\ &quot;mts&quot;"/>
    <numFmt numFmtId="182" formatCode="&quot;recubrimiento=&quot;\ 0\ &quot;cm&quot;"/>
    <numFmt numFmtId="183" formatCode="&quot;F´c=&quot;\ 0\ &quot;kgs/cm2&quot;"/>
    <numFmt numFmtId="184" formatCode="&quot;Fy=&quot;\ 0\ &quot;kgs/cm2&quot;"/>
    <numFmt numFmtId="185" formatCode="0.00\ &quot;cm2&quot;"/>
    <numFmt numFmtId="186" formatCode="&quot;d=&quot;\ 0.0000\ &quot;cm&quot;"/>
    <numFmt numFmtId="187" formatCode="&quot;ρ mayor=&quot;\ 0.000"/>
    <numFmt numFmtId="188" formatCode="&quot;ρ minimo=&quot;\ 0.0000"/>
    <numFmt numFmtId="189" formatCode="&quot;As(+)=&quot;\ 0.00\ &quot;cm2&quot;"/>
    <numFmt numFmtId="190" formatCode="&quot;ρ balanceado=&quot;\ 0.000"/>
    <numFmt numFmtId="191" formatCode="&quot;a=&quot;\ 0.00\ &quot;cm&quot;"/>
    <numFmt numFmtId="192" formatCode="&quot;ρ maximo=&quot;\ 0.000"/>
    <numFmt numFmtId="193" formatCode="&quot;As balanceado=&quot;\ 0.000\ &quot;cm2&quot;"/>
    <numFmt numFmtId="194" formatCode="&quot;As(-)min =&quot;\ 0.000\ &quot;cm2&quot;"/>
    <numFmt numFmtId="195" formatCode="&quot;As sismico=&quot;\ 0.000\ &quot;cm2&quot;"/>
    <numFmt numFmtId="196" formatCode="&quot;As(-)sismico=&quot;\ 0.000\ &quot;cm2&quot;"/>
    <numFmt numFmtId="197" formatCode="&quot;As max=&quot;\ 0.000\ &quot;cm2&quot;"/>
    <numFmt numFmtId="198" formatCode="&quot;As(+)min=&quot;\ 0.00\ &quot;cm2&quot;"/>
    <numFmt numFmtId="199" formatCode="0.000\ &quot;cm2&quot;"/>
    <numFmt numFmtId="200" formatCode="&quot;As temp=&quot;\ 0\ &quot;cm2&quot;"/>
    <numFmt numFmtId="201" formatCode="&quot;Av min =&quot;\ 0.00\ &quot;cm2&quot;"/>
    <numFmt numFmtId="202" formatCode="&quot;V resistente=&quot;\ 0.00\ &quot;kg/m&quot;"/>
    <numFmt numFmtId="203" formatCode="&quot;S =&quot;\ 0\ &quot;cm&quot;"/>
    <numFmt numFmtId="204" formatCode="&quot;V actuante=&quot;\ 0.00\ &quot;kg/m&quot;"/>
    <numFmt numFmtId="205" formatCode="&quot;Av =&quot;\ 0.000\ &quot;cm2&quot;"/>
    <numFmt numFmtId="206" formatCode="&quot;Vu=&quot;\ 0.00\ &quot;kg&quot;"/>
    <numFmt numFmtId="207" formatCode="&quot;Smax =&quot;\ 0\ &quot;cm&quot;"/>
    <numFmt numFmtId="208" formatCode="&quot;Vs=&quot;\ 0.00\ &quot;kg&quot;"/>
    <numFmt numFmtId="209" formatCode="&quot;E=&quot;\ 0.00\ &quot;kg&quot;"/>
    <numFmt numFmtId="210" formatCode="&quot;F=&quot;\ 0.00\ &quot;kg&quot;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 textRotation="90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4" xfId="0" applyFill="1" applyBorder="1"/>
    <xf numFmtId="164" fontId="0" fillId="0" borderId="4" xfId="0" applyNumberFormat="1" applyBorder="1" applyAlignment="1">
      <alignment horizontal="left" vertical="top"/>
    </xf>
    <xf numFmtId="165" fontId="0" fillId="0" borderId="4" xfId="0" applyNumberFormat="1" applyBorder="1" applyAlignment="1">
      <alignment horizontal="left" vertical="top"/>
    </xf>
    <xf numFmtId="166" fontId="0" fillId="0" borderId="4" xfId="0" applyNumberFormat="1" applyBorder="1" applyAlignment="1">
      <alignment horizontal="left" vertical="top"/>
    </xf>
    <xf numFmtId="0" fontId="5" fillId="4" borderId="4" xfId="0" applyFont="1" applyFill="1" applyBorder="1" applyAlignment="1">
      <alignment horizontal="center"/>
    </xf>
    <xf numFmtId="167" fontId="0" fillId="0" borderId="4" xfId="0" applyNumberFormat="1" applyBorder="1" applyAlignment="1">
      <alignment horizontal="left" vertical="top"/>
    </xf>
    <xf numFmtId="0" fontId="2" fillId="0" borderId="5" xfId="0" applyFont="1" applyBorder="1" applyAlignment="1">
      <alignment horizontal="center" vertical="center" textRotation="90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8" fontId="0" fillId="0" borderId="4" xfId="0" applyNumberFormat="1" applyBorder="1" applyAlignment="1">
      <alignment horizontal="left" vertical="top"/>
    </xf>
    <xf numFmtId="0" fontId="6" fillId="0" borderId="0" xfId="0" applyFont="1" applyAlignment="1">
      <alignment horizontal="left"/>
    </xf>
    <xf numFmtId="0" fontId="0" fillId="0" borderId="4" xfId="0" applyBorder="1"/>
    <xf numFmtId="0" fontId="5" fillId="0" borderId="4" xfId="0" applyFont="1" applyBorder="1" applyAlignment="1">
      <alignment horizontal="center"/>
    </xf>
    <xf numFmtId="167" fontId="0" fillId="0" borderId="0" xfId="0" applyNumberFormat="1" applyAlignment="1">
      <alignment horizontal="left" vertical="top"/>
    </xf>
    <xf numFmtId="0" fontId="2" fillId="0" borderId="8" xfId="0" applyFont="1" applyBorder="1" applyAlignment="1">
      <alignment horizontal="center" vertical="center" textRotation="90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0" borderId="0" xfId="0" applyFont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18" xfId="0" applyFont="1" applyBorder="1"/>
    <xf numFmtId="0" fontId="0" fillId="0" borderId="19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2" fillId="0" borderId="0" xfId="0" applyFont="1" applyAlignment="1">
      <alignment vertical="center" textRotation="90"/>
    </xf>
    <xf numFmtId="0" fontId="8" fillId="0" borderId="2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8" fillId="0" borderId="0" xfId="0" applyFont="1"/>
    <xf numFmtId="0" fontId="2" fillId="0" borderId="0" xfId="0" applyFont="1"/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10" fillId="0" borderId="0" xfId="0" applyFont="1"/>
    <xf numFmtId="0" fontId="11" fillId="5" borderId="11" xfId="0" applyFont="1" applyFill="1" applyBorder="1"/>
    <xf numFmtId="0" fontId="11" fillId="0" borderId="0" xfId="0" applyFont="1"/>
    <xf numFmtId="0" fontId="4" fillId="0" borderId="0" xfId="0" applyFont="1"/>
    <xf numFmtId="0" fontId="1" fillId="0" borderId="0" xfId="0" applyFont="1"/>
    <xf numFmtId="174" fontId="4" fillId="0" borderId="0" xfId="0" applyNumberFormat="1" applyFont="1"/>
    <xf numFmtId="0" fontId="12" fillId="0" borderId="0" xfId="0" applyFont="1"/>
    <xf numFmtId="174" fontId="8" fillId="0" borderId="0" xfId="0" applyNumberFormat="1" applyFont="1"/>
    <xf numFmtId="174" fontId="13" fillId="0" borderId="0" xfId="0" applyNumberFormat="1" applyFont="1"/>
    <xf numFmtId="0" fontId="14" fillId="0" borderId="0" xfId="0" applyFont="1"/>
    <xf numFmtId="0" fontId="2" fillId="5" borderId="4" xfId="0" applyFont="1" applyFill="1" applyBorder="1"/>
    <xf numFmtId="176" fontId="2" fillId="5" borderId="4" xfId="0" applyNumberFormat="1" applyFont="1" applyFill="1" applyBorder="1"/>
    <xf numFmtId="176" fontId="2" fillId="0" borderId="0" xfId="0" applyNumberFormat="1" applyFont="1"/>
    <xf numFmtId="0" fontId="11" fillId="5" borderId="2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6" borderId="4" xfId="0" applyFill="1" applyBorder="1"/>
    <xf numFmtId="0" fontId="0" fillId="0" borderId="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0" fillId="0" borderId="4" xfId="0" applyNumberFormat="1" applyBorder="1"/>
    <xf numFmtId="178" fontId="0" fillId="0" borderId="4" xfId="0" applyNumberFormat="1" applyBorder="1"/>
    <xf numFmtId="2" fontId="0" fillId="0" borderId="4" xfId="0" applyNumberFormat="1" applyBorder="1"/>
    <xf numFmtId="179" fontId="0" fillId="6" borderId="4" xfId="0" applyNumberFormat="1" applyFill="1" applyBorder="1"/>
    <xf numFmtId="179" fontId="0" fillId="0" borderId="4" xfId="0" applyNumberFormat="1" applyBorder="1"/>
    <xf numFmtId="0" fontId="7" fillId="0" borderId="4" xfId="0" applyFont="1" applyBorder="1" applyAlignment="1">
      <alignment horizontal="center" vertical="center"/>
    </xf>
    <xf numFmtId="180" fontId="0" fillId="0" borderId="38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80" fontId="0" fillId="5" borderId="38" xfId="0" applyNumberFormat="1" applyFill="1" applyBorder="1" applyAlignment="1">
      <alignment horizontal="center" vertical="center"/>
    </xf>
    <xf numFmtId="179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4" fillId="0" borderId="0" xfId="0" applyNumberFormat="1" applyFont="1"/>
    <xf numFmtId="0" fontId="0" fillId="0" borderId="36" xfId="0" applyBorder="1"/>
    <xf numFmtId="179" fontId="0" fillId="6" borderId="36" xfId="0" applyNumberFormat="1" applyFill="1" applyBorder="1"/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7" fillId="0" borderId="27" xfId="0" applyFont="1" applyBorder="1"/>
    <xf numFmtId="179" fontId="15" fillId="0" borderId="11" xfId="0" applyNumberFormat="1" applyFont="1" applyBorder="1"/>
    <xf numFmtId="0" fontId="18" fillId="0" borderId="0" xfId="0" applyFont="1" applyAlignment="1">
      <alignment horizontal="center" vertical="center"/>
    </xf>
    <xf numFmtId="181" fontId="18" fillId="0" borderId="0" xfId="0" applyNumberFormat="1" applyFont="1"/>
    <xf numFmtId="182" fontId="18" fillId="0" borderId="0" xfId="0" applyNumberFormat="1" applyFont="1"/>
    <xf numFmtId="170" fontId="18" fillId="0" borderId="0" xfId="0" applyNumberFormat="1" applyFont="1"/>
    <xf numFmtId="171" fontId="18" fillId="0" borderId="0" xfId="0" applyNumberFormat="1" applyFont="1"/>
    <xf numFmtId="183" fontId="18" fillId="0" borderId="0" xfId="0" applyNumberFormat="1" applyFont="1"/>
    <xf numFmtId="172" fontId="18" fillId="0" borderId="0" xfId="0" applyNumberFormat="1" applyFont="1"/>
    <xf numFmtId="173" fontId="18" fillId="0" borderId="0" xfId="0" applyNumberFormat="1" applyFont="1"/>
    <xf numFmtId="184" fontId="18" fillId="0" borderId="0" xfId="0" applyNumberFormat="1" applyFont="1"/>
    <xf numFmtId="175" fontId="18" fillId="0" borderId="0" xfId="0" applyNumberFormat="1" applyFont="1"/>
    <xf numFmtId="0" fontId="18" fillId="0" borderId="0" xfId="0" applyFont="1"/>
    <xf numFmtId="185" fontId="0" fillId="0" borderId="0" xfId="0" applyNumberFormat="1"/>
    <xf numFmtId="186" fontId="15" fillId="5" borderId="11" xfId="0" applyNumberFormat="1" applyFont="1" applyFill="1" applyBorder="1"/>
    <xf numFmtId="185" fontId="15" fillId="5" borderId="11" xfId="0" applyNumberFormat="1" applyFont="1" applyFill="1" applyBorder="1"/>
    <xf numFmtId="0" fontId="19" fillId="0" borderId="0" xfId="0" applyFont="1"/>
    <xf numFmtId="187" fontId="0" fillId="0" borderId="0" xfId="0" applyNumberFormat="1" applyAlignment="1">
      <alignment horizontal="center"/>
    </xf>
    <xf numFmtId="0" fontId="20" fillId="0" borderId="0" xfId="0" applyFont="1"/>
    <xf numFmtId="188" fontId="0" fillId="0" borderId="0" xfId="0" applyNumberFormat="1" applyAlignment="1">
      <alignment horizontal="center"/>
    </xf>
    <xf numFmtId="0" fontId="15" fillId="0" borderId="0" xfId="0" applyFont="1"/>
    <xf numFmtId="189" fontId="0" fillId="0" borderId="0" xfId="0" applyNumberFormat="1" applyAlignment="1">
      <alignment horizontal="center"/>
    </xf>
    <xf numFmtId="190" fontId="0" fillId="0" borderId="0" xfId="0" applyNumberFormat="1" applyAlignment="1">
      <alignment horizontal="center"/>
    </xf>
    <xf numFmtId="191" fontId="0" fillId="0" borderId="0" xfId="0" applyNumberFormat="1" applyAlignment="1">
      <alignment horizontal="center"/>
    </xf>
    <xf numFmtId="192" fontId="0" fillId="0" borderId="0" xfId="0" applyNumberFormat="1" applyAlignment="1">
      <alignment horizontal="center"/>
    </xf>
    <xf numFmtId="187" fontId="0" fillId="0" borderId="0" xfId="0" applyNumberFormat="1"/>
    <xf numFmtId="193" fontId="0" fillId="0" borderId="0" xfId="0" applyNumberFormat="1" applyAlignment="1">
      <alignment horizontal="center"/>
    </xf>
    <xf numFmtId="19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95" fontId="0" fillId="0" borderId="0" xfId="0" applyNumberFormat="1" applyAlignment="1">
      <alignment horizontal="center"/>
    </xf>
    <xf numFmtId="196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197" fontId="0" fillId="0" borderId="0" xfId="0" applyNumberFormat="1" applyAlignment="1">
      <alignment horizontal="center"/>
    </xf>
    <xf numFmtId="198" fontId="0" fillId="0" borderId="0" xfId="0" applyNumberFormat="1" applyAlignment="1">
      <alignment horizontal="center"/>
    </xf>
    <xf numFmtId="198" fontId="7" fillId="0" borderId="0" xfId="0" applyNumberFormat="1" applyFont="1" applyAlignment="1">
      <alignment horizontal="center"/>
    </xf>
    <xf numFmtId="198" fontId="0" fillId="7" borderId="11" xfId="0" applyNumberFormat="1" applyFill="1" applyBorder="1"/>
    <xf numFmtId="199" fontId="0" fillId="7" borderId="11" xfId="0" applyNumberFormat="1" applyFill="1" applyBorder="1"/>
    <xf numFmtId="0" fontId="0" fillId="7" borderId="11" xfId="0" applyFill="1" applyBorder="1"/>
    <xf numFmtId="0" fontId="15" fillId="7" borderId="11" xfId="0" applyFont="1" applyFill="1" applyBorder="1"/>
    <xf numFmtId="199" fontId="15" fillId="7" borderId="11" xfId="0" applyNumberFormat="1" applyFont="1" applyFill="1" applyBorder="1"/>
    <xf numFmtId="0" fontId="7" fillId="5" borderId="44" xfId="0" applyFont="1" applyFill="1" applyBorder="1" applyAlignment="1">
      <alignment horizontal="center" vertical="center"/>
    </xf>
    <xf numFmtId="0" fontId="7" fillId="5" borderId="45" xfId="0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47" xfId="0" applyFont="1" applyFill="1" applyBorder="1" applyAlignment="1">
      <alignment horizontal="center" vertical="center"/>
    </xf>
    <xf numFmtId="0" fontId="7" fillId="5" borderId="48" xfId="0" applyFont="1" applyFill="1" applyBorder="1" applyAlignment="1">
      <alignment horizontal="center" vertical="center"/>
    </xf>
    <xf numFmtId="0" fontId="7" fillId="5" borderId="49" xfId="0" applyFont="1" applyFill="1" applyBorder="1" applyAlignment="1">
      <alignment horizontal="center" vertical="center"/>
    </xf>
    <xf numFmtId="179" fontId="7" fillId="5" borderId="50" xfId="0" applyNumberFormat="1" applyFont="1" applyFill="1" applyBorder="1"/>
    <xf numFmtId="0" fontId="15" fillId="5" borderId="51" xfId="0" applyFont="1" applyFill="1" applyBorder="1" applyAlignment="1">
      <alignment horizontal="center"/>
    </xf>
    <xf numFmtId="0" fontId="15" fillId="5" borderId="52" xfId="0" applyFont="1" applyFill="1" applyBorder="1" applyAlignment="1">
      <alignment horizontal="center"/>
    </xf>
    <xf numFmtId="0" fontId="15" fillId="5" borderId="53" xfId="0" applyFont="1" applyFill="1" applyBorder="1" applyAlignment="1">
      <alignment horizontal="center"/>
    </xf>
    <xf numFmtId="200" fontId="4" fillId="5" borderId="50" xfId="0" applyNumberFormat="1" applyFont="1" applyFill="1" applyBorder="1" applyAlignment="1">
      <alignment horizontal="center"/>
    </xf>
    <xf numFmtId="0" fontId="21" fillId="0" borderId="0" xfId="0" applyFont="1"/>
    <xf numFmtId="201" fontId="7" fillId="0" borderId="0" xfId="0" applyNumberFormat="1" applyFont="1" applyAlignment="1">
      <alignment horizontal="center"/>
    </xf>
    <xf numFmtId="202" fontId="7" fillId="0" borderId="0" xfId="0" applyNumberFormat="1" applyFont="1" applyAlignment="1">
      <alignment horizontal="center"/>
    </xf>
    <xf numFmtId="0" fontId="15" fillId="5" borderId="50" xfId="0" applyFont="1" applyFill="1" applyBorder="1" applyAlignment="1">
      <alignment horizontal="center"/>
    </xf>
    <xf numFmtId="203" fontId="22" fillId="5" borderId="50" xfId="0" applyNumberFormat="1" applyFont="1" applyFill="1" applyBorder="1"/>
    <xf numFmtId="204" fontId="7" fillId="0" borderId="0" xfId="0" applyNumberFormat="1" applyFont="1" applyAlignment="1">
      <alignment horizontal="center"/>
    </xf>
    <xf numFmtId="0" fontId="21" fillId="7" borderId="0" xfId="0" applyFont="1" applyFill="1"/>
    <xf numFmtId="205" fontId="0" fillId="0" borderId="0" xfId="0" applyNumberFormat="1"/>
    <xf numFmtId="206" fontId="18" fillId="0" borderId="0" xfId="0" applyNumberFormat="1" applyFont="1"/>
    <xf numFmtId="207" fontId="23" fillId="7" borderId="11" xfId="0" applyNumberFormat="1" applyFont="1" applyFill="1" applyBorder="1"/>
    <xf numFmtId="208" fontId="18" fillId="0" borderId="0" xfId="0" applyNumberFormat="1" applyFont="1"/>
    <xf numFmtId="0" fontId="15" fillId="5" borderId="11" xfId="0" applyFont="1" applyFill="1" applyBorder="1" applyAlignment="1">
      <alignment horizontal="center"/>
    </xf>
    <xf numFmtId="0" fontId="15" fillId="5" borderId="50" xfId="0" applyFont="1" applyFill="1" applyBorder="1"/>
    <xf numFmtId="0" fontId="0" fillId="5" borderId="50" xfId="0" applyFill="1" applyBorder="1"/>
    <xf numFmtId="209" fontId="18" fillId="0" borderId="0" xfId="0" applyNumberFormat="1" applyFont="1"/>
    <xf numFmtId="210" fontId="1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B85E-5EE1-418C-8C52-F4625E850923}">
  <dimension ref="B2:U124"/>
  <sheetViews>
    <sheetView tabSelected="1" topLeftCell="A94" zoomScale="70" zoomScaleNormal="70" workbookViewId="0">
      <selection activeCell="J85" sqref="J85"/>
    </sheetView>
  </sheetViews>
  <sheetFormatPr baseColWidth="10" defaultRowHeight="14.5" x14ac:dyDescent="0.35"/>
  <cols>
    <col min="1" max="1" width="19" customWidth="1"/>
    <col min="2" max="2" width="6.90625" customWidth="1"/>
    <col min="3" max="3" width="16.36328125" customWidth="1"/>
    <col min="4" max="4" width="13.54296875" customWidth="1"/>
    <col min="5" max="5" width="21.08984375" customWidth="1"/>
    <col min="6" max="6" width="19.36328125" bestFit="1" customWidth="1"/>
    <col min="7" max="7" width="14.54296875" customWidth="1"/>
    <col min="8" max="8" width="15.08984375" customWidth="1"/>
    <col min="9" max="9" width="13" customWidth="1"/>
    <col min="10" max="10" width="13.08984375" customWidth="1"/>
    <col min="11" max="11" width="13.453125" customWidth="1"/>
    <col min="12" max="12" width="12.54296875" customWidth="1"/>
    <col min="13" max="13" width="12.6328125" customWidth="1"/>
    <col min="14" max="15" width="17.08984375" bestFit="1" customWidth="1"/>
    <col min="16" max="16" width="11.54296875" bestFit="1" customWidth="1"/>
    <col min="17" max="17" width="13.54296875" customWidth="1"/>
    <col min="20" max="20" width="13.453125" customWidth="1"/>
    <col min="21" max="21" width="12.54296875" customWidth="1"/>
  </cols>
  <sheetData>
    <row r="2" spans="2:15" ht="31" x14ac:dyDescent="0.7">
      <c r="C2" s="1" t="s">
        <v>0</v>
      </c>
    </row>
    <row r="4" spans="2:15" ht="15" thickBot="1" x14ac:dyDescent="0.4"/>
    <row r="5" spans="2:15" x14ac:dyDescent="0.35">
      <c r="B5" s="2">
        <v>7.5</v>
      </c>
      <c r="C5" s="3" t="s">
        <v>1</v>
      </c>
      <c r="D5" s="4"/>
      <c r="E5" s="5" t="s">
        <v>2</v>
      </c>
      <c r="F5" s="5" t="s">
        <v>3</v>
      </c>
      <c r="G5" s="5" t="s">
        <v>4</v>
      </c>
      <c r="I5" s="6" t="s">
        <v>5</v>
      </c>
      <c r="J5" s="7">
        <f>+C22</f>
        <v>7.5</v>
      </c>
      <c r="K5" s="8">
        <f>+B5</f>
        <v>7.5</v>
      </c>
      <c r="L5" s="9">
        <f>+$J$5/$K$5</f>
        <v>1</v>
      </c>
      <c r="M5" s="10" t="str">
        <f t="shared" ref="M5:M10" si="0">IF(L5&gt;0.5,"DOS SENTIDOS","UN SENTIDO")</f>
        <v>DOS SENTIDOS</v>
      </c>
      <c r="N5" s="10"/>
      <c r="O5" s="11">
        <f>+(2*J5+2*K5)/180</f>
        <v>0.16666666666666666</v>
      </c>
    </row>
    <row r="6" spans="2:15" x14ac:dyDescent="0.35">
      <c r="B6" s="12"/>
      <c r="C6" s="13"/>
      <c r="D6" s="14"/>
      <c r="E6" s="15"/>
      <c r="F6" s="15"/>
      <c r="G6" s="15"/>
      <c r="I6" s="6" t="s">
        <v>6</v>
      </c>
      <c r="J6" s="7">
        <f>+E22</f>
        <v>7.5</v>
      </c>
      <c r="K6" s="8">
        <f>+B5</f>
        <v>7.5</v>
      </c>
      <c r="L6" s="9">
        <f t="shared" ref="L6:L10" si="1">+J6/K6</f>
        <v>1</v>
      </c>
      <c r="M6" s="10" t="str">
        <f t="shared" si="0"/>
        <v>DOS SENTIDOS</v>
      </c>
      <c r="N6" s="10"/>
      <c r="O6" s="11">
        <f t="shared" ref="O6:O10" si="2">+(2*J6+2*K6)/180</f>
        <v>0.16666666666666666</v>
      </c>
    </row>
    <row r="7" spans="2:15" x14ac:dyDescent="0.35">
      <c r="B7" s="12"/>
      <c r="C7" s="13"/>
      <c r="D7" s="14"/>
      <c r="E7" s="15"/>
      <c r="F7" s="15"/>
      <c r="G7" s="15"/>
      <c r="I7" s="6" t="s">
        <v>3</v>
      </c>
      <c r="J7" s="7">
        <f>+F22</f>
        <v>7.5</v>
      </c>
      <c r="K7" s="8">
        <f>+B5</f>
        <v>7.5</v>
      </c>
      <c r="L7" s="9">
        <f t="shared" si="1"/>
        <v>1</v>
      </c>
      <c r="M7" s="10" t="str">
        <f t="shared" si="0"/>
        <v>DOS SENTIDOS</v>
      </c>
      <c r="N7" s="10"/>
      <c r="O7" s="11">
        <f t="shared" si="2"/>
        <v>0.16666666666666666</v>
      </c>
    </row>
    <row r="8" spans="2:15" x14ac:dyDescent="0.35">
      <c r="B8" s="12"/>
      <c r="C8" s="13"/>
      <c r="D8" s="14"/>
      <c r="E8" s="15"/>
      <c r="F8" s="15"/>
      <c r="G8" s="15"/>
      <c r="I8" s="6" t="s">
        <v>7</v>
      </c>
      <c r="J8" s="16">
        <f>+B16</f>
        <v>7.5</v>
      </c>
      <c r="K8" s="8">
        <f>+C22</f>
        <v>7.5</v>
      </c>
      <c r="L8" s="9">
        <f t="shared" si="1"/>
        <v>1</v>
      </c>
      <c r="M8" s="10" t="str">
        <f t="shared" si="0"/>
        <v>DOS SENTIDOS</v>
      </c>
      <c r="N8" s="10"/>
      <c r="O8" s="11">
        <f t="shared" si="2"/>
        <v>0.16666666666666666</v>
      </c>
    </row>
    <row r="9" spans="2:15" x14ac:dyDescent="0.35">
      <c r="B9" s="12"/>
      <c r="C9" s="13"/>
      <c r="D9" s="14"/>
      <c r="E9" s="15"/>
      <c r="F9" s="15"/>
      <c r="G9" s="15"/>
      <c r="I9" s="6" t="s">
        <v>8</v>
      </c>
      <c r="J9" s="16">
        <f>+B16</f>
        <v>7.5</v>
      </c>
      <c r="K9" s="8">
        <f>+E22</f>
        <v>7.5</v>
      </c>
      <c r="L9" s="9">
        <f t="shared" si="1"/>
        <v>1</v>
      </c>
      <c r="M9" s="10" t="str">
        <f t="shared" si="0"/>
        <v>DOS SENTIDOS</v>
      </c>
      <c r="N9" s="10"/>
      <c r="O9" s="11">
        <f t="shared" si="2"/>
        <v>0.16666666666666666</v>
      </c>
    </row>
    <row r="10" spans="2:15" ht="15.5" x14ac:dyDescent="0.35">
      <c r="B10" s="12"/>
      <c r="C10" s="13"/>
      <c r="D10" s="14"/>
      <c r="E10" s="15"/>
      <c r="F10" s="15"/>
      <c r="G10" s="15"/>
      <c r="H10" s="17">
        <v>7.5</v>
      </c>
      <c r="I10" s="6" t="s">
        <v>9</v>
      </c>
      <c r="J10" s="16">
        <f>+B16</f>
        <v>7.5</v>
      </c>
      <c r="K10" s="8">
        <f>+F22</f>
        <v>7.5</v>
      </c>
      <c r="L10" s="9">
        <f t="shared" si="1"/>
        <v>1</v>
      </c>
      <c r="M10" s="10" t="str">
        <f t="shared" si="0"/>
        <v>DOS SENTIDOS</v>
      </c>
      <c r="N10" s="10"/>
      <c r="O10" s="11">
        <f t="shared" si="2"/>
        <v>0.16666666666666666</v>
      </c>
    </row>
    <row r="11" spans="2:15" x14ac:dyDescent="0.35">
      <c r="B11" s="12"/>
      <c r="C11" s="13"/>
      <c r="D11" s="14"/>
      <c r="E11" s="15"/>
      <c r="F11" s="15"/>
      <c r="G11" s="15"/>
      <c r="I11" s="18"/>
      <c r="J11" s="16"/>
      <c r="K11" s="8"/>
      <c r="L11" s="9"/>
      <c r="M11" s="19"/>
      <c r="N11" s="19"/>
      <c r="O11" s="11"/>
    </row>
    <row r="12" spans="2:15" x14ac:dyDescent="0.35">
      <c r="B12" s="12"/>
      <c r="C12" s="13"/>
      <c r="D12" s="14"/>
      <c r="E12" s="15"/>
      <c r="F12" s="15"/>
      <c r="G12" s="15"/>
      <c r="I12" s="18"/>
      <c r="J12" s="16"/>
      <c r="K12" s="8"/>
      <c r="L12" s="9"/>
      <c r="M12" s="19"/>
      <c r="N12" s="19"/>
      <c r="O12" s="11"/>
    </row>
    <row r="13" spans="2:15" x14ac:dyDescent="0.35">
      <c r="B13" s="12"/>
      <c r="C13" s="13"/>
      <c r="D13" s="14"/>
      <c r="E13" s="15"/>
      <c r="F13" s="15"/>
      <c r="G13" s="15"/>
    </row>
    <row r="14" spans="2:15" x14ac:dyDescent="0.35">
      <c r="B14" s="12"/>
      <c r="C14" s="13"/>
      <c r="D14" s="14"/>
      <c r="E14" s="15"/>
      <c r="F14" s="15"/>
      <c r="G14" s="15"/>
      <c r="J14" t="s">
        <v>10</v>
      </c>
      <c r="L14" s="20">
        <f>MAX(O5:O12)</f>
        <v>0.16666666666666666</v>
      </c>
    </row>
    <row r="15" spans="2:15" ht="15" thickBot="1" x14ac:dyDescent="0.4">
      <c r="B15" s="21"/>
      <c r="C15" s="22"/>
      <c r="D15" s="23"/>
      <c r="E15" s="24"/>
      <c r="F15" s="24"/>
      <c r="G15" s="24"/>
    </row>
    <row r="16" spans="2:15" ht="15" thickBot="1" x14ac:dyDescent="0.4">
      <c r="B16" s="2">
        <v>7.5</v>
      </c>
      <c r="C16" s="3" t="s">
        <v>7</v>
      </c>
      <c r="D16" s="4"/>
      <c r="E16" s="5" t="s">
        <v>8</v>
      </c>
      <c r="F16" s="5" t="s">
        <v>9</v>
      </c>
      <c r="G16" s="5" t="s">
        <v>11</v>
      </c>
      <c r="J16" s="25" t="s">
        <v>12</v>
      </c>
    </row>
    <row r="17" spans="2:15" ht="15" thickBot="1" x14ac:dyDescent="0.4">
      <c r="B17" s="12"/>
      <c r="C17" s="13"/>
      <c r="D17" s="14"/>
      <c r="E17" s="15"/>
      <c r="F17" s="15"/>
      <c r="G17" s="15"/>
      <c r="I17" s="26" t="s">
        <v>13</v>
      </c>
      <c r="J17" s="27" t="s">
        <v>14</v>
      </c>
      <c r="K17" s="28"/>
      <c r="L17" s="27" t="s">
        <v>15</v>
      </c>
      <c r="M17" s="28"/>
    </row>
    <row r="18" spans="2:15" ht="15.5" x14ac:dyDescent="0.35">
      <c r="B18" s="12"/>
      <c r="C18" s="13"/>
      <c r="D18" s="14"/>
      <c r="E18" s="15"/>
      <c r="F18" s="15"/>
      <c r="G18" s="15"/>
      <c r="H18" s="17">
        <v>7.5</v>
      </c>
      <c r="I18" s="29" t="s">
        <v>1</v>
      </c>
      <c r="J18" s="30" t="s">
        <v>16</v>
      </c>
      <c r="K18" s="31" t="s">
        <v>17</v>
      </c>
      <c r="L18" s="32" t="s">
        <v>18</v>
      </c>
      <c r="M18" s="31" t="s">
        <v>17</v>
      </c>
    </row>
    <row r="19" spans="2:15" x14ac:dyDescent="0.35">
      <c r="B19" s="12"/>
      <c r="C19" s="13"/>
      <c r="D19" s="14"/>
      <c r="E19" s="15"/>
      <c r="F19" s="15"/>
      <c r="G19" s="15"/>
      <c r="I19" s="33" t="s">
        <v>2</v>
      </c>
      <c r="J19" s="34" t="s">
        <v>19</v>
      </c>
      <c r="K19" s="35" t="s">
        <v>17</v>
      </c>
      <c r="L19" t="s">
        <v>18</v>
      </c>
      <c r="M19" s="35" t="s">
        <v>17</v>
      </c>
    </row>
    <row r="20" spans="2:15" ht="15" customHeight="1" x14ac:dyDescent="0.35">
      <c r="B20" s="12"/>
      <c r="C20" s="13"/>
      <c r="D20" s="14"/>
      <c r="E20" s="15"/>
      <c r="F20" s="15"/>
      <c r="G20" s="15"/>
      <c r="I20" s="33" t="s">
        <v>3</v>
      </c>
      <c r="J20" s="34" t="s">
        <v>20</v>
      </c>
      <c r="K20" s="36" t="s">
        <v>17</v>
      </c>
      <c r="L20" s="37" t="s">
        <v>18</v>
      </c>
      <c r="M20" s="35" t="s">
        <v>17</v>
      </c>
    </row>
    <row r="21" spans="2:15" ht="15" thickBot="1" x14ac:dyDescent="0.4">
      <c r="B21" s="21"/>
      <c r="C21" s="22"/>
      <c r="D21" s="23"/>
      <c r="E21" s="24"/>
      <c r="F21" s="24"/>
      <c r="G21" s="24"/>
      <c r="I21" s="33" t="s">
        <v>7</v>
      </c>
      <c r="J21" s="34" t="s">
        <v>21</v>
      </c>
      <c r="K21" s="36" t="s">
        <v>17</v>
      </c>
      <c r="L21" s="37" t="s">
        <v>22</v>
      </c>
      <c r="M21" s="35" t="s">
        <v>17</v>
      </c>
    </row>
    <row r="22" spans="2:15" ht="15.5" x14ac:dyDescent="0.35">
      <c r="B22" s="38"/>
      <c r="C22" s="39">
        <v>7.5</v>
      </c>
      <c r="D22" s="39"/>
      <c r="E22" s="40">
        <v>7.5</v>
      </c>
      <c r="F22" s="40">
        <v>7.5</v>
      </c>
      <c r="G22" s="41">
        <v>7.5</v>
      </c>
      <c r="I22" s="33" t="s">
        <v>8</v>
      </c>
      <c r="J22" s="34" t="s">
        <v>20</v>
      </c>
      <c r="K22" s="36" t="s">
        <v>17</v>
      </c>
      <c r="L22" s="37" t="s">
        <v>23</v>
      </c>
      <c r="M22" s="35" t="s">
        <v>17</v>
      </c>
    </row>
    <row r="23" spans="2:15" ht="15" thickBot="1" x14ac:dyDescent="0.4">
      <c r="B23" s="38"/>
      <c r="C23" s="42"/>
      <c r="D23" s="42"/>
      <c r="E23" s="42"/>
      <c r="F23" s="42"/>
      <c r="G23" s="42"/>
      <c r="I23" s="43" t="s">
        <v>9</v>
      </c>
      <c r="J23" s="44" t="s">
        <v>19</v>
      </c>
      <c r="K23" s="45" t="s">
        <v>17</v>
      </c>
      <c r="L23" s="46" t="s">
        <v>23</v>
      </c>
      <c r="M23" s="35" t="s">
        <v>17</v>
      </c>
    </row>
    <row r="24" spans="2:15" x14ac:dyDescent="0.35">
      <c r="B24" s="38"/>
      <c r="C24" s="42"/>
      <c r="D24" s="42"/>
      <c r="E24" s="42"/>
      <c r="F24" s="42"/>
      <c r="G24" s="42"/>
      <c r="I24" s="47"/>
    </row>
    <row r="25" spans="2:15" x14ac:dyDescent="0.35">
      <c r="C25" s="48"/>
      <c r="D25" s="48"/>
      <c r="E25" s="48"/>
      <c r="F25" s="48"/>
      <c r="G25" s="48"/>
      <c r="I25" s="47"/>
    </row>
    <row r="26" spans="2:15" ht="15" thickBot="1" x14ac:dyDescent="0.4"/>
    <row r="27" spans="2:15" ht="15" thickBot="1" x14ac:dyDescent="0.4">
      <c r="C27" s="49" t="s">
        <v>24</v>
      </c>
      <c r="D27" s="50"/>
      <c r="E27" s="51"/>
    </row>
    <row r="28" spans="2:15" x14ac:dyDescent="0.35">
      <c r="C28" t="s">
        <v>25</v>
      </c>
      <c r="D28" s="52">
        <v>2400</v>
      </c>
      <c r="F28" s="53">
        <v>0.1</v>
      </c>
      <c r="G28" s="54">
        <v>0.05</v>
      </c>
    </row>
    <row r="29" spans="2:15" x14ac:dyDescent="0.35">
      <c r="C29" t="s">
        <v>26</v>
      </c>
      <c r="D29" s="52">
        <v>1125</v>
      </c>
      <c r="F29" s="55">
        <v>0.7</v>
      </c>
      <c r="G29" s="56">
        <f>+F30-0.05</f>
        <v>0.2</v>
      </c>
    </row>
    <row r="30" spans="2:15" x14ac:dyDescent="0.35">
      <c r="C30" t="s">
        <v>27</v>
      </c>
      <c r="D30" s="57">
        <v>200</v>
      </c>
      <c r="F30" s="58">
        <v>0.25</v>
      </c>
    </row>
    <row r="31" spans="2:15" ht="15" thickBot="1" x14ac:dyDescent="0.4"/>
    <row r="32" spans="2:15" s="59" customFormat="1" ht="21.5" thickBot="1" x14ac:dyDescent="0.55000000000000004">
      <c r="C32" s="60" t="s">
        <v>1</v>
      </c>
      <c r="G32" s="60" t="s">
        <v>2</v>
      </c>
      <c r="K32" s="60" t="s">
        <v>3</v>
      </c>
      <c r="O32" s="61"/>
    </row>
    <row r="33" spans="3:17" x14ac:dyDescent="0.35">
      <c r="C33" t="s">
        <v>28</v>
      </c>
      <c r="E33" s="57">
        <f>+$D$28*$G$28</f>
        <v>120</v>
      </c>
      <c r="G33" t="s">
        <v>28</v>
      </c>
      <c r="I33" s="57">
        <f>+$D$28*$G$28</f>
        <v>120</v>
      </c>
      <c r="K33" t="s">
        <v>28</v>
      </c>
      <c r="M33" s="57">
        <f>+$D$28*$G$28</f>
        <v>120</v>
      </c>
      <c r="Q33" s="57"/>
    </row>
    <row r="34" spans="3:17" x14ac:dyDescent="0.35">
      <c r="C34" t="s">
        <v>29</v>
      </c>
      <c r="E34" s="57">
        <f>($D$28*$F$28*C22*$G$29*15)/(B5*C22)</f>
        <v>96</v>
      </c>
      <c r="G34" t="s">
        <v>29</v>
      </c>
      <c r="I34" s="57">
        <f>($D$28*$F$28*E22*$G$29*9)/(B5*E22)</f>
        <v>57.6</v>
      </c>
      <c r="K34" t="s">
        <v>29</v>
      </c>
      <c r="M34" s="57">
        <f>($D$28*$F$28*E22*$G$29*15)/(B5*E22)</f>
        <v>96</v>
      </c>
      <c r="Q34" s="57"/>
    </row>
    <row r="35" spans="3:17" x14ac:dyDescent="0.35">
      <c r="C35" t="s">
        <v>30</v>
      </c>
      <c r="E35" s="57">
        <f>($D$28*$F$28*$G$29*7*(B5-15*$F$28))/(B5*C22)</f>
        <v>35.840000000000003</v>
      </c>
      <c r="G35" t="s">
        <v>30</v>
      </c>
      <c r="I35" s="57">
        <f>($D$28*$F$28*$G$29*7*(B5-9*$F$28))/(B5*E22)</f>
        <v>39.423999999999999</v>
      </c>
      <c r="K35" t="s">
        <v>30</v>
      </c>
      <c r="M35" s="57">
        <f>($D$28*$F$28*$G$29*7*(B5-15*$F$28))/(B5*E22)</f>
        <v>35.840000000000003</v>
      </c>
      <c r="Q35" s="57"/>
    </row>
    <row r="36" spans="3:17" x14ac:dyDescent="0.35">
      <c r="C36" t="s">
        <v>31</v>
      </c>
      <c r="E36" s="57">
        <f>((C22-7*$F$28)*(B5-15*$F$28)*$G$29*$D$29)/(B5*C22)</f>
        <v>163.19999999999999</v>
      </c>
      <c r="G36" t="s">
        <v>31</v>
      </c>
      <c r="I36" s="57">
        <f>((E22-7*$F$28)*(B5-9*$F$28)*$G$29*$D$29)/(B5*E22)</f>
        <v>179.51999999999998</v>
      </c>
      <c r="K36" t="s">
        <v>31</v>
      </c>
      <c r="M36" s="57">
        <f>((E22-7*$F$28)*(B5-15*$F$28)*$G$29*$D$29)/(B5*E22)</f>
        <v>163.19999999999999</v>
      </c>
      <c r="Q36" s="57"/>
    </row>
    <row r="37" spans="3:17" x14ac:dyDescent="0.35">
      <c r="C37" s="62" t="s">
        <v>32</v>
      </c>
      <c r="D37" s="63"/>
      <c r="E37" s="64">
        <f>SUM(E33:E36)</f>
        <v>415.03999999999996</v>
      </c>
      <c r="G37" s="62" t="s">
        <v>32</v>
      </c>
      <c r="H37" s="63"/>
      <c r="I37" s="64">
        <f>SUM(I33:I36)</f>
        <v>396.54399999999998</v>
      </c>
      <c r="K37" s="62" t="s">
        <v>32</v>
      </c>
      <c r="L37" s="63"/>
      <c r="M37" s="64">
        <f>SUM(M33:M36)</f>
        <v>415.03999999999996</v>
      </c>
      <c r="O37" s="62"/>
      <c r="P37" s="63"/>
      <c r="Q37" s="64"/>
    </row>
    <row r="38" spans="3:17" x14ac:dyDescent="0.35">
      <c r="C38" s="47" t="s">
        <v>33</v>
      </c>
      <c r="D38" s="65"/>
      <c r="E38" s="66">
        <f>+$D$30</f>
        <v>200</v>
      </c>
      <c r="G38" s="47" t="s">
        <v>33</v>
      </c>
      <c r="H38" s="65"/>
      <c r="I38" s="66">
        <f>+$D$30</f>
        <v>200</v>
      </c>
      <c r="K38" s="47" t="s">
        <v>33</v>
      </c>
      <c r="L38" s="65"/>
      <c r="M38" s="66">
        <f>+$D$30</f>
        <v>200</v>
      </c>
      <c r="O38" s="47"/>
      <c r="P38" s="65"/>
      <c r="Q38" s="66"/>
    </row>
    <row r="39" spans="3:17" x14ac:dyDescent="0.35">
      <c r="C39" s="47" t="s">
        <v>34</v>
      </c>
      <c r="D39" s="65"/>
      <c r="E39" s="66">
        <f>+E37+E38</f>
        <v>615.04</v>
      </c>
      <c r="G39" s="47" t="s">
        <v>34</v>
      </c>
      <c r="H39" s="65"/>
      <c r="I39" s="66">
        <f>+I37+I38</f>
        <v>596.54399999999998</v>
      </c>
      <c r="K39" s="47" t="s">
        <v>34</v>
      </c>
      <c r="L39" s="65"/>
      <c r="M39" s="66">
        <f>+M37+M38</f>
        <v>615.04</v>
      </c>
      <c r="O39" s="47"/>
      <c r="P39" s="65"/>
      <c r="Q39" s="66"/>
    </row>
    <row r="40" spans="3:17" x14ac:dyDescent="0.35">
      <c r="I40" s="67">
        <f>SUM(I38:I39)</f>
        <v>796.54399999999998</v>
      </c>
      <c r="M40" s="57">
        <f>+M39+200</f>
        <v>815.04</v>
      </c>
    </row>
    <row r="41" spans="3:17" x14ac:dyDescent="0.35">
      <c r="C41" s="68" t="s">
        <v>35</v>
      </c>
      <c r="G41" s="68" t="s">
        <v>35</v>
      </c>
      <c r="K41" s="68" t="s">
        <v>35</v>
      </c>
      <c r="O41" s="68"/>
    </row>
    <row r="42" spans="3:17" x14ac:dyDescent="0.35">
      <c r="C42" s="69" t="s">
        <v>36</v>
      </c>
      <c r="D42" s="70">
        <f>1.4*E39*$F$29</f>
        <v>602.73919999999987</v>
      </c>
      <c r="G42" s="69" t="s">
        <v>36</v>
      </c>
      <c r="H42" s="70">
        <f>1.4*I39*$F$29</f>
        <v>584.61311999999987</v>
      </c>
      <c r="K42" s="69" t="s">
        <v>36</v>
      </c>
      <c r="L42" s="70">
        <f>1.4*M39*$F$29</f>
        <v>602.73919999999987</v>
      </c>
      <c r="O42" s="48"/>
      <c r="P42" s="71"/>
    </row>
    <row r="44" spans="3:17" x14ac:dyDescent="0.35">
      <c r="C44" s="68" t="s">
        <v>37</v>
      </c>
      <c r="G44" s="68" t="s">
        <v>37</v>
      </c>
      <c r="K44" s="68" t="s">
        <v>37</v>
      </c>
      <c r="O44" s="68"/>
    </row>
    <row r="45" spans="3:17" x14ac:dyDescent="0.35">
      <c r="C45" s="69" t="s">
        <v>38</v>
      </c>
      <c r="D45" s="70">
        <f>1.7*200*$F$29</f>
        <v>237.99999999999997</v>
      </c>
      <c r="G45" s="69" t="s">
        <v>38</v>
      </c>
      <c r="H45" s="70">
        <f>1.7*200*$F$29</f>
        <v>237.99999999999997</v>
      </c>
      <c r="K45" s="69" t="s">
        <v>38</v>
      </c>
      <c r="L45" s="70">
        <f>1.7*200*$F$29</f>
        <v>237.99999999999997</v>
      </c>
      <c r="O45" s="48"/>
      <c r="P45" s="71"/>
    </row>
    <row r="47" spans="3:17" x14ac:dyDescent="0.35">
      <c r="C47" s="68" t="s">
        <v>39</v>
      </c>
      <c r="G47" s="68" t="s">
        <v>39</v>
      </c>
      <c r="K47" s="68" t="s">
        <v>39</v>
      </c>
      <c r="O47" s="68"/>
    </row>
    <row r="48" spans="3:17" x14ac:dyDescent="0.35">
      <c r="C48" s="69" t="s">
        <v>40</v>
      </c>
      <c r="D48" s="70">
        <f>+D42+D45</f>
        <v>840.73919999999987</v>
      </c>
      <c r="G48" s="69" t="s">
        <v>40</v>
      </c>
      <c r="H48" s="70">
        <f>+H42+H45</f>
        <v>822.61311999999987</v>
      </c>
      <c r="K48" s="69" t="s">
        <v>40</v>
      </c>
      <c r="L48" s="70">
        <f>+L42+L45</f>
        <v>840.73919999999987</v>
      </c>
      <c r="O48" s="48"/>
      <c r="P48" s="71"/>
    </row>
    <row r="49" spans="3:17" ht="15" thickBot="1" x14ac:dyDescent="0.4"/>
    <row r="50" spans="3:17" s="59" customFormat="1" ht="21.5" thickBot="1" x14ac:dyDescent="0.55000000000000004">
      <c r="C50" s="60" t="s">
        <v>7</v>
      </c>
      <c r="G50" s="60" t="s">
        <v>8</v>
      </c>
      <c r="K50" s="60" t="s">
        <v>9</v>
      </c>
      <c r="O50" s="61"/>
    </row>
    <row r="51" spans="3:17" x14ac:dyDescent="0.35">
      <c r="C51" t="s">
        <v>28</v>
      </c>
      <c r="E51" s="57">
        <f>+$D$28*$G$28</f>
        <v>120</v>
      </c>
      <c r="G51" t="s">
        <v>28</v>
      </c>
      <c r="I51" s="57">
        <f>+$D$28*$G$28</f>
        <v>120</v>
      </c>
      <c r="K51" t="s">
        <v>28</v>
      </c>
      <c r="M51" s="57">
        <f>+$D$28*$G$28</f>
        <v>120</v>
      </c>
      <c r="Q51" s="57"/>
    </row>
    <row r="52" spans="3:17" x14ac:dyDescent="0.35">
      <c r="C52" t="s">
        <v>29</v>
      </c>
      <c r="E52" s="57">
        <f>($D$28*$F$28*C22*$G$29*15)/(B16*C22)</f>
        <v>96</v>
      </c>
      <c r="G52" t="s">
        <v>29</v>
      </c>
      <c r="I52" s="57">
        <f>($D$28*$F$28*E22*$G$29*9)/(B16*E22)</f>
        <v>57.6</v>
      </c>
      <c r="K52" t="s">
        <v>29</v>
      </c>
      <c r="M52" s="57">
        <f>($D$28*$F$28*F22*$G$29*15)/(B16*F22)</f>
        <v>96</v>
      </c>
      <c r="Q52" s="57"/>
    </row>
    <row r="53" spans="3:17" x14ac:dyDescent="0.35">
      <c r="C53" t="s">
        <v>30</v>
      </c>
      <c r="E53" s="57">
        <f>($D$28*$F$28*$G$29*8*(B16-15*$F$28))/(B16*C22)</f>
        <v>40.96</v>
      </c>
      <c r="G53" t="s">
        <v>30</v>
      </c>
      <c r="I53" s="57">
        <f>($D$28*$F$28*$G$29*8*(B16-9*$F$28))/(B16*E22)</f>
        <v>45.05599999999999</v>
      </c>
      <c r="K53" t="s">
        <v>30</v>
      </c>
      <c r="M53" s="57">
        <f>($D$28*$F$28*$G$29*8*(B16-15*$F$28))/(B16*F22)</f>
        <v>40.96</v>
      </c>
      <c r="Q53" s="57"/>
    </row>
    <row r="54" spans="3:17" x14ac:dyDescent="0.35">
      <c r="C54" t="s">
        <v>31</v>
      </c>
      <c r="E54" s="57">
        <f>((C22-8*$F$28)*(B16-15*$F$28)*$G$29*$D$29)/(B16*C22)</f>
        <v>160.80000000000004</v>
      </c>
      <c r="G54" t="s">
        <v>31</v>
      </c>
      <c r="I54" s="57">
        <f>((E22-8*$F$28)*(B16-9*$F$28)*$G$29*$D$29)/(B16*E22)</f>
        <v>176.88</v>
      </c>
      <c r="K54" t="s">
        <v>31</v>
      </c>
      <c r="M54" s="57">
        <f>((F22-8*$F$28)*(B16-15*$F$28)*$G$29*$D$29)/(B16*F22)</f>
        <v>160.80000000000004</v>
      </c>
      <c r="Q54" s="57"/>
    </row>
    <row r="55" spans="3:17" x14ac:dyDescent="0.35">
      <c r="C55" s="62" t="s">
        <v>32</v>
      </c>
      <c r="D55" s="63"/>
      <c r="E55" s="64">
        <f>SUM(E51:E54)</f>
        <v>417.76</v>
      </c>
      <c r="G55" s="62" t="s">
        <v>32</v>
      </c>
      <c r="H55" s="63"/>
      <c r="I55" s="64">
        <f>SUM(I51:I54)</f>
        <v>399.53599999999994</v>
      </c>
      <c r="K55" s="62" t="s">
        <v>32</v>
      </c>
      <c r="L55" s="63"/>
      <c r="M55" s="64">
        <f>SUM(M51:M54)</f>
        <v>417.76</v>
      </c>
      <c r="O55" s="62"/>
      <c r="P55" s="63"/>
      <c r="Q55" s="64"/>
    </row>
    <row r="56" spans="3:17" x14ac:dyDescent="0.35">
      <c r="C56" s="47" t="s">
        <v>33</v>
      </c>
      <c r="D56" s="65"/>
      <c r="E56" s="66">
        <f>+$D$30</f>
        <v>200</v>
      </c>
      <c r="G56" s="47" t="s">
        <v>33</v>
      </c>
      <c r="H56" s="65"/>
      <c r="I56" s="66">
        <f>+$D$30</f>
        <v>200</v>
      </c>
      <c r="K56" s="47" t="s">
        <v>33</v>
      </c>
      <c r="L56" s="65"/>
      <c r="M56" s="66">
        <f>+$D$30</f>
        <v>200</v>
      </c>
      <c r="O56" s="47"/>
      <c r="P56" s="65"/>
      <c r="Q56" s="66"/>
    </row>
    <row r="57" spans="3:17" x14ac:dyDescent="0.35">
      <c r="C57" s="47" t="s">
        <v>34</v>
      </c>
      <c r="D57" s="65"/>
      <c r="E57" s="66">
        <f>+E55+E56</f>
        <v>617.76</v>
      </c>
      <c r="G57" s="47" t="s">
        <v>34</v>
      </c>
      <c r="H57" s="65"/>
      <c r="I57" s="66">
        <f>+I55+I56</f>
        <v>599.53599999999994</v>
      </c>
      <c r="K57" s="47" t="s">
        <v>34</v>
      </c>
      <c r="L57" s="65"/>
      <c r="M57" s="66">
        <f>+M55+M56</f>
        <v>617.76</v>
      </c>
      <c r="O57" s="47"/>
      <c r="P57" s="65"/>
      <c r="Q57" s="66"/>
    </row>
    <row r="58" spans="3:17" x14ac:dyDescent="0.35">
      <c r="I58" s="67">
        <f>SUM(I56:I57)</f>
        <v>799.53599999999994</v>
      </c>
      <c r="N58" s="57">
        <f>+M57+200</f>
        <v>817.76</v>
      </c>
    </row>
    <row r="59" spans="3:17" x14ac:dyDescent="0.35">
      <c r="C59" s="68" t="s">
        <v>35</v>
      </c>
      <c r="G59" s="68" t="s">
        <v>35</v>
      </c>
      <c r="K59" s="68" t="s">
        <v>35</v>
      </c>
      <c r="O59" s="68"/>
    </row>
    <row r="60" spans="3:17" x14ac:dyDescent="0.35">
      <c r="C60" s="69" t="s">
        <v>36</v>
      </c>
      <c r="D60" s="70">
        <f>1.4*E57*$F$29</f>
        <v>605.40479999999991</v>
      </c>
      <c r="G60" s="69" t="s">
        <v>36</v>
      </c>
      <c r="H60" s="70">
        <f>1.4*I57*$F$29</f>
        <v>587.54527999999993</v>
      </c>
      <c r="K60" s="69" t="s">
        <v>36</v>
      </c>
      <c r="L60" s="70">
        <f>1.4*M57*$F$29</f>
        <v>605.40479999999991</v>
      </c>
      <c r="O60" s="48"/>
      <c r="P60" s="71"/>
    </row>
    <row r="62" spans="3:17" x14ac:dyDescent="0.35">
      <c r="C62" s="68" t="s">
        <v>37</v>
      </c>
      <c r="G62" s="68" t="s">
        <v>37</v>
      </c>
      <c r="K62" s="68" t="s">
        <v>37</v>
      </c>
      <c r="O62" s="68"/>
    </row>
    <row r="63" spans="3:17" x14ac:dyDescent="0.35">
      <c r="C63" s="69" t="s">
        <v>38</v>
      </c>
      <c r="D63" s="70">
        <f>1.7*200*$F$29</f>
        <v>237.99999999999997</v>
      </c>
      <c r="G63" s="69" t="s">
        <v>38</v>
      </c>
      <c r="H63" s="70">
        <f>1.7*200*$F$29</f>
        <v>237.99999999999997</v>
      </c>
      <c r="K63" s="69" t="s">
        <v>38</v>
      </c>
      <c r="L63" s="70">
        <f>1.7*200*$F$29</f>
        <v>237.99999999999997</v>
      </c>
      <c r="O63" s="48"/>
      <c r="P63" s="71"/>
    </row>
    <row r="65" spans="3:21" x14ac:dyDescent="0.35">
      <c r="C65" s="68" t="s">
        <v>39</v>
      </c>
      <c r="G65" s="68" t="s">
        <v>39</v>
      </c>
      <c r="K65" s="68" t="s">
        <v>39</v>
      </c>
      <c r="O65" s="68"/>
    </row>
    <row r="66" spans="3:21" x14ac:dyDescent="0.35">
      <c r="C66" s="69" t="s">
        <v>40</v>
      </c>
      <c r="D66" s="70">
        <f>+D60+D63</f>
        <v>843.40479999999991</v>
      </c>
      <c r="G66" s="69" t="s">
        <v>40</v>
      </c>
      <c r="H66" s="70">
        <f>+H60+H63</f>
        <v>825.54527999999993</v>
      </c>
      <c r="K66" s="69" t="s">
        <v>40</v>
      </c>
      <c r="L66" s="70">
        <f>+L60+L63</f>
        <v>843.40479999999991</v>
      </c>
      <c r="O66" s="48"/>
      <c r="P66" s="71"/>
    </row>
    <row r="68" spans="3:21" ht="15" thickBot="1" x14ac:dyDescent="0.4"/>
    <row r="69" spans="3:21" ht="21.5" thickBot="1" x14ac:dyDescent="0.55000000000000004">
      <c r="C69" s="72" t="s">
        <v>41</v>
      </c>
      <c r="D69" s="73"/>
      <c r="E69" s="73"/>
      <c r="F69" s="73"/>
      <c r="G69" s="74"/>
    </row>
    <row r="70" spans="3:21" x14ac:dyDescent="0.35">
      <c r="C70" s="75"/>
      <c r="D70" s="76"/>
      <c r="E70" s="76"/>
      <c r="F70" s="77" t="s">
        <v>42</v>
      </c>
      <c r="G70" s="78"/>
      <c r="H70" s="79"/>
      <c r="I70" s="77" t="s">
        <v>43</v>
      </c>
      <c r="J70" s="78"/>
      <c r="K70" s="79"/>
      <c r="N70" s="62" t="s">
        <v>44</v>
      </c>
    </row>
    <row r="71" spans="3:21" ht="15" thickBot="1" x14ac:dyDescent="0.4">
      <c r="C71" s="80"/>
      <c r="D71" s="81"/>
      <c r="E71" s="81"/>
      <c r="F71" s="82" t="s">
        <v>45</v>
      </c>
      <c r="G71" s="83"/>
      <c r="H71" s="84" t="s">
        <v>46</v>
      </c>
      <c r="I71" s="82" t="s">
        <v>45</v>
      </c>
      <c r="J71" s="83"/>
      <c r="K71" s="84" t="s">
        <v>46</v>
      </c>
      <c r="N71" s="48"/>
      <c r="R71" s="85" t="s">
        <v>47</v>
      </c>
      <c r="S71" s="85" t="s">
        <v>48</v>
      </c>
      <c r="T71" s="85" t="s">
        <v>49</v>
      </c>
      <c r="U71" s="85" t="s">
        <v>49</v>
      </c>
    </row>
    <row r="72" spans="3:21" ht="15" thickBot="1" x14ac:dyDescent="0.4">
      <c r="C72" s="86"/>
      <c r="D72" s="86" t="s">
        <v>50</v>
      </c>
      <c r="E72" s="87" t="s">
        <v>51</v>
      </c>
      <c r="F72" s="88" t="s">
        <v>52</v>
      </c>
      <c r="G72" s="89" t="s">
        <v>53</v>
      </c>
      <c r="H72" s="90" t="s">
        <v>52</v>
      </c>
      <c r="I72" s="88" t="s">
        <v>52</v>
      </c>
      <c r="J72" s="89" t="s">
        <v>53</v>
      </c>
      <c r="K72" s="90" t="s">
        <v>52</v>
      </c>
      <c r="M72" s="18" t="s">
        <v>54</v>
      </c>
      <c r="N72" s="91">
        <f>+F74</f>
        <v>3840.5750039999998</v>
      </c>
      <c r="O72" s="92">
        <f>+F73</f>
        <v>2837.4947999999995</v>
      </c>
      <c r="P72" s="10" t="str">
        <f>IF(O72&gt;0.8*N72,"PROM. ARITMETICO","PROPORCIONAL RIGIDEZ")</f>
        <v>PROPORCIONAL RIGIDEZ</v>
      </c>
      <c r="Q72" s="10"/>
      <c r="R72" s="93">
        <f>+((1/C22)/(1/C22 +1/E22))</f>
        <v>0.5</v>
      </c>
      <c r="S72" s="93">
        <f>+((1/E22)/(1/E22 +1/C22))</f>
        <v>0.5</v>
      </c>
      <c r="T72" s="94">
        <f>+N72-(R72*(N72-O72))</f>
        <v>3339.0349019999994</v>
      </c>
      <c r="U72" s="95">
        <f>+O72+(S72*(N72-O72))</f>
        <v>3339.0349019999994</v>
      </c>
    </row>
    <row r="73" spans="3:21" x14ac:dyDescent="0.35">
      <c r="C73" s="96" t="s">
        <v>1</v>
      </c>
      <c r="D73" s="86">
        <v>4</v>
      </c>
      <c r="E73" s="97">
        <f>+L5</f>
        <v>1</v>
      </c>
      <c r="F73" s="98">
        <f>0.06*D48*C22*C22</f>
        <v>2837.4947999999995</v>
      </c>
      <c r="G73" s="99">
        <f>+(C22*C22)*(0.033*D42+0.039*D45)</f>
        <v>1640.9471399999995</v>
      </c>
      <c r="H73" s="100">
        <f>+G73/3</f>
        <v>546.98237999999981</v>
      </c>
      <c r="I73" s="98">
        <f>0.04*D48*B5*B5</f>
        <v>1891.6631999999995</v>
      </c>
      <c r="J73" s="99">
        <f>+(B5*B5)*(0.022*D42+0.026*D45)</f>
        <v>1093.9647599999998</v>
      </c>
      <c r="K73" s="100">
        <f>+J73/3</f>
        <v>364.65491999999995</v>
      </c>
      <c r="N73" s="91">
        <f>+F75</f>
        <v>3830.6179799999991</v>
      </c>
      <c r="O73" s="92">
        <f>+F74</f>
        <v>3840.5750039999998</v>
      </c>
      <c r="P73" s="10" t="str">
        <f>IF(O73&gt;0.8*N73,"PROM. ARITMETICO","PROPORCIONAL RIGIDEZ")</f>
        <v>PROM. ARITMETICO</v>
      </c>
      <c r="Q73" s="10"/>
      <c r="R73" s="93">
        <f>+((1/E22)/(1/E22 +1/F22))</f>
        <v>0.5</v>
      </c>
      <c r="S73" s="93">
        <f>+((1/F22)/(1/F22 +1/E22))</f>
        <v>0.5</v>
      </c>
      <c r="T73" s="94">
        <f>+(N73+O73)/2</f>
        <v>3835.5964919999997</v>
      </c>
      <c r="U73" s="95">
        <f t="shared" ref="U73:U75" si="3">+O73+(S73*(N73-O73))</f>
        <v>3835.5964919999997</v>
      </c>
    </row>
    <row r="74" spans="3:21" x14ac:dyDescent="0.35">
      <c r="C74" s="96" t="s">
        <v>2</v>
      </c>
      <c r="D74" s="86">
        <v>9</v>
      </c>
      <c r="E74" s="97">
        <f t="shared" ref="E74:E78" si="4">+L6</f>
        <v>1</v>
      </c>
      <c r="F74" s="101">
        <f>0.083*H48*E22*E22</f>
        <v>3840.5750039999998</v>
      </c>
      <c r="G74" s="102">
        <f>+(E22*E22)*(0.034*H42+0.054*H45)</f>
        <v>1840.9975919999997</v>
      </c>
      <c r="H74" s="103">
        <v>0</v>
      </c>
      <c r="I74" s="101">
        <f>0.008*H48*B5*B5</f>
        <v>370.17590399999995</v>
      </c>
      <c r="J74" s="102">
        <f>+(B5*B5)*(0.005*H42+0.009*H45)</f>
        <v>284.90993999999995</v>
      </c>
      <c r="K74" s="100">
        <f t="shared" ref="K74:K78" si="5">+J74/3</f>
        <v>94.969979999999978</v>
      </c>
      <c r="N74" s="91">
        <f>+F76</f>
        <v>521.85672</v>
      </c>
      <c r="O74" s="92">
        <f>+F77</f>
        <v>1903.913802</v>
      </c>
      <c r="P74" s="10" t="str">
        <f>IF(O74&gt;0.8*N74,"PROM. ARITMETICO","PROPORCIONAL RIGIDEZ")</f>
        <v>PROM. ARITMETICO</v>
      </c>
      <c r="Q74" s="10"/>
      <c r="R74" s="93">
        <f>+((1/C22)/(1/C22 +1/E22))</f>
        <v>0.5</v>
      </c>
      <c r="S74" s="93">
        <f>+((1/E22)/(1/E22 +1/C22))</f>
        <v>0.5</v>
      </c>
      <c r="T74" s="94">
        <f t="shared" ref="T74:T75" si="6">+N74-(R74*(N74-O74))</f>
        <v>1212.8852609999999</v>
      </c>
      <c r="U74" s="95">
        <f t="shared" si="3"/>
        <v>1212.8852609999999</v>
      </c>
    </row>
    <row r="75" spans="3:21" x14ac:dyDescent="0.35">
      <c r="C75" s="96" t="s">
        <v>3</v>
      </c>
      <c r="D75" s="86">
        <v>4</v>
      </c>
      <c r="E75" s="104">
        <f t="shared" si="4"/>
        <v>1</v>
      </c>
      <c r="F75" s="101">
        <f>0.081*L48*F22*F22</f>
        <v>3830.6179799999991</v>
      </c>
      <c r="G75" s="102">
        <f>+(F22*F22)*(0.046*L42+0.057*L45)</f>
        <v>2322.6751799999997</v>
      </c>
      <c r="H75" s="103">
        <f t="shared" ref="H75:H78" si="7">+G75/3</f>
        <v>774.22505999999987</v>
      </c>
      <c r="I75" s="101">
        <f>0.019*L48*B5*B5</f>
        <v>898.54001999999991</v>
      </c>
      <c r="J75" s="102">
        <f>+(B5*B5)*(0.011*L42+0.014*L45)</f>
        <v>560.36987999999985</v>
      </c>
      <c r="K75" s="100">
        <f t="shared" si="5"/>
        <v>186.78995999999995</v>
      </c>
      <c r="N75" s="91">
        <f>+F78</f>
        <v>1375.8040799999999</v>
      </c>
      <c r="O75" s="92">
        <f>+F77</f>
        <v>1903.913802</v>
      </c>
      <c r="P75" s="10" t="str">
        <f>IF(O75&gt;0.8*N75,"PROM. ARITMETICO","PROPORCIONAL RIGIDEZ")</f>
        <v>PROM. ARITMETICO</v>
      </c>
      <c r="Q75" s="10"/>
      <c r="R75" s="93">
        <f>+((1/E22)/(1/E22 +1/F22))</f>
        <v>0.5</v>
      </c>
      <c r="S75" s="93">
        <f>+((1/F22)/(1/F22 +1/E22))</f>
        <v>0.5</v>
      </c>
      <c r="T75" s="94">
        <f t="shared" si="6"/>
        <v>1639.858941</v>
      </c>
      <c r="U75" s="95">
        <f t="shared" si="3"/>
        <v>1639.858941</v>
      </c>
    </row>
    <row r="76" spans="3:21" x14ac:dyDescent="0.35">
      <c r="C76" s="96" t="s">
        <v>7</v>
      </c>
      <c r="D76" s="86">
        <v>4</v>
      </c>
      <c r="E76" s="97">
        <f t="shared" si="4"/>
        <v>1</v>
      </c>
      <c r="F76" s="101">
        <f>0.011*D66*C22*C22</f>
        <v>521.85672</v>
      </c>
      <c r="G76" s="102">
        <f>+(C22*C22)*(0.007*D60+0.009*D63)</f>
        <v>358.86563999999993</v>
      </c>
      <c r="H76" s="103">
        <f t="shared" si="7"/>
        <v>119.62187999999998</v>
      </c>
      <c r="I76" s="101">
        <f>0.089*D66*B16*B16</f>
        <v>4222.2952799999994</v>
      </c>
      <c r="J76" s="102">
        <f>+(B16*B16)*(0.053*D60+0.067*D63)</f>
        <v>2701.8255599999993</v>
      </c>
      <c r="K76" s="100">
        <f t="shared" si="5"/>
        <v>900.60851999999977</v>
      </c>
      <c r="R76" s="93"/>
      <c r="S76" s="93"/>
      <c r="T76" s="105"/>
    </row>
    <row r="77" spans="3:21" x14ac:dyDescent="0.35">
      <c r="C77" s="96" t="s">
        <v>8</v>
      </c>
      <c r="D77" s="86">
        <v>8</v>
      </c>
      <c r="E77" s="97">
        <f t="shared" si="4"/>
        <v>1</v>
      </c>
      <c r="F77" s="101">
        <f>0.041*H66*E22*E22</f>
        <v>1903.913802</v>
      </c>
      <c r="G77" s="102">
        <f>+(E22*E22)*(0.015*H60+0.019*H63)</f>
        <v>750.1038299999999</v>
      </c>
      <c r="H77" s="103">
        <v>0</v>
      </c>
      <c r="I77" s="101">
        <f>0.055*H66*B16*B16</f>
        <v>2554.03071</v>
      </c>
      <c r="J77" s="102">
        <f>+(B16*B16)*(0.032*H60+0.044*H63)</f>
        <v>1646.6315039999997</v>
      </c>
      <c r="K77" s="100">
        <f t="shared" si="5"/>
        <v>548.87716799999987</v>
      </c>
      <c r="M77" s="18" t="s">
        <v>55</v>
      </c>
      <c r="N77" s="91">
        <f>+I73</f>
        <v>1891.6631999999995</v>
      </c>
      <c r="O77" s="92">
        <f>+I76</f>
        <v>4222.2952799999994</v>
      </c>
      <c r="P77" s="10" t="str">
        <f>IF(O77&gt;0.8*N77,"PROM. ARITMETICO","PROPORCIONAL RIGIDEZ")</f>
        <v>PROM. ARITMETICO</v>
      </c>
      <c r="Q77" s="10"/>
      <c r="R77" s="93">
        <f>+((1/B5)/(1/B5 +1/B16))</f>
        <v>0.5</v>
      </c>
      <c r="S77" s="93">
        <f>+((1/B16)/(1/B5 +1/B16))</f>
        <v>0.5</v>
      </c>
      <c r="T77" s="94">
        <f>+N77-(R77*(N77-O77))</f>
        <v>3056.9792399999997</v>
      </c>
      <c r="U77" s="95">
        <f>+O77+(S77*(N77-O77))</f>
        <v>3056.9792399999997</v>
      </c>
    </row>
    <row r="78" spans="3:21" x14ac:dyDescent="0.35">
      <c r="C78" s="96" t="s">
        <v>9</v>
      </c>
      <c r="D78" s="86">
        <v>4</v>
      </c>
      <c r="E78" s="97">
        <f t="shared" si="4"/>
        <v>1</v>
      </c>
      <c r="F78" s="101">
        <f>0.029*L66*F22*F22</f>
        <v>1375.8040799999999</v>
      </c>
      <c r="G78" s="102">
        <f>+(F22*F22)*(0.013*L60+0.016*L63)</f>
        <v>656.90225999999984</v>
      </c>
      <c r="H78" s="103">
        <f t="shared" si="7"/>
        <v>218.96741999999995</v>
      </c>
      <c r="I78" s="101">
        <f>0.076*L66*B16*B16</f>
        <v>3605.5555199999999</v>
      </c>
      <c r="J78" s="102">
        <f>+(B16*B16)*(0.043*L60+0.052*L63)</f>
        <v>2160.4728599999994</v>
      </c>
      <c r="K78" s="100">
        <f t="shared" si="5"/>
        <v>720.15761999999984</v>
      </c>
      <c r="N78" s="91">
        <f>+I74</f>
        <v>370.17590399999995</v>
      </c>
      <c r="O78" s="92">
        <f>+I77</f>
        <v>2554.03071</v>
      </c>
      <c r="P78" s="10" t="str">
        <f>IF(O78&gt;0.8*N78,"PROM. ARITMETICO","PROPORCIONAL RIGIDEZ")</f>
        <v>PROM. ARITMETICO</v>
      </c>
      <c r="Q78" s="10"/>
      <c r="R78" s="93">
        <f>+((1/B5)/(1/B5 +1/B16))</f>
        <v>0.5</v>
      </c>
      <c r="S78" s="93">
        <f>+((1/B16)/(1/B16 +1/B5))</f>
        <v>0.5</v>
      </c>
      <c r="T78" s="94">
        <f>+N78-(R78*(N78-O78))</f>
        <v>1462.1033070000001</v>
      </c>
      <c r="U78" s="95">
        <f>+O78+(S78*(N78-O78))</f>
        <v>1462.1033069999999</v>
      </c>
    </row>
    <row r="79" spans="3:21" x14ac:dyDescent="0.35">
      <c r="C79" s="96"/>
      <c r="D79" s="86"/>
      <c r="E79" s="104"/>
      <c r="F79" s="106"/>
      <c r="G79" s="107"/>
      <c r="H79" s="103"/>
      <c r="I79" s="108"/>
      <c r="J79" s="109"/>
      <c r="K79" s="103"/>
      <c r="N79" s="91">
        <f>+I75</f>
        <v>898.54001999999991</v>
      </c>
      <c r="O79" s="92">
        <f>+I78</f>
        <v>3605.5555199999999</v>
      </c>
      <c r="P79" s="10" t="str">
        <f>IF(O79&gt;0.8*N79,"PROM. ARITMETICO","PROPORCIONAL RIGIDEZ")</f>
        <v>PROM. ARITMETICO</v>
      </c>
      <c r="Q79" s="10"/>
      <c r="R79" s="93">
        <f>+((1/B5)/(1/B5 +1/B16))</f>
        <v>0.5</v>
      </c>
      <c r="S79" s="93">
        <f>+((1/B16)/(1/B16 +1/B5))</f>
        <v>0.5</v>
      </c>
      <c r="T79" s="94">
        <f>+N79-(R79*(N79-O79))</f>
        <v>2252.0477700000001</v>
      </c>
      <c r="U79" s="18"/>
    </row>
    <row r="80" spans="3:21" ht="15" thickBot="1" x14ac:dyDescent="0.4">
      <c r="C80" s="96"/>
      <c r="D80" s="86"/>
      <c r="E80" s="97"/>
      <c r="F80" s="110"/>
      <c r="G80" s="111"/>
      <c r="H80" s="112"/>
      <c r="I80" s="110"/>
      <c r="J80" s="111"/>
      <c r="K80" s="112"/>
      <c r="N80" s="91"/>
      <c r="O80" s="92"/>
      <c r="P80" s="10"/>
      <c r="Q80" s="10"/>
      <c r="R80" s="18"/>
      <c r="S80" s="18"/>
      <c r="T80" s="94"/>
      <c r="U80" s="18"/>
    </row>
    <row r="81" spans="2:21" x14ac:dyDescent="0.35">
      <c r="G81" s="113">
        <f>+MAX(G73:G80)</f>
        <v>2322.6751799999997</v>
      </c>
      <c r="J81" s="113">
        <f>+MAX(J73:J80)</f>
        <v>2701.8255599999993</v>
      </c>
      <c r="N81" s="91"/>
      <c r="O81" s="92"/>
      <c r="P81" s="10"/>
      <c r="Q81" s="10"/>
      <c r="R81" s="18"/>
      <c r="S81" s="18"/>
      <c r="T81" s="94"/>
      <c r="U81" s="18"/>
    </row>
    <row r="82" spans="2:21" ht="15" thickBot="1" x14ac:dyDescent="0.4">
      <c r="N82" s="91"/>
      <c r="O82" s="92"/>
      <c r="P82" s="10"/>
      <c r="Q82" s="10"/>
      <c r="R82" s="18"/>
      <c r="S82" s="114"/>
      <c r="T82" s="115"/>
      <c r="U82" s="18"/>
    </row>
    <row r="83" spans="2:21" ht="24" thickBot="1" x14ac:dyDescent="0.6">
      <c r="B83" s="116"/>
      <c r="C83" s="117" t="s">
        <v>56</v>
      </c>
      <c r="G83" s="25" t="s">
        <v>57</v>
      </c>
      <c r="S83" s="118" t="s">
        <v>58</v>
      </c>
      <c r="T83" s="119">
        <f>+MAX(T72:T82)</f>
        <v>3835.5964919999997</v>
      </c>
    </row>
    <row r="84" spans="2:21" x14ac:dyDescent="0.35">
      <c r="C84" s="120" t="s">
        <v>59</v>
      </c>
      <c r="D84" s="121">
        <v>1.2699999999999999E-2</v>
      </c>
      <c r="E84" s="122">
        <v>2</v>
      </c>
      <c r="G84" t="s">
        <v>60</v>
      </c>
      <c r="H84" s="105">
        <f>+T83</f>
        <v>3835.5964919999997</v>
      </c>
    </row>
    <row r="85" spans="2:21" x14ac:dyDescent="0.35">
      <c r="C85" s="123">
        <f>+F28</f>
        <v>0.1</v>
      </c>
      <c r="D85" s="124">
        <f>+G28</f>
        <v>0.05</v>
      </c>
      <c r="E85" s="125">
        <v>280</v>
      </c>
      <c r="G85" t="s">
        <v>61</v>
      </c>
      <c r="H85" s="105">
        <f>MAX(G81,J81)</f>
        <v>2701.8255599999993</v>
      </c>
    </row>
    <row r="86" spans="2:21" x14ac:dyDescent="0.35">
      <c r="C86" s="126">
        <f>+F29</f>
        <v>0.7</v>
      </c>
      <c r="D86" s="127">
        <f>+C87-0.05</f>
        <v>0.2</v>
      </c>
      <c r="E86" s="128">
        <v>4210</v>
      </c>
    </row>
    <row r="87" spans="2:21" x14ac:dyDescent="0.35">
      <c r="C87" s="129">
        <f>+F30</f>
        <v>0.25</v>
      </c>
      <c r="D87" s="130"/>
      <c r="E87" s="130"/>
      <c r="G87" s="25" t="s">
        <v>62</v>
      </c>
    </row>
    <row r="88" spans="2:21" ht="15" thickBot="1" x14ac:dyDescent="0.4">
      <c r="G88" t="s">
        <v>63</v>
      </c>
      <c r="H88" s="105">
        <f>+H84</f>
        <v>3835.5964919999997</v>
      </c>
      <c r="I88" s="131">
        <f>0.85*(E85/E86)*((C85*100*D89*100)-SQRT((C85*100*D89*100)*(C85*100*D89*100)-((H88*C85*100)/(0.003825*E85))))</f>
        <v>5.9053774889715056</v>
      </c>
    </row>
    <row r="89" spans="2:21" ht="15" thickBot="1" x14ac:dyDescent="0.4">
      <c r="B89" s="25" t="s">
        <v>64</v>
      </c>
      <c r="D89" s="132">
        <f>+C87-E84/100-(D84/2)</f>
        <v>0.22365000000000002</v>
      </c>
      <c r="G89" t="s">
        <v>65</v>
      </c>
      <c r="H89" s="105">
        <f>+H85</f>
        <v>2701.8255599999993</v>
      </c>
      <c r="I89" s="131">
        <f>0.85*(E85/E86)*((C86*100*D89*100)-SQRT((C86*100*D89*100)*(C86*100*D89*100)-((H89*C86*100)/(0.003825*E85))))</f>
        <v>3.2479305343375549</v>
      </c>
    </row>
    <row r="90" spans="2:21" ht="15" thickBot="1" x14ac:dyDescent="0.4">
      <c r="I90" s="133">
        <f>+MAX(I88:I89)</f>
        <v>5.9053774889715056</v>
      </c>
    </row>
    <row r="91" spans="2:21" x14ac:dyDescent="0.35">
      <c r="C91" s="25" t="s">
        <v>66</v>
      </c>
      <c r="G91" s="134"/>
    </row>
    <row r="92" spans="2:21" x14ac:dyDescent="0.35">
      <c r="C92" s="135">
        <f>+I90/(C85*100*D89*100)</f>
        <v>2.640454947002685E-2</v>
      </c>
      <c r="D92" s="135"/>
      <c r="G92" s="136" t="s">
        <v>67</v>
      </c>
    </row>
    <row r="93" spans="2:21" x14ac:dyDescent="0.35">
      <c r="C93" s="137">
        <f>14.1/E86</f>
        <v>3.3491686460807601E-3</v>
      </c>
      <c r="D93" s="137"/>
      <c r="E93" s="138" t="str">
        <f>+IF(C92&lt;C94,"DISEÑAR SIMPLEMENTE REFORZADA", "FALLA NO ES DUCTIL")</f>
        <v>DISEÑAR SIMPLEMENTE REFORZADA</v>
      </c>
      <c r="H93" s="139">
        <f>+I89</f>
        <v>3.2479305343375549</v>
      </c>
      <c r="I93" s="139"/>
    </row>
    <row r="94" spans="2:21" x14ac:dyDescent="0.35">
      <c r="C94" s="140">
        <f>0.85*0.85*(E85/E86)*(6300/(6300+E86))</f>
        <v>2.8803921612941864E-2</v>
      </c>
      <c r="D94" s="140"/>
      <c r="H94" s="141">
        <f>+(H93*E86)/(0.85*E85*C86*100)</f>
        <v>0.82075555519574461</v>
      </c>
      <c r="I94" s="141"/>
    </row>
    <row r="95" spans="2:21" x14ac:dyDescent="0.35">
      <c r="C95" s="142">
        <f>0.75*C94</f>
        <v>2.1602941209706399E-2</v>
      </c>
      <c r="D95" s="142"/>
    </row>
    <row r="96" spans="2:21" x14ac:dyDescent="0.35">
      <c r="C96" s="143"/>
      <c r="D96" s="143"/>
    </row>
    <row r="97" spans="2:13" x14ac:dyDescent="0.35">
      <c r="B97" s="25" t="s">
        <v>68</v>
      </c>
      <c r="G97" s="25" t="s">
        <v>69</v>
      </c>
    </row>
    <row r="98" spans="2:13" x14ac:dyDescent="0.35">
      <c r="G98" s="144">
        <f>+C94*C86*100*D89*100</f>
        <v>45.093979481141133</v>
      </c>
      <c r="H98" s="144"/>
    </row>
    <row r="99" spans="2:13" x14ac:dyDescent="0.35">
      <c r="C99" s="145">
        <f>+C93*C85*100*D89*100</f>
        <v>0.7490415676959622</v>
      </c>
      <c r="D99" s="145"/>
      <c r="E99" s="146" t="s">
        <v>70</v>
      </c>
      <c r="F99" s="146"/>
      <c r="G99" s="147">
        <f>0.5*C94*C86*100*D89*100</f>
        <v>22.546989740570567</v>
      </c>
      <c r="H99" s="147"/>
    </row>
    <row r="100" spans="2:13" x14ac:dyDescent="0.35">
      <c r="C100" s="148">
        <f>0.5*C94*C85*100*D89*100</f>
        <v>3.2209985343672245</v>
      </c>
      <c r="D100" s="148"/>
      <c r="E100" s="149" t="s">
        <v>71</v>
      </c>
      <c r="F100" s="149"/>
      <c r="G100" s="150">
        <f>0.75*C94*C86*100*D89*100</f>
        <v>33.82048461085585</v>
      </c>
      <c r="H100" s="150"/>
    </row>
    <row r="101" spans="2:13" x14ac:dyDescent="0.35">
      <c r="G101" s="151">
        <f>0.4*(14.1/E86)*C86*100*D89*100</f>
        <v>2.0973163895486939</v>
      </c>
      <c r="H101" s="151"/>
    </row>
    <row r="103" spans="2:13" ht="15" thickBot="1" x14ac:dyDescent="0.4">
      <c r="B103" s="25" t="s">
        <v>72</v>
      </c>
    </row>
    <row r="104" spans="2:13" ht="15" thickBot="1" x14ac:dyDescent="0.4">
      <c r="B104" s="152">
        <f>+G101</f>
        <v>2.0973163895486939</v>
      </c>
      <c r="C104" s="146"/>
      <c r="D104" t="s">
        <v>73</v>
      </c>
      <c r="E104" s="153" t="s">
        <v>74</v>
      </c>
      <c r="F104" s="154">
        <v>1.2669999999999999</v>
      </c>
    </row>
    <row r="105" spans="2:13" ht="15" thickBot="1" x14ac:dyDescent="0.4">
      <c r="E105" s="155" t="s">
        <v>75</v>
      </c>
      <c r="F105" s="154">
        <v>1.4259999999999999</v>
      </c>
    </row>
    <row r="106" spans="2:13" ht="15" thickBot="1" x14ac:dyDescent="0.4">
      <c r="E106" s="156" t="s">
        <v>76</v>
      </c>
      <c r="F106" s="157">
        <f>SUM(F104:F105)</f>
        <v>2.6929999999999996</v>
      </c>
    </row>
    <row r="107" spans="2:13" ht="15" thickBot="1" x14ac:dyDescent="0.4"/>
    <row r="108" spans="2:13" ht="15.5" thickTop="1" thickBot="1" x14ac:dyDescent="0.4">
      <c r="B108" s="25" t="s">
        <v>77</v>
      </c>
      <c r="G108" s="158" t="s">
        <v>78</v>
      </c>
      <c r="H108" s="159"/>
      <c r="I108" s="160"/>
      <c r="K108" s="161" t="s">
        <v>79</v>
      </c>
      <c r="L108" s="161"/>
      <c r="M108" s="161"/>
    </row>
    <row r="109" spans="2:13" ht="15" thickBot="1" x14ac:dyDescent="0.4">
      <c r="G109" s="162"/>
      <c r="H109" s="163"/>
      <c r="I109" s="164"/>
      <c r="K109" s="161"/>
      <c r="L109" s="161"/>
      <c r="M109" s="161"/>
    </row>
    <row r="110" spans="2:13" ht="15.5" thickTop="1" thickBot="1" x14ac:dyDescent="0.4">
      <c r="C110" s="25" t="s">
        <v>80</v>
      </c>
      <c r="E110" s="165">
        <f>0.9*1.27*E86*((D89*100)-((1.27*E86)/(1.7*E85*C85*100)))/100</f>
        <v>1022.1590792457985</v>
      </c>
      <c r="G110" s="166" t="str">
        <f>+E100</f>
        <v>1 varilla # 4 = 1.267 cm2</v>
      </c>
      <c r="H110" s="167"/>
      <c r="I110" s="168"/>
      <c r="K110" t="s">
        <v>81</v>
      </c>
    </row>
    <row r="111" spans="2:13" ht="15.5" thickTop="1" thickBot="1" x14ac:dyDescent="0.4">
      <c r="C111" s="25" t="s">
        <v>82</v>
      </c>
      <c r="E111" s="165">
        <f>0.9*F106*E86*((D89*100)-((F106*E86)/(1.7*E85*C86*100)))/100</f>
        <v>2247.3551498642828</v>
      </c>
      <c r="K111" t="s">
        <v>83</v>
      </c>
      <c r="M111" t="s">
        <v>84</v>
      </c>
    </row>
    <row r="112" spans="2:13" ht="15.5" thickTop="1" thickBot="1" x14ac:dyDescent="0.4">
      <c r="K112" s="169">
        <f>0.002*100*D85*100</f>
        <v>1.0000000000000002</v>
      </c>
      <c r="L112" s="169"/>
    </row>
    <row r="113" spans="2:11" ht="15" thickTop="1" x14ac:dyDescent="0.35">
      <c r="B113" s="25" t="s">
        <v>85</v>
      </c>
      <c r="G113" s="170" t="s">
        <v>86</v>
      </c>
      <c r="H113" s="25"/>
      <c r="I113" s="25"/>
    </row>
    <row r="114" spans="2:11" ht="15" thickBot="1" x14ac:dyDescent="0.4">
      <c r="G114" s="171">
        <f>3.5*C85*100*C121/E86</f>
        <v>0.20783847980997625</v>
      </c>
      <c r="H114" s="171"/>
      <c r="I114" s="25"/>
      <c r="K114" s="25" t="s">
        <v>87</v>
      </c>
    </row>
    <row r="115" spans="2:11" ht="16.5" thickTop="1" thickBot="1" x14ac:dyDescent="0.4">
      <c r="C115" s="172">
        <f>0.53*0.85*SQRT(E85)*C85*100*D89*100</f>
        <v>1685.942324558458</v>
      </c>
      <c r="D115" s="172"/>
      <c r="G115" s="173" t="str">
        <f>+IF(C120&gt;G114,"OK", "NO")</f>
        <v>OK</v>
      </c>
      <c r="H115" s="173"/>
      <c r="I115" s="173"/>
      <c r="K115" s="174">
        <f>0.317*100</f>
        <v>31.7</v>
      </c>
    </row>
    <row r="116" spans="2:11" ht="15.5" thickTop="1" thickBot="1" x14ac:dyDescent="0.4">
      <c r="C116" s="175">
        <f>+L48*(B5/2)</f>
        <v>3152.7719999999995</v>
      </c>
      <c r="D116" s="175"/>
    </row>
    <row r="117" spans="2:11" ht="15.5" thickTop="1" thickBot="1" x14ac:dyDescent="0.4">
      <c r="C117" s="173" t="str">
        <f>+IF(C116&lt;C115/2, "NO SE REQUIERE REFUERZO A CORTE", "SI SE REQUIERE REFUERZO A CORTE")</f>
        <v>SI SE REQUIERE REFUERZO A CORTE</v>
      </c>
      <c r="D117" s="173"/>
      <c r="E117" s="173"/>
      <c r="G117" s="170" t="s">
        <v>88</v>
      </c>
      <c r="H117" s="170"/>
    </row>
    <row r="118" spans="2:11" ht="15" thickTop="1" x14ac:dyDescent="0.35">
      <c r="G118" s="25" t="s">
        <v>89</v>
      </c>
      <c r="H118" s="25"/>
    </row>
    <row r="119" spans="2:11" x14ac:dyDescent="0.35">
      <c r="B119" s="176" t="s">
        <v>90</v>
      </c>
      <c r="C119" s="176"/>
      <c r="D119" s="176"/>
      <c r="E119" s="176"/>
    </row>
    <row r="120" spans="2:11" ht="15" thickBot="1" x14ac:dyDescent="0.4">
      <c r="C120" s="177">
        <f>2*0.317</f>
        <v>0.63400000000000001</v>
      </c>
      <c r="G120" s="178">
        <f>+C115+C122</f>
        <v>3834.9737041584581</v>
      </c>
    </row>
    <row r="121" spans="2:11" ht="15" thickBot="1" x14ac:dyDescent="0.4">
      <c r="C121" s="179">
        <v>25</v>
      </c>
    </row>
    <row r="122" spans="2:11" ht="15.5" thickTop="1" thickBot="1" x14ac:dyDescent="0.4">
      <c r="C122" s="180">
        <f>0.9*C120*E86*D89*100/C121</f>
        <v>2149.0313796</v>
      </c>
      <c r="D122" s="181" t="str">
        <f>+IF(C122&lt;C123,"SE TIENE UNA BUENA SEPARACION"," NO SE TIENE UNA BUENA SEPARACION")</f>
        <v>SE TIENE UNA BUENA SEPARACION</v>
      </c>
      <c r="E122" s="181"/>
      <c r="G122" s="182" t="str">
        <f>+IF(G120&gt;C116, "SE COLOCAN ESTRIBOS #2 @ 0.25 m", "REVISAR")</f>
        <v>SE COLOCAN ESTRIBOS #2 @ 0.25 m</v>
      </c>
      <c r="H122" s="183"/>
      <c r="I122" s="183"/>
    </row>
    <row r="123" spans="2:11" ht="15" thickBot="1" x14ac:dyDescent="0.4">
      <c r="C123" s="184">
        <f>1.1*SQRT(E85)*C85*100*D89*100</f>
        <v>4116.6183285556126</v>
      </c>
      <c r="D123" s="181" t="str">
        <f>+IF(C122&lt;C124,"SE TIENE UNA BUENA SEPARACION"," NO SE TIENE UNA BUENA SEPARACION")</f>
        <v>SE TIENE UNA BUENA SEPARACION</v>
      </c>
      <c r="E123" s="181"/>
    </row>
    <row r="124" spans="2:11" x14ac:dyDescent="0.35">
      <c r="C124" s="185">
        <f>2.1*SQRT(E85)*C85*100*D89*100</f>
        <v>7858.998627242534</v>
      </c>
    </row>
  </sheetData>
  <mergeCells count="64">
    <mergeCell ref="C116:D116"/>
    <mergeCell ref="C117:E117"/>
    <mergeCell ref="D122:E122"/>
    <mergeCell ref="D123:E123"/>
    <mergeCell ref="K108:M109"/>
    <mergeCell ref="G110:I110"/>
    <mergeCell ref="K112:L112"/>
    <mergeCell ref="G114:H114"/>
    <mergeCell ref="C115:D115"/>
    <mergeCell ref="G115:I115"/>
    <mergeCell ref="C100:D100"/>
    <mergeCell ref="E100:F100"/>
    <mergeCell ref="G100:H100"/>
    <mergeCell ref="G101:H101"/>
    <mergeCell ref="B104:C104"/>
    <mergeCell ref="G108:I109"/>
    <mergeCell ref="C94:D94"/>
    <mergeCell ref="H94:I94"/>
    <mergeCell ref="C95:D95"/>
    <mergeCell ref="G98:H98"/>
    <mergeCell ref="C99:D99"/>
    <mergeCell ref="E99:F99"/>
    <mergeCell ref="G99:H99"/>
    <mergeCell ref="P79:Q79"/>
    <mergeCell ref="P80:Q80"/>
    <mergeCell ref="P81:Q81"/>
    <mergeCell ref="P82:Q82"/>
    <mergeCell ref="C92:D92"/>
    <mergeCell ref="C93:D93"/>
    <mergeCell ref="H93:I93"/>
    <mergeCell ref="P72:Q72"/>
    <mergeCell ref="P73:Q73"/>
    <mergeCell ref="P74:Q74"/>
    <mergeCell ref="P75:Q75"/>
    <mergeCell ref="P77:Q77"/>
    <mergeCell ref="P78:Q78"/>
    <mergeCell ref="C22:D22"/>
    <mergeCell ref="C27:E27"/>
    <mergeCell ref="C69:G69"/>
    <mergeCell ref="C70:E71"/>
    <mergeCell ref="F70:H70"/>
    <mergeCell ref="I70:K70"/>
    <mergeCell ref="F71:G71"/>
    <mergeCell ref="I71:J71"/>
    <mergeCell ref="M10:N10"/>
    <mergeCell ref="M11:N11"/>
    <mergeCell ref="M12:N12"/>
    <mergeCell ref="B16:B21"/>
    <mergeCell ref="C16:D21"/>
    <mergeCell ref="E16:E21"/>
    <mergeCell ref="F16:F21"/>
    <mergeCell ref="G16:G21"/>
    <mergeCell ref="J17:K17"/>
    <mergeCell ref="L17:M17"/>
    <mergeCell ref="B5:B15"/>
    <mergeCell ref="C5:D15"/>
    <mergeCell ref="E5:E15"/>
    <mergeCell ref="F5:F15"/>
    <mergeCell ref="G5:G15"/>
    <mergeCell ref="M5:N5"/>
    <mergeCell ref="M6:N6"/>
    <mergeCell ref="M7:N7"/>
    <mergeCell ref="M8:N8"/>
    <mergeCell ref="M9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2024-12-30T07:11:08Z</dcterms:created>
  <dcterms:modified xsi:type="dcterms:W3CDTF">2024-12-30T07:11:46Z</dcterms:modified>
</cp:coreProperties>
</file>