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L. Conducción" sheetId="2" r:id="rId5"/>
    <sheet state="visible" name="L. Distribución" sheetId="3" r:id="rId6"/>
  </sheets>
  <definedNames/>
  <calcPr/>
</workbook>
</file>

<file path=xl/sharedStrings.xml><?xml version="1.0" encoding="utf-8"?>
<sst xmlns="http://schemas.openxmlformats.org/spreadsheetml/2006/main" count="224" uniqueCount="137">
  <si>
    <t>Datos Para la Linea de Conducción</t>
  </si>
  <si>
    <t>Criterios de Diseño</t>
  </si>
  <si>
    <t>Conexiones Intradomiciliares</t>
  </si>
  <si>
    <t>Dotación</t>
  </si>
  <si>
    <t>k (Coeficiente)</t>
  </si>
  <si>
    <t>Densidad de vivienda</t>
  </si>
  <si>
    <t>Periodo de diseño</t>
  </si>
  <si>
    <t>Tasa de crecimiento geométrico</t>
  </si>
  <si>
    <t>Factor de crecimiento</t>
  </si>
  <si>
    <t>Longitud de Tuberia Central</t>
  </si>
  <si>
    <t>Método para Llevar el Agua al Tanque</t>
  </si>
  <si>
    <t>Gravedad</t>
  </si>
  <si>
    <t>Porcentaje para el Tanque</t>
  </si>
  <si>
    <t>Máximo</t>
  </si>
  <si>
    <t xml:space="preserve"> </t>
  </si>
  <si>
    <t>Tipo de Bomba</t>
  </si>
  <si>
    <t>Motor Eléctrico</t>
  </si>
  <si>
    <t>Puntos de Consumo</t>
  </si>
  <si>
    <t>Tipo</t>
  </si>
  <si>
    <t>P.C.</t>
  </si>
  <si>
    <t>Cota</t>
  </si>
  <si>
    <t>P.C. Ant.</t>
  </si>
  <si>
    <t>Viviendas</t>
  </si>
  <si>
    <t>F</t>
  </si>
  <si>
    <t>No Borrar ni insertar una fila por Encima de esta</t>
  </si>
  <si>
    <t>S</t>
  </si>
  <si>
    <t>No Borrar ni insertar una fila por Debajo de esta</t>
  </si>
  <si>
    <t>Primer Tramo</t>
  </si>
  <si>
    <t>Segundo Tramo</t>
  </si>
  <si>
    <t>Tercer Tramo</t>
  </si>
  <si>
    <t>Datos de Diseño</t>
  </si>
  <si>
    <t>Resumen del Tramo</t>
  </si>
  <si>
    <t>Q</t>
  </si>
  <si>
    <t>Posicón</t>
  </si>
  <si>
    <t>Q=</t>
  </si>
  <si>
    <t>Cota T1</t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</si>
  <si>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</si>
  <si>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</si>
  <si>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</si>
  <si>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t>P. Salida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</si>
  <si>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</si>
  <si>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</si>
  <si>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</si>
  <si>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t>Cota 1</t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</si>
  <si>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</si>
  <si>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</si>
  <si>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</si>
  <si>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t>Cota T2</t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</si>
  <si>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</si>
  <si>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</si>
  <si>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</si>
  <si>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t>P. Entrada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</si>
  <si>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</si>
  <si>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</si>
  <si>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</si>
  <si>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t>Cota 2</t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</si>
  <si>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</si>
  <si>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</si>
  <si>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</si>
  <si>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t>L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</si>
  <si>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</si>
  <si>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</si>
  <si>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</si>
  <si>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t>C</t>
  </si>
  <si>
    <r>
      <rPr>
        <rFont val="Trebuchet MS"/>
        <color theme="1"/>
        <sz val="11.0"/>
      </rPr>
      <t>H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</si>
  <si>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</si>
  <si>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</t>
    </r>
    <r>
      <rPr>
        <rFont val="Trebuchet MS"/>
        <color theme="1"/>
        <sz val="11.0"/>
        <vertAlign val="subscript"/>
      </rPr>
      <t>F</t>
    </r>
    <r>
      <rPr>
        <rFont val="Trebuchet MS"/>
        <color theme="1"/>
        <sz val="11.0"/>
      </rPr>
      <t>=</t>
    </r>
  </si>
  <si>
    <t>Hf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</si>
  <si>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tubería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</si>
  <si>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tubería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</si>
  <si>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tubería</t>
    </r>
  </si>
  <si>
    <r>
      <rPr>
        <rFont val="Trebuchet MS"/>
        <color theme="1"/>
        <sz val="11.0"/>
      </rPr>
      <t>Cálculo D</t>
    </r>
    <r>
      <rPr>
        <rFont val="Trebuchet MS"/>
        <color theme="1"/>
        <sz val="11.0"/>
        <vertAlign val="subscript"/>
      </rPr>
      <t>T</t>
    </r>
  </si>
  <si>
    <t>Longitud Final de Tubería</t>
  </si>
  <si>
    <r>
      <rPr>
        <rFont val="Trebuchet MS"/>
        <color theme="1"/>
        <sz val="11.0"/>
      </rPr>
      <t>Cálculo D</t>
    </r>
    <r>
      <rPr>
        <rFont val="Trebuchet MS"/>
        <color theme="1"/>
        <sz val="11.0"/>
        <vertAlign val="subscript"/>
      </rPr>
      <t>T</t>
    </r>
  </si>
  <si>
    <r>
      <rPr>
        <rFont val="Trebuchet MS"/>
        <color theme="1"/>
        <sz val="11.0"/>
      </rPr>
      <t>Cálculo D</t>
    </r>
    <r>
      <rPr>
        <rFont val="Trebuchet MS"/>
        <color theme="1"/>
        <sz val="11.0"/>
        <vertAlign val="subscript"/>
      </rPr>
      <t>T</t>
    </r>
  </si>
  <si>
    <r>
      <rPr>
        <rFont val="Trebuchet MS"/>
        <color theme="1"/>
        <sz val="11.0"/>
      </rPr>
      <t>D</t>
    </r>
    <r>
      <rPr>
        <rFont val="Trebuchet MS"/>
        <color theme="1"/>
        <sz val="11.0"/>
        <vertAlign val="subscript"/>
      </rPr>
      <t>T</t>
    </r>
    <r>
      <rPr>
        <rFont val="Trebuchet MS"/>
        <color theme="1"/>
        <sz val="11.0"/>
      </rPr>
      <t>=</t>
    </r>
  </si>
  <si>
    <t>=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</si>
  <si>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</si>
  <si>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D</t>
    </r>
    <r>
      <rPr>
        <rFont val="Trebuchet MS"/>
        <color theme="1"/>
        <sz val="11.0"/>
        <vertAlign val="subscript"/>
      </rPr>
      <t>T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</si>
  <si>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</si>
  <si>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D</t>
    </r>
    <r>
      <rPr>
        <rFont val="Trebuchet MS"/>
        <color theme="1"/>
        <sz val="11.0"/>
        <vertAlign val="subscript"/>
      </rPr>
      <t>T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</si>
  <si>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</si>
  <si>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t>Diametros Propuestos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</si>
  <si>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</si>
  <si>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</si>
  <si>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</si>
  <si>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</si>
  <si>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</si>
  <si>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</si>
  <si>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</si>
  <si>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1</t>
    </r>
  </si>
  <si>
    <r>
      <rPr>
        <rFont val="Trebuchet MS"/>
        <color theme="1"/>
        <sz val="11.0"/>
      </rPr>
      <t>Ø</t>
    </r>
    <r>
      <rPr>
        <rFont val="Trebuchet MS"/>
        <color theme="1"/>
        <sz val="11.0"/>
        <vertAlign val="subscript"/>
      </rPr>
      <t>2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</si>
  <si>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</si>
  <si>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</si>
  <si>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</si>
  <si>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</si>
  <si>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</si>
  <si>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</si>
  <si>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</si>
  <si>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</si>
  <si>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</si>
  <si>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</si>
  <si>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t>Perdida de Carga Final</t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</si>
  <si>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</si>
  <si>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</si>
  <si>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</si>
  <si>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</si>
  <si>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1fF</t>
    </r>
    <r>
      <rPr>
        <rFont val="Trebuchet MS"/>
        <color theme="1"/>
        <sz val="11.0"/>
      </rPr>
      <t>=</t>
    </r>
  </si>
  <si>
    <t>Longitud de Tubería</t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</si>
  <si>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</si>
  <si>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</si>
  <si>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</si>
  <si>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</si>
  <si>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2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</si>
  <si>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Hf</t>
    </r>
    <r>
      <rPr>
        <rFont val="Trebuchet MS"/>
        <color theme="1"/>
        <sz val="11.0"/>
        <vertAlign val="subscript"/>
      </rPr>
      <t>2F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</si>
  <si>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</si>
  <si>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</si>
  <si>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r>
      <rPr>
        <rFont val="Trebuchet MS"/>
        <color theme="1"/>
        <sz val="11.0"/>
      </rPr>
      <t>L</t>
    </r>
    <r>
      <rPr>
        <rFont val="Trebuchet MS"/>
        <color theme="1"/>
        <sz val="11.0"/>
        <vertAlign val="subscript"/>
      </rPr>
      <t>1</t>
    </r>
    <r>
      <rPr>
        <rFont val="Trebuchet MS"/>
        <color theme="1"/>
        <sz val="11.0"/>
      </rPr>
      <t>=</t>
    </r>
  </si>
  <si>
    <t>Datos Para el Gráfico</t>
  </si>
  <si>
    <t>Tramo</t>
  </si>
  <si>
    <t>Presión 1</t>
  </si>
  <si>
    <t>Presión 2</t>
  </si>
  <si>
    <t>Diseño de Caudales</t>
  </si>
  <si>
    <t>Tanque de Distribución</t>
  </si>
  <si>
    <t>Viv. A.</t>
  </si>
  <si>
    <t>Hab. A.</t>
  </si>
  <si>
    <t>Viv. F.</t>
  </si>
  <si>
    <t>Hab. F.</t>
  </si>
  <si>
    <t>Dotación (L/Hab/d)</t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</si>
  <si>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Medio</t>
    </r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</si>
  <si>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DMax</t>
    </r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</si>
  <si>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HM</t>
    </r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</si>
  <si>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C.S.</t>
    </r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</si>
  <si>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medio Sanitario</t>
    </r>
  </si>
  <si>
    <r>
      <rPr>
        <rFont val="Trebuchet MS"/>
        <color theme="1"/>
        <sz val="11.0"/>
      </rPr>
      <t>Q</t>
    </r>
    <r>
      <rPr>
        <rFont val="Trebuchet MS"/>
        <color theme="1"/>
        <sz val="11.0"/>
        <vertAlign val="subscript"/>
      </rPr>
      <t>máximo Sanitario</t>
    </r>
  </si>
  <si>
    <t xml:space="preserve">Sistema </t>
  </si>
  <si>
    <t xml:space="preserve">Capacidad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</si>
</sst>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General&quot; L/Hab/d&quot;"/>
    <numFmt numFmtId="165" formatCode="General&quot; Hab&quot;"/>
    <numFmt numFmtId="166" formatCode="General&quot; años&quot;"/>
    <numFmt numFmtId="167" formatCode="General&quot; m&quot;"/>
    <numFmt numFmtId="168" formatCode="0.00&quot; m&quot;"/>
    <numFmt numFmtId="169" formatCode="General&quot; Viv&quot;"/>
    <numFmt numFmtId="170" formatCode="0.00&quot; L/s&quot;"/>
    <numFmt numFmtId="171" formatCode="0&quot;ʼʼ&quot;"/>
    <numFmt numFmtId="172" formatCode="0.0&quot;ʼʼ&quot;"/>
    <numFmt numFmtId="173" formatCode="0&quot; m&quot;"/>
    <numFmt numFmtId="174" formatCode="0.00&quot;ʼʼ&quot;"/>
    <numFmt numFmtId="175" formatCode="0.00&quot; m3&quot;"/>
  </numFmts>
  <fonts count="8">
    <font>
      <sz val="11.0"/>
      <color theme="1"/>
      <name val="Aptos Narrow"/>
      <scheme val="minor"/>
    </font>
    <font>
      <sz val="24.0"/>
      <color theme="1"/>
      <name val="Trebuchet MS"/>
    </font>
    <font/>
    <font>
      <sz val="11.0"/>
      <color theme="1"/>
      <name val="Trebuchet MS"/>
    </font>
    <font>
      <sz val="11.0"/>
      <color theme="1"/>
      <name val="Aptos Narrow"/>
    </font>
    <font>
      <sz val="11.0"/>
      <color theme="0"/>
      <name val="Trebuchet MS"/>
    </font>
    <font>
      <sz val="22.0"/>
      <color theme="1"/>
      <name val="Trebuchet MS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92E0"/>
        <bgColor rgb="FF0092E0"/>
      </patternFill>
    </fill>
    <fill>
      <patternFill patternType="solid">
        <fgColor rgb="FF47BFFF"/>
        <bgColor rgb="FF47BFFF"/>
      </patternFill>
    </fill>
    <fill>
      <patternFill patternType="solid">
        <fgColor rgb="FF90E0EF"/>
        <bgColor rgb="FF90E0EF"/>
      </patternFill>
    </fill>
    <fill>
      <patternFill patternType="solid">
        <fgColor rgb="FFFF0000"/>
        <bgColor rgb="FFFF0000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9" fillId="4" fontId="3" numFmtId="0" xfId="0" applyAlignment="1" applyBorder="1" applyFill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2" fillId="4" fontId="3" numFmtId="164" xfId="0" applyAlignment="1" applyBorder="1" applyFont="1" applyNumberFormat="1">
      <alignment horizontal="center" vertical="center"/>
    </xf>
    <xf borderId="12" fillId="4" fontId="3" numFmtId="0" xfId="0" applyAlignment="1" applyBorder="1" applyFont="1">
      <alignment horizontal="center" vertical="center"/>
    </xf>
    <xf borderId="12" fillId="4" fontId="3" numFmtId="165" xfId="0" applyAlignment="1" applyBorder="1" applyFont="1" applyNumberFormat="1">
      <alignment horizontal="center" vertical="center"/>
    </xf>
    <xf borderId="12" fillId="4" fontId="3" numFmtId="166" xfId="0" applyAlignment="1" applyBorder="1" applyFont="1" applyNumberFormat="1">
      <alignment horizontal="center" readingOrder="0" vertical="center"/>
    </xf>
    <xf borderId="12" fillId="4" fontId="3" numFmtId="10" xfId="0" applyAlignment="1" applyBorder="1" applyFont="1" applyNumberFormat="1">
      <alignment horizontal="center" vertical="center"/>
    </xf>
    <xf borderId="12" fillId="4" fontId="3" numFmtId="167" xfId="0" applyAlignment="1" applyBorder="1" applyFont="1" applyNumberFormat="1">
      <alignment horizontal="center" vertical="center"/>
    </xf>
    <xf borderId="12" fillId="4" fontId="3" numFmtId="9" xfId="0" applyAlignment="1" applyBorder="1" applyFont="1" applyNumberFormat="1">
      <alignment horizontal="center" vertical="center"/>
    </xf>
    <xf borderId="9" fillId="2" fontId="3" numFmtId="0" xfId="0" applyAlignment="1" applyBorder="1" applyFont="1">
      <alignment horizontal="center" vertical="center"/>
    </xf>
    <xf borderId="13" fillId="0" fontId="2" numFmtId="0" xfId="0" applyBorder="1" applyFont="1"/>
    <xf borderId="12" fillId="3" fontId="3" numFmtId="0" xfId="0" applyAlignment="1" applyBorder="1" applyFont="1">
      <alignment horizontal="center" vertical="center"/>
    </xf>
    <xf borderId="12" fillId="4" fontId="3" numFmtId="168" xfId="0" applyAlignment="1" applyBorder="1" applyFont="1" applyNumberFormat="1">
      <alignment horizontal="center" vertical="center"/>
    </xf>
    <xf borderId="12" fillId="4" fontId="3" numFmtId="169" xfId="0" applyAlignment="1" applyBorder="1" applyFont="1" applyNumberFormat="1">
      <alignment horizontal="center" vertical="center"/>
    </xf>
    <xf borderId="14" fillId="5" fontId="3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2" fillId="0" fontId="3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4" fontId="3" numFmtId="170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horizontal="right" vertical="center"/>
    </xf>
    <xf borderId="9" fillId="0" fontId="3" numFmtId="170" xfId="0" applyAlignment="1" applyBorder="1" applyFont="1" applyNumberFormat="1">
      <alignment horizontal="left" vertical="center"/>
    </xf>
    <xf borderId="9" fillId="0" fontId="3" numFmtId="171" xfId="0" applyAlignment="1" applyBorder="1" applyFont="1" applyNumberFormat="1">
      <alignment horizontal="left" vertical="center"/>
    </xf>
    <xf borderId="9" fillId="0" fontId="3" numFmtId="168" xfId="0" applyAlignment="1" applyBorder="1" applyFont="1" applyNumberFormat="1">
      <alignment horizontal="left" vertical="center"/>
    </xf>
    <xf borderId="12" fillId="0" fontId="3" numFmtId="168" xfId="0" applyAlignment="1" applyBorder="1" applyFont="1" applyNumberFormat="1">
      <alignment horizontal="center" vertical="center"/>
    </xf>
    <xf borderId="0" fillId="0" fontId="5" numFmtId="2" xfId="0" applyAlignment="1" applyFont="1" applyNumberFormat="1">
      <alignment horizontal="center" vertical="center"/>
    </xf>
    <xf borderId="9" fillId="0" fontId="3" numFmtId="172" xfId="0" applyAlignment="1" applyBorder="1" applyFont="1" applyNumberFormat="1">
      <alignment horizontal="left" vertical="center"/>
    </xf>
    <xf borderId="0" fillId="0" fontId="5" numFmtId="168" xfId="0" applyAlignment="1" applyFont="1" applyNumberFormat="1">
      <alignment horizontal="center" vertical="center"/>
    </xf>
    <xf borderId="9" fillId="0" fontId="3" numFmtId="173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7" fillId="0" fontId="3" numFmtId="0" xfId="0" applyAlignment="1" applyBorder="1" applyFont="1">
      <alignment horizontal="center" vertical="center"/>
    </xf>
    <xf borderId="0" fillId="0" fontId="3" numFmtId="174" xfId="0" applyAlignment="1" applyFont="1" applyNumberFormat="1">
      <alignment horizontal="left" vertical="center"/>
    </xf>
    <xf borderId="7" fillId="0" fontId="3" numFmtId="2" xfId="0" applyAlignment="1" applyBorder="1" applyFont="1" applyNumberFormat="1">
      <alignment horizontal="center" vertical="center"/>
    </xf>
    <xf borderId="0" fillId="0" fontId="3" numFmtId="173" xfId="0" applyAlignment="1" applyFont="1" applyNumberFormat="1">
      <alignment horizontal="left" vertical="center"/>
    </xf>
    <xf borderId="2" fillId="0" fontId="3" numFmtId="0" xfId="0" applyAlignment="1" applyBorder="1" applyFon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 vertical="center"/>
    </xf>
    <xf borderId="12" fillId="4" fontId="3" numFmtId="171" xfId="0" applyAlignment="1" applyBorder="1" applyFont="1" applyNumberFormat="1">
      <alignment horizontal="center" vertical="center"/>
    </xf>
    <xf borderId="12" fillId="4" fontId="3" numFmtId="172" xfId="0" applyAlignment="1" applyBorder="1" applyFont="1" applyNumberFormat="1">
      <alignment horizontal="center" vertical="center"/>
    </xf>
    <xf borderId="0" fillId="0" fontId="3" numFmtId="168" xfId="0" applyAlignment="1" applyFont="1" applyNumberFormat="1">
      <alignment horizontal="left" vertical="center"/>
    </xf>
    <xf borderId="19" fillId="3" fontId="3" numFmtId="173" xfId="0" applyAlignment="1" applyBorder="1" applyFont="1" applyNumberForma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168" xfId="0" applyAlignment="1" applyFont="1" applyNumberFormat="1">
      <alignment horizontal="center" vertical="center"/>
    </xf>
    <xf borderId="19" fillId="3" fontId="3" numFmtId="168" xfId="0" applyAlignment="1" applyBorder="1" applyFont="1" applyNumberFormat="1">
      <alignment horizontal="left" vertical="center"/>
    </xf>
    <xf borderId="12" fillId="0" fontId="3" numFmtId="173" xfId="0" applyAlignment="1" applyBorder="1" applyFont="1" applyNumberFormat="1">
      <alignment horizontal="center" vertical="center"/>
    </xf>
    <xf borderId="9" fillId="2" fontId="6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20" fillId="3" fontId="3" numFmtId="0" xfId="0" applyAlignment="1" applyBorder="1" applyFont="1">
      <alignment horizontal="center" vertical="center"/>
    </xf>
    <xf borderId="20" fillId="3" fontId="3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12" fillId="0" fontId="4" numFmtId="0" xfId="0" applyAlignment="1" applyBorder="1" applyFont="1">
      <alignment horizontal="center" vertical="center"/>
    </xf>
    <xf borderId="12" fillId="0" fontId="4" numFmtId="175" xfId="0" applyAlignment="1" applyBorder="1" applyFont="1" applyNumberFormat="1">
      <alignment horizontal="center" vertical="center"/>
    </xf>
    <xf borderId="17" fillId="0" fontId="2" numFmtId="0" xfId="0" applyBorder="1" applyFont="1"/>
    <xf borderId="12" fillId="4" fontId="7" numFmtId="0" xfId="0" applyAlignment="1" applyBorder="1" applyFont="1">
      <alignment horizontal="center" readingOrder="0" vertical="center"/>
    </xf>
    <xf borderId="12" fillId="0" fontId="4" numFmtId="1" xfId="0" applyAlignment="1" applyBorder="1" applyFont="1" applyNumberFormat="1">
      <alignment horizontal="center" vertical="center"/>
    </xf>
    <xf borderId="12" fillId="0" fontId="4" numFmtId="164" xfId="0" applyAlignment="1" applyBorder="1" applyFont="1" applyNumberFormat="1">
      <alignment horizontal="center" vertical="center"/>
    </xf>
    <xf borderId="12" fillId="0" fontId="4" numFmtId="2" xfId="0" applyAlignment="1" applyBorder="1" applyFont="1" applyNumberFormat="1">
      <alignment horizontal="center" vertical="center"/>
    </xf>
    <xf borderId="12" fillId="0" fontId="7" numFmtId="2" xfId="0" applyAlignment="1" applyBorder="1" applyFont="1" applyNumberFormat="1">
      <alignment horizontal="center" readingOrder="0" vertical="center"/>
    </xf>
    <xf borderId="12" fillId="0" fontId="4" numFmtId="170" xfId="0" applyAlignment="1" applyBorder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90E0EF"/>
          <bgColor rgb="FF90E0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Primer Tramo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Primer Tramo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77B6"/>
              </a:solidFill>
              <a:ln cmpd="sng">
                <a:solidFill>
                  <a:srgbClr val="0077B6"/>
                </a:solidFill>
              </a:ln>
            </c:spPr>
          </c:marker>
          <c:xVal>
            <c:numRef>
              <c:f>'L. Conducción'!$B$41:$B$42</c:f>
            </c:numRef>
          </c:xVal>
          <c:yVal>
            <c:numRef>
              <c:f>'L. Conducción'!$C$41:$C$42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945139"/>
        <c:axId val="472409881"/>
      </c:scatterChart>
      <c:valAx>
        <c:axId val="14589451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2409881"/>
      </c:valAx>
      <c:valAx>
        <c:axId val="472409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5894513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Segundo Tramo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Primer Tramo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77B6"/>
              </a:solidFill>
              <a:ln cmpd="sng">
                <a:solidFill>
                  <a:srgbClr val="0077B6"/>
                </a:solidFill>
              </a:ln>
            </c:spPr>
          </c:marker>
          <c:xVal>
            <c:numRef>
              <c:f>'L. Conducción'!$P$41:$P$42</c:f>
            </c:numRef>
          </c:xVal>
          <c:yVal>
            <c:numRef>
              <c:f>'L. Conducción'!$Q$41:$Q$42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05140"/>
        <c:axId val="2122850773"/>
      </c:scatterChart>
      <c:valAx>
        <c:axId val="1027505140"/>
        <c:scaling>
          <c:orientation val="minMax"/>
          <c:min val="9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2850773"/>
        <c:majorUnit val="200.0"/>
        <c:minorUnit val="50.0"/>
      </c:valAx>
      <c:valAx>
        <c:axId val="21228507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2750514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Tercer Tramo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Primer Tramo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77B6"/>
              </a:solidFill>
              <a:ln cmpd="sng">
                <a:solidFill>
                  <a:srgbClr val="0077B6"/>
                </a:solidFill>
              </a:ln>
            </c:spPr>
          </c:marker>
          <c:xVal>
            <c:numRef>
              <c:f>'L. Conducción'!$AD$41:$AD$42</c:f>
            </c:numRef>
          </c:xVal>
          <c:yVal>
            <c:numRef>
              <c:f>'L. Conducción'!$AE$41:$AE$42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04426"/>
        <c:axId val="481444458"/>
      </c:scatterChart>
      <c:valAx>
        <c:axId val="6346044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1444458"/>
      </c:valAx>
      <c:valAx>
        <c:axId val="481444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4604426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695325</xdr:colOff>
      <xdr:row>1</xdr:row>
      <xdr:rowOff>152400</xdr:rowOff>
    </xdr:from>
    <xdr:ext cx="3924300" cy="18573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19050</xdr:colOff>
      <xdr:row>1</xdr:row>
      <xdr:rowOff>57150</xdr:rowOff>
    </xdr:from>
    <xdr:ext cx="4229100" cy="18954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34</xdr:col>
      <xdr:colOff>695325</xdr:colOff>
      <xdr:row>1</xdr:row>
      <xdr:rowOff>152400</xdr:rowOff>
    </xdr:from>
    <xdr:ext cx="4686300" cy="18573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E0EF"/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2.88"/>
    <col customWidth="1" min="3" max="3" width="11.0"/>
    <col customWidth="1" min="4" max="4" width="14.88"/>
    <col customWidth="1" min="5" max="5" width="4.0"/>
    <col customWidth="1" min="6" max="26" width="11.5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G2" s="7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8"/>
      <c r="B3" s="9"/>
      <c r="C3" s="9"/>
      <c r="D3" s="9"/>
      <c r="E3" s="9"/>
      <c r="F3" s="9"/>
      <c r="G3" s="10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1" t="s">
        <v>1</v>
      </c>
      <c r="B5" s="12"/>
      <c r="C5" s="12"/>
      <c r="D5" s="13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8.5" customHeight="1">
      <c r="A6" s="14" t="s">
        <v>2</v>
      </c>
      <c r="B6" s="12"/>
      <c r="C6" s="13"/>
      <c r="D6" s="15" t="str">
        <f t="array" ref="D6">IFS(A6="Llena Cantaros","30-60 L/Hab/d",A6="Llena Cantaros y Conexiones Prediales","60-90 L/Hab/d",A6="Conexiones Prediales Fuera de la Vivienda","60-120 L/Hab/d",A6="Conexiones Intradomiciliares","90-170 L/Hab/d",A6="Pozo excavado o Hincado con Bomba Manual","20 L/Hab/d",A6="Servicio de Aljibes","20 L/Hab/d")</f>
        <v>90-170 L/Hab/d</v>
      </c>
      <c r="E6" s="4"/>
      <c r="F6" s="4"/>
      <c r="G6" s="4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6" t="s">
        <v>3</v>
      </c>
      <c r="B7" s="12"/>
      <c r="C7" s="13"/>
      <c r="D7" s="17">
        <v>100.0</v>
      </c>
      <c r="E7" s="4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6" t="s">
        <v>4</v>
      </c>
      <c r="B8" s="12"/>
      <c r="C8" s="13"/>
      <c r="D8" s="18">
        <v>0.2</v>
      </c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6" t="s">
        <v>5</v>
      </c>
      <c r="B9" s="12"/>
      <c r="C9" s="13"/>
      <c r="D9" s="19">
        <v>5.0</v>
      </c>
      <c r="E9" s="4"/>
      <c r="F9" s="4"/>
      <c r="G9" s="4"/>
      <c r="H9" s="4"/>
      <c r="I9" s="4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6" t="s">
        <v>6</v>
      </c>
      <c r="B10" s="12"/>
      <c r="C10" s="13"/>
      <c r="D10" s="20">
        <v>18.0</v>
      </c>
      <c r="E10" s="4"/>
      <c r="F10" s="4"/>
      <c r="G10" s="4"/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6" t="s">
        <v>7</v>
      </c>
      <c r="B11" s="12"/>
      <c r="C11" s="13"/>
      <c r="D11" s="21">
        <v>0.0274</v>
      </c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6" t="s">
        <v>8</v>
      </c>
      <c r="B12" s="12"/>
      <c r="C12" s="13"/>
      <c r="D12" s="15">
        <f>(D11+1)^D10</f>
        <v>1.626717373</v>
      </c>
      <c r="E12" s="4"/>
      <c r="F12" s="4"/>
      <c r="G12" s="4"/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6" t="s">
        <v>9</v>
      </c>
      <c r="B13" s="12"/>
      <c r="C13" s="13"/>
      <c r="D13" s="22">
        <v>100.0</v>
      </c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6" t="s">
        <v>10</v>
      </c>
      <c r="B14" s="12"/>
      <c r="C14" s="13"/>
      <c r="D14" s="18" t="s">
        <v>11</v>
      </c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6" t="s">
        <v>12</v>
      </c>
      <c r="B15" s="12"/>
      <c r="C15" s="13"/>
      <c r="D15" s="23" t="s">
        <v>13</v>
      </c>
      <c r="E15" s="4"/>
      <c r="F15" s="4"/>
      <c r="G15" s="4" t="s">
        <v>14</v>
      </c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6" t="s">
        <v>15</v>
      </c>
      <c r="B16" s="12"/>
      <c r="C16" s="13"/>
      <c r="D16" s="15" t="s">
        <v>16</v>
      </c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24" t="s">
        <v>17</v>
      </c>
      <c r="B18" s="12"/>
      <c r="C18" s="12"/>
      <c r="D18" s="12"/>
      <c r="E18" s="12"/>
      <c r="F18" s="12"/>
      <c r="G18" s="2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26" t="s">
        <v>18</v>
      </c>
      <c r="B19" s="26" t="s">
        <v>19</v>
      </c>
      <c r="C19" s="26" t="s">
        <v>20</v>
      </c>
      <c r="D19" s="11" t="s">
        <v>21</v>
      </c>
      <c r="E19" s="12"/>
      <c r="F19" s="13"/>
      <c r="G19" s="26" t="s">
        <v>22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5" t="s">
        <v>23</v>
      </c>
      <c r="B20" s="18">
        <v>4.0</v>
      </c>
      <c r="C20" s="27"/>
      <c r="D20" s="15"/>
      <c r="E20" s="15"/>
      <c r="F20" s="15"/>
      <c r="G20" s="28">
        <v>92.0</v>
      </c>
      <c r="H20" s="29" t="s">
        <v>24</v>
      </c>
      <c r="I20" s="30"/>
      <c r="J20" s="30"/>
      <c r="K20" s="3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2" t="s">
        <v>25</v>
      </c>
      <c r="B21" s="18">
        <v>5.0</v>
      </c>
      <c r="C21" s="27"/>
      <c r="D21" s="32">
        <v>4.0</v>
      </c>
      <c r="E21" s="15"/>
      <c r="F21" s="15"/>
      <c r="G21" s="28">
        <v>35.0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5" t="s">
        <v>23</v>
      </c>
      <c r="B22" s="18">
        <v>6.0</v>
      </c>
      <c r="C22" s="27"/>
      <c r="D22" s="15"/>
      <c r="E22" s="15"/>
      <c r="F22" s="15"/>
      <c r="G22" s="28">
        <v>65.0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5" t="s">
        <v>25</v>
      </c>
      <c r="B23" s="18">
        <v>7.0</v>
      </c>
      <c r="C23" s="27"/>
      <c r="D23" s="15">
        <v>6.0</v>
      </c>
      <c r="E23" s="15"/>
      <c r="F23" s="15"/>
      <c r="G23" s="28">
        <v>64.0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5" t="s">
        <v>23</v>
      </c>
      <c r="B24" s="18">
        <v>8.0</v>
      </c>
      <c r="C24" s="27"/>
      <c r="D24" s="15"/>
      <c r="E24" s="15"/>
      <c r="F24" s="15"/>
      <c r="G24" s="28">
        <v>91.0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5" t="s">
        <v>23</v>
      </c>
      <c r="B25" s="18">
        <v>9.0</v>
      </c>
      <c r="C25" s="27"/>
      <c r="D25" s="15"/>
      <c r="E25" s="15"/>
      <c r="F25" s="15"/>
      <c r="G25" s="28">
        <v>82.0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5" t="s">
        <v>25</v>
      </c>
      <c r="B26" s="18">
        <v>10.0</v>
      </c>
      <c r="C26" s="27"/>
      <c r="D26" s="15">
        <v>9.0</v>
      </c>
      <c r="E26" s="15">
        <v>7.0</v>
      </c>
      <c r="F26" s="15"/>
      <c r="G26" s="28">
        <v>44.0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5" t="s">
        <v>25</v>
      </c>
      <c r="B27" s="18">
        <v>11.0</v>
      </c>
      <c r="C27" s="27"/>
      <c r="D27" s="15">
        <v>10.0</v>
      </c>
      <c r="E27" s="15">
        <v>5.0</v>
      </c>
      <c r="F27" s="15"/>
      <c r="G27" s="28">
        <v>85.0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5" t="s">
        <v>25</v>
      </c>
      <c r="B28" s="18">
        <v>12.0</v>
      </c>
      <c r="C28" s="27"/>
      <c r="D28" s="15">
        <v>8.0</v>
      </c>
      <c r="E28" s="15"/>
      <c r="F28" s="15"/>
      <c r="G28" s="28">
        <v>52.0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5" t="s">
        <v>25</v>
      </c>
      <c r="B29" s="18">
        <v>13.0</v>
      </c>
      <c r="C29" s="27"/>
      <c r="D29" s="15">
        <v>12.0</v>
      </c>
      <c r="E29" s="15"/>
      <c r="F29" s="15"/>
      <c r="G29" s="28">
        <v>102.0</v>
      </c>
      <c r="H29" s="29" t="s">
        <v>26</v>
      </c>
      <c r="I29" s="30"/>
      <c r="J29" s="30"/>
      <c r="K29" s="31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:G3"/>
    <mergeCell ref="A5:D5"/>
    <mergeCell ref="A6:C6"/>
    <mergeCell ref="A7:C7"/>
    <mergeCell ref="A8:C8"/>
    <mergeCell ref="A9:C9"/>
    <mergeCell ref="A10:C10"/>
    <mergeCell ref="D19:F19"/>
    <mergeCell ref="H20:K20"/>
    <mergeCell ref="H29:K29"/>
    <mergeCell ref="A11:C11"/>
    <mergeCell ref="A12:C12"/>
    <mergeCell ref="A13:C13"/>
    <mergeCell ref="A14:C14"/>
    <mergeCell ref="A15:C15"/>
    <mergeCell ref="A16:C16"/>
    <mergeCell ref="A18:G18"/>
  </mergeCells>
  <conditionalFormatting sqref="D15">
    <cfRule type="expression" dxfId="0" priority="1">
      <formula>$D$14="Bombeo"</formula>
    </cfRule>
  </conditionalFormatting>
  <conditionalFormatting sqref="D20:D29">
    <cfRule type="expression" dxfId="0" priority="2">
      <formula>A20="S"</formula>
    </cfRule>
  </conditionalFormatting>
  <conditionalFormatting sqref="E20:E29">
    <cfRule type="expression" dxfId="0" priority="3">
      <formula>A20="S"</formula>
    </cfRule>
  </conditionalFormatting>
  <conditionalFormatting sqref="F20:F29">
    <cfRule type="expression" dxfId="0" priority="4">
      <formula>A20="S"</formula>
    </cfRule>
  </conditionalFormatting>
  <dataValidations>
    <dataValidation type="list" allowBlank="1" showErrorMessage="1" sqref="D16">
      <formula1>"Motor Diesel,Motor Eléctrico"</formula1>
    </dataValidation>
    <dataValidation type="list" allowBlank="1" showErrorMessage="1" sqref="D8">
      <formula1>"0.2,0.15"</formula1>
    </dataValidation>
    <dataValidation type="list" allowBlank="1" showErrorMessage="1" sqref="A20:A29">
      <formula1>"F,S"</formula1>
    </dataValidation>
    <dataValidation type="list" allowBlank="1" showErrorMessage="1" sqref="D14">
      <formula1>"Gravedad,Bombeo"</formula1>
    </dataValidation>
    <dataValidation type="list" allowBlank="1" showErrorMessage="1" sqref="A6">
      <formula1>"Llena Cantaros,Llena Cantaros y Conexiones Prediales,Conexiones Prediales Fuera de la Vivienda,Conexiones Intradomiciliares,Pozo excavado o Hincado con Bomba Manual,Servicio de Aljibes"</formula1>
    </dataValidation>
    <dataValidation type="list" allowBlank="1" showErrorMessage="1" sqref="D15">
      <formula1>"Máximo,Mínimo"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7BFFF"/>
    <pageSetUpPr fitToPage="1"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1.63"/>
    <col customWidth="1" min="3" max="3" width="13.5"/>
    <col customWidth="1" min="4" max="4" width="9.0"/>
    <col customWidth="1" min="5" max="5" width="11.88"/>
    <col customWidth="1" min="6" max="6" width="3.38"/>
    <col customWidth="1" min="7" max="7" width="10.5"/>
    <col customWidth="1" min="8" max="8" width="3.63"/>
    <col customWidth="1" min="9" max="9" width="6.5"/>
    <col customWidth="1" min="10" max="10" width="14.5"/>
    <col customWidth="1" min="11" max="11" width="4.88"/>
    <col customWidth="1" min="12" max="12" width="8.13"/>
    <col customWidth="1" min="13" max="13" width="2.13"/>
    <col customWidth="1" min="14" max="14" width="9.38"/>
    <col customWidth="1" min="15" max="16" width="11.5"/>
    <col customWidth="1" min="17" max="17" width="11.88"/>
    <col customWidth="1" min="18" max="18" width="10.5"/>
    <col customWidth="1" min="19" max="19" width="11.63"/>
    <col customWidth="1" min="20" max="20" width="9.88"/>
    <col customWidth="1" min="21" max="21" width="12.38"/>
    <col customWidth="1" min="22" max="22" width="11.5"/>
    <col customWidth="1" min="23" max="23" width="6.5"/>
    <col customWidth="1" min="24" max="24" width="13.13"/>
    <col customWidth="1" min="25" max="25" width="5.38"/>
    <col customWidth="1" min="26" max="26" width="9.38"/>
    <col customWidth="1" min="27" max="27" width="2.5"/>
    <col customWidth="1" min="28" max="28" width="9.38"/>
    <col customWidth="1" min="29" max="29" width="11.5"/>
    <col customWidth="1" min="30" max="31" width="11.13"/>
    <col customWidth="1" min="32" max="32" width="14.5"/>
    <col customWidth="1" min="33" max="33" width="5.63"/>
    <col customWidth="1" min="34" max="34" width="2.88"/>
    <col customWidth="1" min="35" max="35" width="10.88"/>
    <col customWidth="1" min="36" max="38" width="11.5"/>
    <col customWidth="1" min="39" max="39" width="5.13"/>
    <col customWidth="1" min="40" max="40" width="7.63"/>
    <col customWidth="1" min="41" max="41" width="2.5"/>
    <col customWidth="1" min="42" max="42" width="9.0"/>
    <col customWidth="1" min="43" max="43" width="11.5"/>
  </cols>
  <sheetData>
    <row r="1" ht="14.25" customHeight="1">
      <c r="A1" s="4"/>
      <c r="B1" s="33" t="s">
        <v>27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4"/>
      <c r="P1" s="33" t="s">
        <v>28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1"/>
      <c r="AC1" s="4"/>
      <c r="AD1" s="33" t="s">
        <v>29</v>
      </c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1"/>
      <c r="AQ1" s="4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14.25" customHeight="1">
      <c r="A3" s="4"/>
      <c r="B3" s="11" t="s">
        <v>30</v>
      </c>
      <c r="C3" s="12"/>
      <c r="D3" s="13"/>
      <c r="E3" s="11" t="s">
        <v>31</v>
      </c>
      <c r="F3" s="12"/>
      <c r="G3" s="13"/>
      <c r="H3" s="4"/>
      <c r="I3" s="4"/>
      <c r="J3" s="4"/>
      <c r="K3" s="4"/>
      <c r="L3" s="4"/>
      <c r="M3" s="4"/>
      <c r="N3" s="4"/>
      <c r="O3" s="4"/>
      <c r="P3" s="11" t="s">
        <v>30</v>
      </c>
      <c r="Q3" s="12"/>
      <c r="R3" s="13"/>
      <c r="S3" s="11" t="s">
        <v>31</v>
      </c>
      <c r="T3" s="12"/>
      <c r="U3" s="13"/>
      <c r="V3" s="4"/>
      <c r="W3" s="4"/>
      <c r="X3" s="4"/>
      <c r="Y3" s="4"/>
      <c r="Z3" s="4"/>
      <c r="AA3" s="4"/>
      <c r="AB3" s="4"/>
      <c r="AC3" s="4"/>
      <c r="AD3" s="11" t="s">
        <v>30</v>
      </c>
      <c r="AE3" s="12"/>
      <c r="AF3" s="13"/>
      <c r="AG3" s="11" t="s">
        <v>31</v>
      </c>
      <c r="AH3" s="12"/>
      <c r="AI3" s="13"/>
      <c r="AJ3" s="4"/>
      <c r="AK3" s="4"/>
      <c r="AL3" s="4"/>
      <c r="AM3" s="4"/>
      <c r="AN3" s="4"/>
      <c r="AO3" s="4"/>
      <c r="AP3" s="4"/>
      <c r="AQ3" s="4"/>
    </row>
    <row r="4" ht="14.25" customHeight="1">
      <c r="A4" s="4"/>
      <c r="B4" s="34" t="s">
        <v>32</v>
      </c>
      <c r="C4" s="35">
        <v>2.35</v>
      </c>
      <c r="D4" s="15" t="s">
        <v>33</v>
      </c>
      <c r="E4" s="36" t="s">
        <v>34</v>
      </c>
      <c r="F4" s="37">
        <f>C4</f>
        <v>2.35</v>
      </c>
      <c r="G4" s="13"/>
      <c r="H4" s="4"/>
      <c r="I4" s="4"/>
      <c r="J4" s="4"/>
      <c r="K4" s="4"/>
      <c r="L4" s="4"/>
      <c r="M4" s="4"/>
      <c r="N4" s="4"/>
      <c r="O4" s="4"/>
      <c r="P4" s="34" t="s">
        <v>32</v>
      </c>
      <c r="Q4" s="35">
        <v>8.21</v>
      </c>
      <c r="R4" s="15" t="s">
        <v>33</v>
      </c>
      <c r="S4" s="36" t="s">
        <v>34</v>
      </c>
      <c r="T4" s="37">
        <f>Q4</f>
        <v>8.21</v>
      </c>
      <c r="U4" s="13"/>
      <c r="V4" s="4"/>
      <c r="W4" s="4"/>
      <c r="X4" s="4"/>
      <c r="Y4" s="4"/>
      <c r="Z4" s="4"/>
      <c r="AA4" s="4"/>
      <c r="AB4" s="4"/>
      <c r="AC4" s="4"/>
      <c r="AD4" s="34" t="s">
        <v>32</v>
      </c>
      <c r="AE4" s="35">
        <v>2.35</v>
      </c>
      <c r="AF4" s="15" t="s">
        <v>33</v>
      </c>
      <c r="AG4" s="36" t="s">
        <v>34</v>
      </c>
      <c r="AH4" s="37">
        <f>AE4</f>
        <v>2.35</v>
      </c>
      <c r="AI4" s="13"/>
      <c r="AJ4" s="4"/>
      <c r="AK4" s="4"/>
      <c r="AL4" s="4"/>
      <c r="AM4" s="4"/>
      <c r="AN4" s="4"/>
      <c r="AO4" s="4"/>
      <c r="AP4" s="4"/>
      <c r="AQ4" s="4"/>
    </row>
    <row r="5" ht="14.25" customHeight="1">
      <c r="A5" s="4"/>
      <c r="B5" s="34" t="s">
        <v>35</v>
      </c>
      <c r="C5" s="27">
        <v>117.75</v>
      </c>
      <c r="D5" s="27">
        <v>0.0</v>
      </c>
      <c r="E5" s="36" t="s">
        <v>36</v>
      </c>
      <c r="F5" s="38">
        <f>B23</f>
        <v>2</v>
      </c>
      <c r="G5" s="13"/>
      <c r="H5" s="4"/>
      <c r="I5" s="4"/>
      <c r="J5" s="4"/>
      <c r="K5" s="4"/>
      <c r="L5" s="4"/>
      <c r="M5" s="4"/>
      <c r="N5" s="4"/>
      <c r="O5" s="4"/>
      <c r="P5" s="34" t="s">
        <v>35</v>
      </c>
      <c r="Q5" s="27">
        <v>124.38</v>
      </c>
      <c r="R5" s="27">
        <v>0.0</v>
      </c>
      <c r="S5" s="36" t="s">
        <v>37</v>
      </c>
      <c r="T5" s="38">
        <f>P23</f>
        <v>2</v>
      </c>
      <c r="U5" s="13"/>
      <c r="V5" s="4"/>
      <c r="W5" s="4"/>
      <c r="X5" s="4"/>
      <c r="Y5" s="4"/>
      <c r="Z5" s="4"/>
      <c r="AA5" s="4"/>
      <c r="AB5" s="4"/>
      <c r="AC5" s="4"/>
      <c r="AD5" s="34" t="s">
        <v>35</v>
      </c>
      <c r="AE5" s="27">
        <v>117.75</v>
      </c>
      <c r="AF5" s="27">
        <v>0.0</v>
      </c>
      <c r="AG5" s="36" t="s">
        <v>38</v>
      </c>
      <c r="AH5" s="38">
        <f>AD23</f>
        <v>2</v>
      </c>
      <c r="AI5" s="13"/>
      <c r="AJ5" s="4"/>
      <c r="AK5" s="4"/>
      <c r="AL5" s="4"/>
      <c r="AM5" s="4"/>
      <c r="AN5" s="4"/>
      <c r="AO5" s="4"/>
      <c r="AP5" s="4"/>
      <c r="AQ5" s="4"/>
    </row>
    <row r="6" ht="14.25" customHeight="1">
      <c r="A6" s="4"/>
      <c r="B6" s="34" t="s">
        <v>39</v>
      </c>
      <c r="C6" s="27">
        <v>0.0</v>
      </c>
      <c r="D6" s="4"/>
      <c r="E6" s="36" t="s">
        <v>40</v>
      </c>
      <c r="F6" s="39">
        <f>N21</f>
        <v>114</v>
      </c>
      <c r="G6" s="13"/>
      <c r="H6" s="4"/>
      <c r="I6" s="4"/>
      <c r="J6" s="4"/>
      <c r="K6" s="4"/>
      <c r="L6" s="4"/>
      <c r="M6" s="4"/>
      <c r="N6" s="4"/>
      <c r="O6" s="4"/>
      <c r="P6" s="34" t="s">
        <v>39</v>
      </c>
      <c r="Q6" s="27">
        <v>0.0</v>
      </c>
      <c r="R6" s="4"/>
      <c r="S6" s="36" t="s">
        <v>41</v>
      </c>
      <c r="T6" s="39">
        <f>AB21</f>
        <v>324</v>
      </c>
      <c r="U6" s="13"/>
      <c r="V6" s="4"/>
      <c r="W6" s="4"/>
      <c r="X6" s="4"/>
      <c r="Y6" s="4"/>
      <c r="Z6" s="4"/>
      <c r="AA6" s="4"/>
      <c r="AB6" s="4"/>
      <c r="AC6" s="4"/>
      <c r="AD6" s="34" t="s">
        <v>39</v>
      </c>
      <c r="AE6" s="27">
        <v>0.0</v>
      </c>
      <c r="AF6" s="4"/>
      <c r="AG6" s="36" t="s">
        <v>42</v>
      </c>
      <c r="AH6" s="39">
        <f>AP21</f>
        <v>114</v>
      </c>
      <c r="AI6" s="13"/>
      <c r="AJ6" s="4"/>
      <c r="AK6" s="4"/>
      <c r="AL6" s="4"/>
      <c r="AM6" s="4"/>
      <c r="AN6" s="4"/>
      <c r="AO6" s="4"/>
      <c r="AP6" s="4"/>
      <c r="AQ6" s="4"/>
    </row>
    <row r="7" ht="14.25" customHeight="1">
      <c r="A7" s="4"/>
      <c r="B7" s="15" t="s">
        <v>43</v>
      </c>
      <c r="C7" s="40">
        <f>C5-C6</f>
        <v>117.75</v>
      </c>
      <c r="D7" s="41">
        <f>C7-F7</f>
        <v>113.6304245</v>
      </c>
      <c r="E7" s="36" t="s">
        <v>44</v>
      </c>
      <c r="F7" s="39">
        <f>G25</f>
        <v>4.119575531</v>
      </c>
      <c r="G7" s="13"/>
      <c r="H7" s="4"/>
      <c r="I7" s="4"/>
      <c r="J7" s="4"/>
      <c r="K7" s="4"/>
      <c r="L7" s="4"/>
      <c r="M7" s="4"/>
      <c r="N7" s="4"/>
      <c r="O7" s="4"/>
      <c r="P7" s="15" t="s">
        <v>43</v>
      </c>
      <c r="Q7" s="40">
        <f>Q5-Q6</f>
        <v>124.38</v>
      </c>
      <c r="R7" s="41">
        <f>Q7-T7</f>
        <v>23.27730109</v>
      </c>
      <c r="S7" s="36" t="s">
        <v>45</v>
      </c>
      <c r="T7" s="39">
        <f>AB30</f>
        <v>101.1026989</v>
      </c>
      <c r="U7" s="13"/>
      <c r="V7" s="4"/>
      <c r="W7" s="4"/>
      <c r="X7" s="4"/>
      <c r="Y7" s="4"/>
      <c r="Z7" s="4"/>
      <c r="AA7" s="4"/>
      <c r="AB7" s="4"/>
      <c r="AC7" s="4"/>
      <c r="AD7" s="15" t="s">
        <v>43</v>
      </c>
      <c r="AE7" s="40">
        <f>AE5-AE6</f>
        <v>117.75</v>
      </c>
      <c r="AF7" s="41">
        <f>AE7-AH7</f>
        <v>114.2426691</v>
      </c>
      <c r="AG7" s="36" t="s">
        <v>46</v>
      </c>
      <c r="AH7" s="39">
        <f>AP30</f>
        <v>3.507330922</v>
      </c>
      <c r="AI7" s="13"/>
      <c r="AJ7" s="4"/>
      <c r="AK7" s="4"/>
      <c r="AL7" s="4"/>
      <c r="AM7" s="4"/>
      <c r="AN7" s="4"/>
      <c r="AO7" s="4"/>
      <c r="AP7" s="4"/>
      <c r="AQ7" s="4"/>
    </row>
    <row r="8" ht="14.25" customHeight="1">
      <c r="A8" s="4"/>
      <c r="B8" s="34" t="s">
        <v>47</v>
      </c>
      <c r="C8" s="27">
        <v>111.93</v>
      </c>
      <c r="D8" s="4"/>
      <c r="E8" s="36" t="s">
        <v>48</v>
      </c>
      <c r="F8" s="42">
        <f>C23</f>
        <v>1.5</v>
      </c>
      <c r="G8" s="13"/>
      <c r="H8" s="4"/>
      <c r="I8" s="4"/>
      <c r="J8" s="4"/>
      <c r="K8" s="4"/>
      <c r="L8" s="4"/>
      <c r="M8" s="4"/>
      <c r="N8" s="4"/>
      <c r="O8" s="4"/>
      <c r="P8" s="34" t="s">
        <v>47</v>
      </c>
      <c r="Q8" s="27">
        <v>98.3</v>
      </c>
      <c r="R8" s="4"/>
      <c r="S8" s="36" t="s">
        <v>49</v>
      </c>
      <c r="T8" s="38">
        <f>Q23</f>
        <v>1.5</v>
      </c>
      <c r="U8" s="13"/>
      <c r="V8" s="4"/>
      <c r="W8" s="4"/>
      <c r="X8" s="4"/>
      <c r="Y8" s="4"/>
      <c r="Z8" s="4"/>
      <c r="AA8" s="4"/>
      <c r="AB8" s="4"/>
      <c r="AC8" s="4"/>
      <c r="AD8" s="34" t="s">
        <v>47</v>
      </c>
      <c r="AE8" s="27">
        <v>111.93</v>
      </c>
      <c r="AF8" s="4"/>
      <c r="AG8" s="36" t="s">
        <v>50</v>
      </c>
      <c r="AH8" s="42">
        <f>AE23</f>
        <v>1.5</v>
      </c>
      <c r="AI8" s="13"/>
      <c r="AJ8" s="4"/>
      <c r="AK8" s="4"/>
      <c r="AL8" s="4"/>
      <c r="AM8" s="4"/>
      <c r="AN8" s="4"/>
      <c r="AO8" s="4"/>
      <c r="AP8" s="4"/>
      <c r="AQ8" s="4"/>
    </row>
    <row r="9" ht="14.25" customHeight="1">
      <c r="A9" s="4"/>
      <c r="B9" s="34" t="s">
        <v>51</v>
      </c>
      <c r="C9" s="27">
        <v>0.0</v>
      </c>
      <c r="D9" s="4"/>
      <c r="E9" s="36" t="s">
        <v>52</v>
      </c>
      <c r="F9" s="39">
        <f>N26</f>
        <v>18</v>
      </c>
      <c r="G9" s="13"/>
      <c r="H9" s="4"/>
      <c r="I9" s="4"/>
      <c r="J9" s="4"/>
      <c r="K9" s="4"/>
      <c r="L9" s="4"/>
      <c r="M9" s="4"/>
      <c r="N9" s="4"/>
      <c r="O9" s="4"/>
      <c r="P9" s="34" t="s">
        <v>51</v>
      </c>
      <c r="Q9" s="27">
        <v>0.0</v>
      </c>
      <c r="R9" s="4"/>
      <c r="S9" s="36" t="s">
        <v>53</v>
      </c>
      <c r="T9" s="39">
        <f>AB26</f>
        <v>9.49</v>
      </c>
      <c r="U9" s="13"/>
      <c r="V9" s="4"/>
      <c r="W9" s="4"/>
      <c r="X9" s="4"/>
      <c r="Y9" s="4"/>
      <c r="Z9" s="4"/>
      <c r="AA9" s="4"/>
      <c r="AB9" s="4"/>
      <c r="AC9" s="4"/>
      <c r="AD9" s="34" t="s">
        <v>51</v>
      </c>
      <c r="AE9" s="27">
        <v>0.0</v>
      </c>
      <c r="AF9" s="4"/>
      <c r="AG9" s="36" t="s">
        <v>54</v>
      </c>
      <c r="AH9" s="39">
        <f>AP26</f>
        <v>9.6</v>
      </c>
      <c r="AI9" s="13"/>
      <c r="AJ9" s="4"/>
      <c r="AK9" s="4"/>
      <c r="AL9" s="4"/>
      <c r="AM9" s="4"/>
      <c r="AN9" s="4"/>
      <c r="AO9" s="4"/>
      <c r="AP9" s="4"/>
      <c r="AQ9" s="4"/>
    </row>
    <row r="10" ht="14.25" customHeight="1">
      <c r="A10" s="4"/>
      <c r="B10" s="15" t="s">
        <v>55</v>
      </c>
      <c r="C10" s="40">
        <f>C8+C9</f>
        <v>111.93</v>
      </c>
      <c r="D10" s="41">
        <f>D7-F10</f>
        <v>113.6304245</v>
      </c>
      <c r="E10" s="36" t="s">
        <v>56</v>
      </c>
      <c r="F10" s="39">
        <v>0.0</v>
      </c>
      <c r="G10" s="13"/>
      <c r="H10" s="4"/>
      <c r="I10" s="4"/>
      <c r="J10" s="4"/>
      <c r="K10" s="4"/>
      <c r="L10" s="4"/>
      <c r="M10" s="4"/>
      <c r="N10" s="4"/>
      <c r="O10" s="4"/>
      <c r="P10" s="15" t="s">
        <v>55</v>
      </c>
      <c r="Q10" s="40">
        <f>Q8+Q9</f>
        <v>98.3</v>
      </c>
      <c r="R10" s="41">
        <f>R7-T10</f>
        <v>11.25643945</v>
      </c>
      <c r="S10" s="36" t="s">
        <v>57</v>
      </c>
      <c r="T10" s="39">
        <f>AB33</f>
        <v>12.02086164</v>
      </c>
      <c r="U10" s="13"/>
      <c r="V10" s="4"/>
      <c r="W10" s="4"/>
      <c r="X10" s="4"/>
      <c r="Y10" s="4"/>
      <c r="Z10" s="4"/>
      <c r="AA10" s="4"/>
      <c r="AB10" s="4"/>
      <c r="AC10" s="4"/>
      <c r="AD10" s="15" t="s">
        <v>55</v>
      </c>
      <c r="AE10" s="40">
        <f>AE8+AE9</f>
        <v>111.93</v>
      </c>
      <c r="AF10" s="41">
        <f>AF7-AH10</f>
        <v>113.0437365</v>
      </c>
      <c r="AG10" s="36" t="s">
        <v>58</v>
      </c>
      <c r="AH10" s="39">
        <f>AP33</f>
        <v>1.198932611</v>
      </c>
      <c r="AI10" s="13"/>
      <c r="AJ10" s="4"/>
      <c r="AK10" s="4"/>
      <c r="AL10" s="4"/>
      <c r="AM10" s="4"/>
      <c r="AN10" s="4"/>
      <c r="AO10" s="4"/>
      <c r="AP10" s="4"/>
      <c r="AQ10" s="4"/>
    </row>
    <row r="11" ht="14.25" customHeight="1">
      <c r="A11" s="4"/>
      <c r="B11" s="15" t="s">
        <v>59</v>
      </c>
      <c r="C11" s="27">
        <v>130.0</v>
      </c>
      <c r="D11" s="43">
        <f>C11*1.03</f>
        <v>133.9</v>
      </c>
      <c r="E11" s="36" t="s">
        <v>60</v>
      </c>
      <c r="F11" s="44">
        <f>F6+F9</f>
        <v>132</v>
      </c>
      <c r="G11" s="13"/>
      <c r="H11" s="4"/>
      <c r="I11" s="4"/>
      <c r="J11" s="4"/>
      <c r="K11" s="4"/>
      <c r="L11" s="4"/>
      <c r="M11" s="4"/>
      <c r="N11" s="4"/>
      <c r="O11" s="4"/>
      <c r="P11" s="15" t="s">
        <v>59</v>
      </c>
      <c r="Q11" s="27">
        <v>240.0</v>
      </c>
      <c r="R11" s="43">
        <f>Q11*1.03</f>
        <v>247.2</v>
      </c>
      <c r="S11" s="36" t="s">
        <v>61</v>
      </c>
      <c r="T11" s="44">
        <f t="shared" ref="T11:T12" si="1">T6+T9</f>
        <v>333.49</v>
      </c>
      <c r="U11" s="13"/>
      <c r="V11" s="4"/>
      <c r="W11" s="4"/>
      <c r="X11" s="4"/>
      <c r="Y11" s="4"/>
      <c r="Z11" s="4"/>
      <c r="AA11" s="4"/>
      <c r="AB11" s="4"/>
      <c r="AC11" s="4"/>
      <c r="AD11" s="15" t="s">
        <v>59</v>
      </c>
      <c r="AE11" s="27">
        <v>130.0</v>
      </c>
      <c r="AF11" s="43">
        <f>AE11*1.03</f>
        <v>133.9</v>
      </c>
      <c r="AG11" s="36" t="s">
        <v>62</v>
      </c>
      <c r="AH11" s="44">
        <f t="shared" ref="AH11:AH12" si="2">AH6+AH9</f>
        <v>123.6</v>
      </c>
      <c r="AI11" s="13"/>
      <c r="AJ11" s="4"/>
      <c r="AK11" s="4"/>
      <c r="AL11" s="4"/>
      <c r="AM11" s="4"/>
      <c r="AN11" s="4"/>
      <c r="AO11" s="4"/>
      <c r="AP11" s="4"/>
      <c r="AQ11" s="4"/>
    </row>
    <row r="12" ht="14.25" customHeight="1">
      <c r="A12" s="4"/>
      <c r="B12" s="15" t="s">
        <v>63</v>
      </c>
      <c r="C12" s="18">
        <v>140.0</v>
      </c>
      <c r="D12" s="4"/>
      <c r="E12" s="36" t="s">
        <v>64</v>
      </c>
      <c r="F12" s="39">
        <v>0.0</v>
      </c>
      <c r="G12" s="13"/>
      <c r="H12" s="4"/>
      <c r="I12" s="4"/>
      <c r="J12" s="4"/>
      <c r="K12" s="4"/>
      <c r="L12" s="4"/>
      <c r="M12" s="4"/>
      <c r="N12" s="4"/>
      <c r="O12" s="4"/>
      <c r="P12" s="15" t="s">
        <v>63</v>
      </c>
      <c r="Q12" s="18">
        <v>140.0</v>
      </c>
      <c r="R12" s="4"/>
      <c r="S12" s="36" t="s">
        <v>65</v>
      </c>
      <c r="T12" s="39">
        <f t="shared" si="1"/>
        <v>113.1235606</v>
      </c>
      <c r="U12" s="13"/>
      <c r="V12" s="4"/>
      <c r="W12" s="4"/>
      <c r="X12" s="4"/>
      <c r="Y12" s="4"/>
      <c r="Z12" s="4"/>
      <c r="AA12" s="4"/>
      <c r="AB12" s="4"/>
      <c r="AC12" s="4"/>
      <c r="AD12" s="15" t="s">
        <v>63</v>
      </c>
      <c r="AE12" s="18">
        <v>140.0</v>
      </c>
      <c r="AF12" s="4"/>
      <c r="AG12" s="36" t="s">
        <v>66</v>
      </c>
      <c r="AH12" s="39">
        <f t="shared" si="2"/>
        <v>4.706263533</v>
      </c>
      <c r="AI12" s="13"/>
      <c r="AJ12" s="4"/>
      <c r="AK12" s="4"/>
      <c r="AL12" s="4"/>
      <c r="AM12" s="4"/>
      <c r="AN12" s="4"/>
      <c r="AO12" s="4"/>
      <c r="AP12" s="4"/>
      <c r="AQ12" s="4"/>
    </row>
    <row r="13" ht="14.25" customHeight="1">
      <c r="A13" s="4"/>
      <c r="B13" s="15" t="s">
        <v>67</v>
      </c>
      <c r="C13" s="40">
        <v>5.82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 t="s">
        <v>67</v>
      </c>
      <c r="Q13" s="40">
        <v>5.0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5" t="s">
        <v>67</v>
      </c>
      <c r="AE13" s="40">
        <v>5.82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ht="14.25" customHeight="1">
      <c r="A14" s="4"/>
      <c r="B14" s="15" t="s">
        <v>68</v>
      </c>
      <c r="C14" s="27">
        <v>6.0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69</v>
      </c>
      <c r="Q14" s="27">
        <v>6.0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5" t="s">
        <v>70</v>
      </c>
      <c r="AE14" s="27">
        <v>6.0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ht="14.25" customHeight="1">
      <c r="A16" s="4"/>
      <c r="B16" s="11" t="s">
        <v>71</v>
      </c>
      <c r="C16" s="12"/>
      <c r="D16" s="12"/>
      <c r="E16" s="12"/>
      <c r="F16" s="12"/>
      <c r="G16" s="13"/>
      <c r="H16" s="4"/>
      <c r="I16" s="11" t="s">
        <v>72</v>
      </c>
      <c r="J16" s="12"/>
      <c r="K16" s="12"/>
      <c r="L16" s="12"/>
      <c r="M16" s="12"/>
      <c r="N16" s="13"/>
      <c r="O16" s="4"/>
      <c r="P16" s="11" t="s">
        <v>73</v>
      </c>
      <c r="Q16" s="12"/>
      <c r="R16" s="12"/>
      <c r="S16" s="12"/>
      <c r="T16" s="12"/>
      <c r="U16" s="13"/>
      <c r="V16" s="4"/>
      <c r="W16" s="11" t="s">
        <v>72</v>
      </c>
      <c r="X16" s="12"/>
      <c r="Y16" s="12"/>
      <c r="Z16" s="12"/>
      <c r="AA16" s="12"/>
      <c r="AB16" s="13"/>
      <c r="AC16" s="4"/>
      <c r="AD16" s="11" t="s">
        <v>74</v>
      </c>
      <c r="AE16" s="12"/>
      <c r="AF16" s="12"/>
      <c r="AG16" s="12"/>
      <c r="AH16" s="12"/>
      <c r="AI16" s="13"/>
      <c r="AJ16" s="4"/>
      <c r="AK16" s="11" t="s">
        <v>72</v>
      </c>
      <c r="AL16" s="12"/>
      <c r="AM16" s="12"/>
      <c r="AN16" s="12"/>
      <c r="AO16" s="12"/>
      <c r="AP16" s="13"/>
      <c r="AQ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14.25" customHeight="1">
      <c r="A18" s="4"/>
      <c r="B18" s="45" t="s">
        <v>75</v>
      </c>
      <c r="C18" s="46" t="str">
        <f>CONCATENATE("(1743.811*",ROUND(C4,2),"^1.852*",ROUND(D11,2),")^(1/4.87)")</f>
        <v>(1743.811*2,35^1.852*133,9)^(1/4.87)</v>
      </c>
      <c r="D18" s="9"/>
      <c r="E18" s="9"/>
      <c r="F18" s="4" t="s">
        <v>76</v>
      </c>
      <c r="G18" s="47">
        <f>((1743.811*C4^1.852*D11)/(C12^1.852*C13))^(1/4.87)</f>
        <v>1.863007893</v>
      </c>
      <c r="H18" s="4"/>
      <c r="I18" s="45"/>
      <c r="J18" s="4"/>
      <c r="K18" s="45" t="s">
        <v>77</v>
      </c>
      <c r="L18" s="48">
        <f>G36</f>
        <v>115.8339701</v>
      </c>
      <c r="M18" s="4" t="s">
        <v>76</v>
      </c>
      <c r="N18" s="49">
        <f>L18/L19</f>
        <v>19.30566168</v>
      </c>
      <c r="O18" s="4"/>
      <c r="P18" s="45" t="s">
        <v>78</v>
      </c>
      <c r="Q18" s="46" t="str">
        <f>CONCATENATE("(1743.811*",ROUND(Q4,2),"^1.852*",ROUND(R11,2),")^(1/4.87)")</f>
        <v>(1743.811*8,21^1.852*247,2)^(1/4.87)</v>
      </c>
      <c r="R18" s="9"/>
      <c r="S18" s="9"/>
      <c r="T18" s="4" t="s">
        <v>76</v>
      </c>
      <c r="U18" s="47">
        <f>((1743.811*Q4^1.852*R11)/(Q12^1.852*Q13))^(1/4.87)</f>
        <v>3.507787873</v>
      </c>
      <c r="V18" s="4"/>
      <c r="W18" s="45"/>
      <c r="X18" s="4"/>
      <c r="Y18" s="45" t="s">
        <v>79</v>
      </c>
      <c r="Z18" s="48">
        <f>U36</f>
        <v>322.7651086</v>
      </c>
      <c r="AA18" s="4" t="s">
        <v>76</v>
      </c>
      <c r="AB18" s="49">
        <f>Z18/Z19</f>
        <v>53.79418477</v>
      </c>
      <c r="AC18" s="4"/>
      <c r="AD18" s="45" t="s">
        <v>80</v>
      </c>
      <c r="AE18" s="46" t="str">
        <f>CONCATENATE("(1743.811*",ROUND(AE4,2),"^1.852*",ROUND(AF11,2),")^(1/4.87)")</f>
        <v>(1743.811*2,35^1.852*133,9)^(1/4.87)</v>
      </c>
      <c r="AF18" s="9"/>
      <c r="AG18" s="9"/>
      <c r="AH18" s="4" t="s">
        <v>76</v>
      </c>
      <c r="AI18" s="47">
        <f>((1743.811*AE4^1.852*AF11)/(AE12^1.852*AE13))^(1/4.87)</f>
        <v>1.863007893</v>
      </c>
      <c r="AJ18" s="4"/>
      <c r="AK18" s="45"/>
      <c r="AL18" s="4"/>
      <c r="AM18" s="45" t="s">
        <v>81</v>
      </c>
      <c r="AN18" s="48">
        <f>AI36</f>
        <v>115.8339701</v>
      </c>
      <c r="AO18" s="4" t="s">
        <v>76</v>
      </c>
      <c r="AP18" s="49">
        <f>AN18/AN19</f>
        <v>19.30566168</v>
      </c>
      <c r="AQ18" s="4"/>
    </row>
    <row r="19" ht="14.25" customHeight="1">
      <c r="A19" s="4"/>
      <c r="B19" s="4"/>
      <c r="C19" s="50" t="str">
        <f>CONCATENATE("(", ROUND(C12, 2), "^1.852*", ROUND(C13, 2), ")^(1/4.87)")</f>
        <v>(140^1.852*5,82)^(1/4.87)</v>
      </c>
      <c r="D19" s="2"/>
      <c r="E19" s="2"/>
      <c r="F19" s="4"/>
      <c r="G19" s="4"/>
      <c r="H19" s="4"/>
      <c r="I19" s="4"/>
      <c r="J19" s="4"/>
      <c r="K19" s="4"/>
      <c r="L19" s="51">
        <f>C14</f>
        <v>6</v>
      </c>
      <c r="M19" s="4"/>
      <c r="N19" s="4"/>
      <c r="O19" s="4"/>
      <c r="P19" s="4"/>
      <c r="Q19" s="50" t="str">
        <f>CONCATENATE("(", ROUND(Q12, 2), "^1.852*", ROUND(Q13, 2), ")^(1/4.87)")</f>
        <v>(140^1.852*5)^(1/4.87)</v>
      </c>
      <c r="R19" s="2"/>
      <c r="S19" s="2"/>
      <c r="T19" s="4"/>
      <c r="U19" s="4"/>
      <c r="V19" s="4"/>
      <c r="W19" s="4"/>
      <c r="X19" s="4"/>
      <c r="Y19" s="4"/>
      <c r="Z19" s="51">
        <f>Q14</f>
        <v>6</v>
      </c>
      <c r="AA19" s="4"/>
      <c r="AB19" s="4"/>
      <c r="AC19" s="4"/>
      <c r="AD19" s="4"/>
      <c r="AE19" s="50" t="str">
        <f>CONCATENATE("(", ROUND(AE12, 2), "^1.852*", ROUND(AE13, 2), ")^(1/4.87)")</f>
        <v>(140^1.852*5,82)^(1/4.87)</v>
      </c>
      <c r="AF19" s="2"/>
      <c r="AG19" s="2"/>
      <c r="AH19" s="4"/>
      <c r="AI19" s="4"/>
      <c r="AJ19" s="4"/>
      <c r="AK19" s="4"/>
      <c r="AL19" s="4"/>
      <c r="AM19" s="4"/>
      <c r="AN19" s="51">
        <f>AE14</f>
        <v>6</v>
      </c>
      <c r="AO19" s="4"/>
      <c r="AP19" s="4"/>
      <c r="AQ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2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52"/>
      <c r="AO20" s="4"/>
      <c r="AP20" s="4"/>
      <c r="AQ20" s="4"/>
    </row>
    <row r="21" ht="14.25" customHeight="1">
      <c r="A21" s="4"/>
      <c r="B21" s="11" t="s">
        <v>82</v>
      </c>
      <c r="C21" s="12"/>
      <c r="D21" s="12"/>
      <c r="E21" s="12"/>
      <c r="F21" s="12"/>
      <c r="G21" s="13"/>
      <c r="H21" s="4"/>
      <c r="I21" s="4"/>
      <c r="J21" s="4"/>
      <c r="K21" s="45" t="s">
        <v>83</v>
      </c>
      <c r="L21" s="52" t="str">
        <f>CONCATENATE(ROUND(L19,2),"*",ROUND(N18,0))</f>
        <v>6*19</v>
      </c>
      <c r="M21" s="4" t="s">
        <v>76</v>
      </c>
      <c r="N21" s="49">
        <f>L19*ROUND(N18,0)</f>
        <v>114</v>
      </c>
      <c r="O21" s="4"/>
      <c r="P21" s="11" t="s">
        <v>82</v>
      </c>
      <c r="Q21" s="12"/>
      <c r="R21" s="12"/>
      <c r="S21" s="12"/>
      <c r="T21" s="12"/>
      <c r="U21" s="13"/>
      <c r="V21" s="4"/>
      <c r="W21" s="4"/>
      <c r="X21" s="4"/>
      <c r="Y21" s="45" t="s">
        <v>84</v>
      </c>
      <c r="Z21" s="52" t="str">
        <f>CONCATENATE(ROUND(Z19,2),"*",ROUND(AB18,0))</f>
        <v>6*54</v>
      </c>
      <c r="AA21" s="4" t="s">
        <v>76</v>
      </c>
      <c r="AB21" s="49">
        <f>Z19*ROUND(AB18,0)</f>
        <v>324</v>
      </c>
      <c r="AC21" s="4"/>
      <c r="AD21" s="11" t="s">
        <v>82</v>
      </c>
      <c r="AE21" s="12"/>
      <c r="AF21" s="12"/>
      <c r="AG21" s="12"/>
      <c r="AH21" s="12"/>
      <c r="AI21" s="13"/>
      <c r="AJ21" s="4"/>
      <c r="AK21" s="4"/>
      <c r="AL21" s="4"/>
      <c r="AM21" s="45" t="s">
        <v>85</v>
      </c>
      <c r="AN21" s="52" t="str">
        <f>CONCATENATE(ROUND(AN19,2),"*",ROUND(AP18,0))</f>
        <v>6*19</v>
      </c>
      <c r="AO21" s="4" t="s">
        <v>76</v>
      </c>
      <c r="AP21" s="49">
        <f>AN19*ROUND(AP18,0)</f>
        <v>114</v>
      </c>
      <c r="AQ21" s="4"/>
    </row>
    <row r="22" ht="14.25" customHeight="1">
      <c r="A22" s="4"/>
      <c r="B22" s="34" t="s">
        <v>86</v>
      </c>
      <c r="C22" s="34" t="s">
        <v>87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4" t="s">
        <v>88</v>
      </c>
      <c r="Q22" s="34" t="s">
        <v>89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34" t="s">
        <v>90</v>
      </c>
      <c r="AE22" s="34" t="s">
        <v>91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14.25" customHeight="1">
      <c r="A23" s="4"/>
      <c r="B23" s="53">
        <v>2.0</v>
      </c>
      <c r="C23" s="54">
        <v>1.5</v>
      </c>
      <c r="D23" s="4"/>
      <c r="E23" s="4"/>
      <c r="F23" s="4"/>
      <c r="G23" s="4"/>
      <c r="H23" s="4"/>
      <c r="I23" s="4"/>
      <c r="J23" s="4"/>
      <c r="K23" s="45" t="s">
        <v>92</v>
      </c>
      <c r="L23" s="48">
        <f>G33</f>
        <v>18.06602991</v>
      </c>
      <c r="M23" s="4" t="s">
        <v>76</v>
      </c>
      <c r="N23" s="49">
        <f>L23/L24</f>
        <v>3.011004985</v>
      </c>
      <c r="O23" s="4"/>
      <c r="P23" s="53">
        <v>2.0</v>
      </c>
      <c r="Q23" s="53">
        <v>1.5</v>
      </c>
      <c r="R23" s="4"/>
      <c r="S23" s="4"/>
      <c r="T23" s="4"/>
      <c r="U23" s="4"/>
      <c r="V23" s="4"/>
      <c r="W23" s="4"/>
      <c r="X23" s="4"/>
      <c r="Y23" s="45" t="s">
        <v>93</v>
      </c>
      <c r="Z23" s="48">
        <f>U33</f>
        <v>-75.56510861</v>
      </c>
      <c r="AA23" s="4" t="s">
        <v>76</v>
      </c>
      <c r="AB23" s="49">
        <f>Z23/Z24</f>
        <v>-12.59418477</v>
      </c>
      <c r="AC23" s="4"/>
      <c r="AD23" s="53">
        <v>2.0</v>
      </c>
      <c r="AE23" s="54">
        <v>1.5</v>
      </c>
      <c r="AF23" s="4"/>
      <c r="AG23" s="4"/>
      <c r="AH23" s="4"/>
      <c r="AI23" s="4"/>
      <c r="AJ23" s="4"/>
      <c r="AK23" s="4"/>
      <c r="AL23" s="4"/>
      <c r="AM23" s="45" t="s">
        <v>94</v>
      </c>
      <c r="AN23" s="48">
        <f>AI33</f>
        <v>18.06602991</v>
      </c>
      <c r="AO23" s="4" t="s">
        <v>76</v>
      </c>
      <c r="AP23" s="49">
        <f>AN23/AN24</f>
        <v>3.011004985</v>
      </c>
      <c r="AQ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1">
        <f>C14</f>
        <v>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1">
        <f>Q14</f>
        <v>6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51">
        <f>AE14</f>
        <v>6</v>
      </c>
      <c r="AO24" s="4"/>
      <c r="AP24" s="4"/>
      <c r="AQ24" s="4"/>
    </row>
    <row r="25" ht="14.25" customHeight="1">
      <c r="A25" s="4"/>
      <c r="B25" s="45" t="s">
        <v>95</v>
      </c>
      <c r="C25" s="46" t="str">
        <f>CONCATENATE("1743.811*",ROUND(C4,2),"^1.852*",ROUND(D11,2))</f>
        <v>1743.811*2,35^1.852*133,9</v>
      </c>
      <c r="D25" s="9"/>
      <c r="E25" s="9"/>
      <c r="F25" s="4" t="s">
        <v>76</v>
      </c>
      <c r="G25" s="55">
        <f>(1743.811*C4^1.852*D11)/(C12^1.852*B23^4.87)</f>
        <v>4.119575531</v>
      </c>
      <c r="H25" s="4"/>
      <c r="I25" s="4"/>
      <c r="J25" s="4"/>
      <c r="K25" s="4"/>
      <c r="L25" s="4"/>
      <c r="M25" s="4"/>
      <c r="N25" s="4"/>
      <c r="O25" s="4"/>
      <c r="P25" s="45" t="s">
        <v>96</v>
      </c>
      <c r="Q25" s="46" t="str">
        <f>CONCATENATE("1743.811*",ROUND(Q4,2),"^1.852*",ROUND(R11,2))</f>
        <v>1743.811*8,21^1.852*247,2</v>
      </c>
      <c r="R25" s="9"/>
      <c r="S25" s="9"/>
      <c r="T25" s="4" t="s">
        <v>76</v>
      </c>
      <c r="U25" s="55">
        <f>(1743.811*Q4^1.852*R11)/(Q12^1.852*P23^4.87)</f>
        <v>77.13761472</v>
      </c>
      <c r="V25" s="4"/>
      <c r="W25" s="4"/>
      <c r="X25" s="4"/>
      <c r="Y25" s="4"/>
      <c r="Z25" s="4"/>
      <c r="AA25" s="4"/>
      <c r="AB25" s="4"/>
      <c r="AC25" s="4"/>
      <c r="AD25" s="45" t="s">
        <v>97</v>
      </c>
      <c r="AE25" s="46" t="str">
        <f>CONCATENATE("1743.811*",ROUND(AE4,2),"^1.852*",ROUND(AF11,2))</f>
        <v>1743.811*2,35^1.852*133,9</v>
      </c>
      <c r="AF25" s="9"/>
      <c r="AG25" s="9"/>
      <c r="AH25" s="4" t="s">
        <v>76</v>
      </c>
      <c r="AI25" s="55">
        <f>(1743.811*AE4^1.852*AF11)/(AE12^1.852*AD23^4.87)</f>
        <v>4.119575531</v>
      </c>
      <c r="AJ25" s="4"/>
      <c r="AK25" s="4"/>
      <c r="AL25" s="4"/>
      <c r="AM25" s="4"/>
      <c r="AN25" s="4"/>
      <c r="AO25" s="4"/>
      <c r="AP25" s="4"/>
      <c r="AQ25" s="4"/>
    </row>
    <row r="26" ht="14.25" customHeight="1">
      <c r="A26" s="4"/>
      <c r="B26" s="4"/>
      <c r="C26" s="50" t="str">
        <f>CONCATENATE( ROUND(C12, 2), "^1.852*", ROUND(B23, 2), "^4.87")</f>
        <v>140^1.852*2^4.87</v>
      </c>
      <c r="D26" s="2"/>
      <c r="E26" s="2"/>
      <c r="F26" s="4"/>
      <c r="G26" s="4"/>
      <c r="H26" s="4"/>
      <c r="I26" s="4"/>
      <c r="J26" s="4"/>
      <c r="K26" s="45" t="s">
        <v>98</v>
      </c>
      <c r="L26" s="52" t="str">
        <f>CONCATENATE(ROUND(L24,2),"*",ROUND(N23,0))</f>
        <v>6*3</v>
      </c>
      <c r="M26" s="4" t="s">
        <v>76</v>
      </c>
      <c r="N26" s="49">
        <f>L24*ROUND(N23,0)</f>
        <v>18</v>
      </c>
      <c r="O26" s="4"/>
      <c r="P26" s="4"/>
      <c r="Q26" s="50" t="str">
        <f>CONCATENATE( ROUND(Q12, 2), "^1.852*", ROUND(P23, 2), "^4.83")</f>
        <v>140^1.852*2^4.83</v>
      </c>
      <c r="R26" s="2"/>
      <c r="S26" s="2"/>
      <c r="T26" s="4"/>
      <c r="U26" s="4"/>
      <c r="V26" s="4"/>
      <c r="W26" s="4"/>
      <c r="X26" s="4"/>
      <c r="Y26" s="45" t="s">
        <v>99</v>
      </c>
      <c r="Z26" s="52" t="str">
        <f>CONCATENATE(ROUND(Z24,2),"*",ROUND(AB23,0))</f>
        <v>6*-13</v>
      </c>
      <c r="AA26" s="4" t="s">
        <v>76</v>
      </c>
      <c r="AB26" s="56">
        <v>9.49</v>
      </c>
      <c r="AC26" s="4"/>
      <c r="AD26" s="4"/>
      <c r="AE26" s="50" t="str">
        <f>CONCATENATE( ROUND(AE12, 2), "^1.852*", ROUND(AD23, 2), "^4.83")</f>
        <v>140^1.852*2^4.83</v>
      </c>
      <c r="AF26" s="2"/>
      <c r="AG26" s="2"/>
      <c r="AH26" s="4"/>
      <c r="AI26" s="4"/>
      <c r="AJ26" s="4"/>
      <c r="AK26" s="4"/>
      <c r="AL26" s="4"/>
      <c r="AM26" s="45" t="s">
        <v>100</v>
      </c>
      <c r="AN26" s="52" t="str">
        <f>CONCATENATE(ROUND(AN24,2),"*",ROUND(AP23,0))</f>
        <v>6*3</v>
      </c>
      <c r="AO26" s="4" t="s">
        <v>76</v>
      </c>
      <c r="AP26" s="49">
        <v>9.6</v>
      </c>
      <c r="AQ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ht="14.25" customHeight="1">
      <c r="A28" s="4"/>
      <c r="B28" s="45" t="s">
        <v>101</v>
      </c>
      <c r="C28" s="46" t="str">
        <f>CONCATENATE("1743.811*",ROUND(C4,2),"^1.852*",ROUND(D11,2))</f>
        <v>1743.811*2,35^1.852*133,9</v>
      </c>
      <c r="D28" s="9"/>
      <c r="E28" s="9"/>
      <c r="F28" s="4" t="s">
        <v>76</v>
      </c>
      <c r="G28" s="55">
        <f>(1743.811*C4^1.852*D11)/(C12^1.852*C23^4.87)</f>
        <v>16.72261215</v>
      </c>
      <c r="H28" s="4"/>
      <c r="I28" s="11" t="s">
        <v>102</v>
      </c>
      <c r="J28" s="12"/>
      <c r="K28" s="12"/>
      <c r="L28" s="12"/>
      <c r="M28" s="12"/>
      <c r="N28" s="13"/>
      <c r="O28" s="4"/>
      <c r="P28" s="45" t="s">
        <v>103</v>
      </c>
      <c r="Q28" s="46" t="str">
        <f>CONCATENATE("1743.811*",ROUND(Q4,2),"^1.852*",ROUND(R11,2))</f>
        <v>1743.811*8,21^1.852*247,2</v>
      </c>
      <c r="R28" s="9"/>
      <c r="S28" s="9"/>
      <c r="T28" s="4" t="s">
        <v>76</v>
      </c>
      <c r="U28" s="55">
        <f>(1743.811*Q4^1.852*R11)/(Q12^1.852*Q23^4.87)</f>
        <v>313.1250789</v>
      </c>
      <c r="V28" s="4"/>
      <c r="W28" s="11" t="s">
        <v>102</v>
      </c>
      <c r="X28" s="12"/>
      <c r="Y28" s="12"/>
      <c r="Z28" s="12"/>
      <c r="AA28" s="12"/>
      <c r="AB28" s="13"/>
      <c r="AC28" s="4"/>
      <c r="AD28" s="45" t="s">
        <v>104</v>
      </c>
      <c r="AE28" s="46" t="str">
        <f>CONCATENATE("1743.811*",ROUND(AE4,2),"^1.852*",ROUND(AF11,2))</f>
        <v>1743.811*2,35^1.852*133,9</v>
      </c>
      <c r="AF28" s="9"/>
      <c r="AG28" s="9"/>
      <c r="AH28" s="4" t="s">
        <v>76</v>
      </c>
      <c r="AI28" s="55">
        <f>(1743.811*AE4^1.852*AF11)/(AE12^1.852*AE23^4.87)</f>
        <v>16.72261215</v>
      </c>
      <c r="AJ28" s="4"/>
      <c r="AK28" s="11" t="s">
        <v>102</v>
      </c>
      <c r="AL28" s="12"/>
      <c r="AM28" s="12"/>
      <c r="AN28" s="12"/>
      <c r="AO28" s="12"/>
      <c r="AP28" s="13"/>
      <c r="AQ28" s="4"/>
    </row>
    <row r="29" ht="14.25" customHeight="1">
      <c r="A29" s="4"/>
      <c r="B29" s="4"/>
      <c r="C29" s="50" t="str">
        <f>CONCATENATE( ROUND(C12, 2), "^1.852*", ROUND(C23, 2), "^4.87")</f>
        <v>140^1.852*1,5^4.87</v>
      </c>
      <c r="D29" s="2"/>
      <c r="E29" s="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0" t="str">
        <f>CONCATENATE( ROUND(Q12, 2), "^1.852*", ROUND(Q23, 2), "^4.83")</f>
        <v>140^1.852*1,5^4.83</v>
      </c>
      <c r="R29" s="2"/>
      <c r="S29" s="2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50" t="str">
        <f>CONCATENATE( ROUND(AE12, 2), "^1.852*", ROUND(AE23, 2), "^4.83")</f>
        <v>140^1.852*1,5^4.83</v>
      </c>
      <c r="AF29" s="2"/>
      <c r="AG29" s="2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5" t="s">
        <v>105</v>
      </c>
      <c r="J30" s="46" t="str">
        <f>CONCATENATE("1743.811*",ROUND(C4,2),"^1.852*",ROUND(N21,2))</f>
        <v>1743.811*2,35^1.852*114</v>
      </c>
      <c r="K30" s="9"/>
      <c r="L30" s="9"/>
      <c r="M30" s="4" t="s">
        <v>76</v>
      </c>
      <c r="N30" s="55">
        <f>(1743.811*C4^1.852*N21)/(C12^1.852*B23^4.87)</f>
        <v>3.507330922</v>
      </c>
      <c r="O30" s="4"/>
      <c r="P30" s="4"/>
      <c r="Q30" s="4"/>
      <c r="R30" s="4"/>
      <c r="S30" s="4"/>
      <c r="T30" s="4"/>
      <c r="U30" s="4"/>
      <c r="V30" s="4"/>
      <c r="W30" s="45" t="s">
        <v>106</v>
      </c>
      <c r="X30" s="46" t="str">
        <f>CONCATENATE("1743.811*",ROUND(Q4,2),"^1.852*",ROUND(AB21,2))</f>
        <v>1743.811*8,21^1.852*324</v>
      </c>
      <c r="Y30" s="9"/>
      <c r="Z30" s="9"/>
      <c r="AA30" s="4" t="s">
        <v>76</v>
      </c>
      <c r="AB30" s="55">
        <f>(1743.811*Q4^1.852*AB21)/(Q12^1.852*P23^4.87)</f>
        <v>101.1026989</v>
      </c>
      <c r="AC30" s="4"/>
      <c r="AD30" s="4"/>
      <c r="AE30" s="4"/>
      <c r="AF30" s="4"/>
      <c r="AG30" s="4"/>
      <c r="AH30" s="4"/>
      <c r="AI30" s="4"/>
      <c r="AJ30" s="4"/>
      <c r="AK30" s="45" t="s">
        <v>107</v>
      </c>
      <c r="AL30" s="46" t="str">
        <f>CONCATENATE("1743.811*",ROUND(AE4,2),"^1.852*",ROUND(AP21,2))</f>
        <v>1743.811*2,35^1.852*114</v>
      </c>
      <c r="AM30" s="9"/>
      <c r="AN30" s="9"/>
      <c r="AO30" s="4" t="s">
        <v>76</v>
      </c>
      <c r="AP30" s="55">
        <f>(1743.811*AE4^1.852*AP21)/(AE12^1.852*AD23^4.87)</f>
        <v>3.507330922</v>
      </c>
      <c r="AQ30" s="4"/>
    </row>
    <row r="31" ht="14.25" customHeight="1">
      <c r="A31" s="4"/>
      <c r="B31" s="11" t="s">
        <v>108</v>
      </c>
      <c r="C31" s="12"/>
      <c r="D31" s="12"/>
      <c r="E31" s="12"/>
      <c r="F31" s="12"/>
      <c r="G31" s="13"/>
      <c r="H31" s="4"/>
      <c r="I31" s="4"/>
      <c r="J31" s="50" t="str">
        <f>CONCATENATE( ROUND(C12, 2), "^1.852*", ROUND(B23, 2), "^4.83")</f>
        <v>140^1.852*2^4.83</v>
      </c>
      <c r="K31" s="2"/>
      <c r="L31" s="2"/>
      <c r="M31" s="4"/>
      <c r="N31" s="4"/>
      <c r="O31" s="4"/>
      <c r="P31" s="11" t="s">
        <v>108</v>
      </c>
      <c r="Q31" s="12"/>
      <c r="R31" s="12"/>
      <c r="S31" s="12"/>
      <c r="T31" s="12"/>
      <c r="U31" s="13"/>
      <c r="V31" s="4"/>
      <c r="W31" s="4"/>
      <c r="X31" s="50" t="str">
        <f>CONCATENATE( ROUND(Q12, 2), "^1.852*", ROUND(P23, 2), "^4.83")</f>
        <v>140^1.852*2^4.83</v>
      </c>
      <c r="Y31" s="2"/>
      <c r="Z31" s="2"/>
      <c r="AA31" s="4"/>
      <c r="AB31" s="4"/>
      <c r="AC31" s="4"/>
      <c r="AD31" s="11" t="s">
        <v>108</v>
      </c>
      <c r="AE31" s="12"/>
      <c r="AF31" s="12"/>
      <c r="AG31" s="12"/>
      <c r="AH31" s="12"/>
      <c r="AI31" s="13"/>
      <c r="AJ31" s="4"/>
      <c r="AK31" s="4"/>
      <c r="AL31" s="50" t="str">
        <f>CONCATENATE( ROUND(AE12, 2), "^1.852*", ROUND(AD23, 2), "^4.83")</f>
        <v>140^1.852*2^4.83</v>
      </c>
      <c r="AM31" s="2"/>
      <c r="AN31" s="2"/>
      <c r="AO31" s="4"/>
      <c r="AP31" s="4"/>
      <c r="AQ31" s="4"/>
    </row>
    <row r="32" ht="14.25" customHeight="1">
      <c r="A32" s="4"/>
      <c r="B32" s="4"/>
      <c r="C32" s="4"/>
      <c r="D32" s="4"/>
      <c r="E32" s="4"/>
      <c r="F32" s="4"/>
      <c r="G32" s="5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7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57"/>
      <c r="AJ32" s="4"/>
      <c r="AK32" s="4"/>
      <c r="AL32" s="4"/>
      <c r="AM32" s="4"/>
      <c r="AN32" s="4"/>
      <c r="AO32" s="4"/>
      <c r="AP32" s="4"/>
      <c r="AQ32" s="4"/>
    </row>
    <row r="33" ht="14.25" customHeight="1">
      <c r="A33" s="4"/>
      <c r="B33" s="45" t="s">
        <v>109</v>
      </c>
      <c r="C33" s="46" t="str">
        <f>CONCATENATE(ROUND(D11,2),"(",ROUND(C13,2),"-",ROUND(G25,2),")")</f>
        <v>133,9(5,82-4,12)</v>
      </c>
      <c r="D33" s="9"/>
      <c r="E33" s="9"/>
      <c r="F33" s="4" t="s">
        <v>76</v>
      </c>
      <c r="G33" s="58">
        <f>(D11*(C13-G25))/(G28-G25)</f>
        <v>18.06602991</v>
      </c>
      <c r="H33" s="4"/>
      <c r="I33" s="45" t="s">
        <v>110</v>
      </c>
      <c r="J33" s="46" t="str">
        <f>CONCATENATE("1743.811*",ROUND(C4,2),"^1.852*",ROUND(N26,2))</f>
        <v>1743.811*2,35^1.852*18</v>
      </c>
      <c r="K33" s="9"/>
      <c r="L33" s="9"/>
      <c r="M33" s="4" t="s">
        <v>76</v>
      </c>
      <c r="N33" s="55">
        <f>(1743.811*C4^1.852*N26)/(C12^1.852*C23^4.87)</f>
        <v>2.247998646</v>
      </c>
      <c r="O33" s="4"/>
      <c r="P33" s="45" t="s">
        <v>111</v>
      </c>
      <c r="Q33" s="46" t="str">
        <f>CONCATENATE(ROUND(R11,2),"(",ROUND(Q13,2),"-",ROUND(U25,2),")")</f>
        <v>247,2(5-77,14)</v>
      </c>
      <c r="R33" s="9"/>
      <c r="S33" s="9"/>
      <c r="T33" s="4" t="s">
        <v>76</v>
      </c>
      <c r="U33" s="58">
        <f>(R11*(Q13-U25))/(U28-U25)</f>
        <v>-75.56510861</v>
      </c>
      <c r="V33" s="4"/>
      <c r="W33" s="45" t="s">
        <v>112</v>
      </c>
      <c r="X33" s="46" t="str">
        <f>CONCATENATE("1743.811*",ROUND(Q4,2),"^1.852*",ROUND(AB26,2))</f>
        <v>1743.811*8,21^1.852*9,49</v>
      </c>
      <c r="Y33" s="9"/>
      <c r="Z33" s="9"/>
      <c r="AA33" s="4" t="s">
        <v>76</v>
      </c>
      <c r="AB33" s="59">
        <f>(1743.811*Q4^1.852*AB26)/(Q12^1.852*Q23^4.87)</f>
        <v>12.02086164</v>
      </c>
      <c r="AC33" s="4"/>
      <c r="AD33" s="45" t="s">
        <v>113</v>
      </c>
      <c r="AE33" s="46" t="str">
        <f>CONCATENATE(ROUND(AF11,2),"(",ROUND(AE13,2),"-",ROUND(AI25,2),")")</f>
        <v>133,9(5,82-4,12)</v>
      </c>
      <c r="AF33" s="9"/>
      <c r="AG33" s="9"/>
      <c r="AH33" s="4" t="s">
        <v>76</v>
      </c>
      <c r="AI33" s="58">
        <f>(AF11*(AE13-AI25))/(AI28-AI25)</f>
        <v>18.06602991</v>
      </c>
      <c r="AJ33" s="4"/>
      <c r="AK33" s="45" t="s">
        <v>114</v>
      </c>
      <c r="AL33" s="46" t="str">
        <f>CONCATENATE("1743.811*",ROUND(AE4,2),"^1.852*",ROUND(AP26,2))</f>
        <v>1743.811*2,35^1.852*9,6</v>
      </c>
      <c r="AM33" s="9"/>
      <c r="AN33" s="9"/>
      <c r="AO33" s="4" t="s">
        <v>76</v>
      </c>
      <c r="AP33" s="55">
        <f>(1743.811*AE4^1.852*AP26)/(AE12^1.852*AE23^4.87)</f>
        <v>1.198932611</v>
      </c>
      <c r="AQ33" s="4"/>
    </row>
    <row r="34" ht="14.25" customHeight="1">
      <c r="A34" s="4"/>
      <c r="B34" s="4"/>
      <c r="C34" s="4" t="str">
        <f>CONCATENATE(ROUND(G28,2),"-",ROUND(G25,2))</f>
        <v>16,72-4,12</v>
      </c>
      <c r="F34" s="4"/>
      <c r="G34" s="4"/>
      <c r="H34" s="4"/>
      <c r="I34" s="4"/>
      <c r="J34" s="50" t="str">
        <f>CONCATENATE( ROUND(C12, 2), "^1.852*", ROUND(C23, 2), "^4.83")</f>
        <v>140^1.852*1,5^4.83</v>
      </c>
      <c r="K34" s="2"/>
      <c r="L34" s="2"/>
      <c r="M34" s="4"/>
      <c r="N34" s="4"/>
      <c r="O34" s="4"/>
      <c r="P34" s="4"/>
      <c r="Q34" s="4" t="str">
        <f>CONCATENATE(ROUND(U28,2),"-",ROUND(U25,2))</f>
        <v>313,13-77,14</v>
      </c>
      <c r="T34" s="4"/>
      <c r="U34" s="4"/>
      <c r="V34" s="4"/>
      <c r="W34" s="4"/>
      <c r="X34" s="50" t="str">
        <f>CONCATENATE( ROUND(Q12, 2), "^1.852*", ROUND(Q23, 2), "^4.83")</f>
        <v>140^1.852*1,5^4.83</v>
      </c>
      <c r="Y34" s="2"/>
      <c r="Z34" s="2"/>
      <c r="AA34" s="4"/>
      <c r="AB34" s="4"/>
      <c r="AC34" s="4"/>
      <c r="AD34" s="4"/>
      <c r="AE34" s="4" t="str">
        <f>CONCATENATE(ROUND(AI28,2),"-",ROUND(AI25,2))</f>
        <v>16,72-4,12</v>
      </c>
      <c r="AH34" s="4"/>
      <c r="AI34" s="4"/>
      <c r="AJ34" s="4"/>
      <c r="AK34" s="4"/>
      <c r="AL34" s="50" t="str">
        <f>CONCATENATE( ROUND(AE12, 2), "^1.852*", ROUND(AE23, 2), "^4.83")</f>
        <v>140^1.852*1,5^4.83</v>
      </c>
      <c r="AM34" s="2"/>
      <c r="AN34" s="2"/>
      <c r="AO34" s="4"/>
      <c r="AP34" s="4"/>
      <c r="AQ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4.25" customHeight="1">
      <c r="A36" s="4"/>
      <c r="B36" s="45" t="s">
        <v>115</v>
      </c>
      <c r="D36" s="4" t="str">
        <f>CONCATENATE(ROUND(D11,2),"-",ROUND(G33,2))</f>
        <v>133,9-18,07</v>
      </c>
      <c r="F36" s="4" t="s">
        <v>76</v>
      </c>
      <c r="G36" s="55">
        <f>D11-G33</f>
        <v>115.8339701</v>
      </c>
      <c r="H36" s="4"/>
      <c r="I36" s="4"/>
      <c r="J36" s="4"/>
      <c r="K36" s="4"/>
      <c r="L36" s="4"/>
      <c r="M36" s="4"/>
      <c r="N36" s="4"/>
      <c r="O36" s="4"/>
      <c r="P36" s="45" t="s">
        <v>116</v>
      </c>
      <c r="R36" s="4" t="str">
        <f>CONCATENATE(ROUND(R11,2),"-",ROUND(U33,2))</f>
        <v>247,2--75,57</v>
      </c>
      <c r="T36" s="4" t="s">
        <v>76</v>
      </c>
      <c r="U36" s="55">
        <f>R11-U33</f>
        <v>322.7651086</v>
      </c>
      <c r="V36" s="4"/>
      <c r="W36" s="4"/>
      <c r="X36" s="4"/>
      <c r="Y36" s="4"/>
      <c r="Z36" s="4"/>
      <c r="AA36" s="4"/>
      <c r="AB36" s="4"/>
      <c r="AC36" s="4"/>
      <c r="AD36" s="45" t="s">
        <v>117</v>
      </c>
      <c r="AF36" s="4" t="str">
        <f>CONCATENATE(ROUND(AF11,2),"-",ROUND(AI33,2))</f>
        <v>133,9-18,07</v>
      </c>
      <c r="AH36" s="4" t="s">
        <v>76</v>
      </c>
      <c r="AI36" s="55">
        <f>AF11-AI33</f>
        <v>115.8339701</v>
      </c>
      <c r="AJ36" s="4"/>
      <c r="AK36" s="4"/>
      <c r="AL36" s="4"/>
      <c r="AM36" s="4"/>
      <c r="AN36" s="4"/>
      <c r="AO36" s="4"/>
      <c r="AP36" s="4"/>
      <c r="AQ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ht="14.25" customHeight="1">
      <c r="A39" s="4"/>
      <c r="B39" s="16" t="s">
        <v>118</v>
      </c>
      <c r="C39" s="12"/>
      <c r="D39" s="12"/>
      <c r="E39" s="12"/>
      <c r="F39" s="12"/>
      <c r="G39" s="13"/>
      <c r="H39" s="4"/>
      <c r="I39" s="4"/>
      <c r="J39" s="4"/>
      <c r="K39" s="4"/>
      <c r="L39" s="4"/>
      <c r="M39" s="4"/>
      <c r="N39" s="4"/>
      <c r="O39" s="4"/>
      <c r="P39" s="16" t="s">
        <v>118</v>
      </c>
      <c r="Q39" s="12"/>
      <c r="R39" s="12"/>
      <c r="S39" s="12"/>
      <c r="T39" s="12"/>
      <c r="U39" s="13"/>
      <c r="V39" s="4"/>
      <c r="W39" s="4"/>
      <c r="X39" s="4"/>
      <c r="Y39" s="4"/>
      <c r="Z39" s="4"/>
      <c r="AA39" s="4"/>
      <c r="AB39" s="4"/>
      <c r="AC39" s="4"/>
      <c r="AD39" s="16" t="s">
        <v>118</v>
      </c>
      <c r="AE39" s="12"/>
      <c r="AF39" s="12"/>
      <c r="AG39" s="12"/>
      <c r="AH39" s="12"/>
      <c r="AI39" s="13"/>
      <c r="AJ39" s="4"/>
      <c r="AK39" s="4"/>
      <c r="AL39" s="4"/>
      <c r="AM39" s="4"/>
      <c r="AN39" s="4"/>
      <c r="AO39" s="4"/>
      <c r="AP39" s="4"/>
      <c r="AQ39" s="4"/>
    </row>
    <row r="40" ht="14.25" customHeight="1">
      <c r="A40" s="4"/>
      <c r="B40" s="16" t="s">
        <v>119</v>
      </c>
      <c r="C40" s="13"/>
      <c r="D40" s="16" t="s">
        <v>120</v>
      </c>
      <c r="E40" s="13"/>
      <c r="F40" s="16" t="s">
        <v>121</v>
      </c>
      <c r="G40" s="13"/>
      <c r="H40" s="4"/>
      <c r="I40" s="4"/>
      <c r="J40" s="4"/>
      <c r="K40" s="4"/>
      <c r="L40" s="4"/>
      <c r="M40" s="4"/>
      <c r="N40" s="4"/>
      <c r="O40" s="4"/>
      <c r="P40" s="16" t="s">
        <v>119</v>
      </c>
      <c r="Q40" s="13"/>
      <c r="R40" s="16" t="s">
        <v>120</v>
      </c>
      <c r="S40" s="13"/>
      <c r="T40" s="16" t="s">
        <v>121</v>
      </c>
      <c r="U40" s="13"/>
      <c r="V40" s="4"/>
      <c r="W40" s="4"/>
      <c r="X40" s="4"/>
      <c r="Y40" s="4"/>
      <c r="Z40" s="4"/>
      <c r="AA40" s="4"/>
      <c r="AB40" s="4"/>
      <c r="AC40" s="4"/>
      <c r="AD40" s="16" t="s">
        <v>119</v>
      </c>
      <c r="AE40" s="13"/>
      <c r="AF40" s="16" t="s">
        <v>120</v>
      </c>
      <c r="AG40" s="13"/>
      <c r="AH40" s="16" t="s">
        <v>121</v>
      </c>
      <c r="AI40" s="13"/>
      <c r="AJ40" s="4"/>
      <c r="AK40" s="4"/>
      <c r="AL40" s="4"/>
      <c r="AM40" s="4"/>
      <c r="AN40" s="4"/>
      <c r="AO40" s="4"/>
      <c r="AP40" s="4"/>
      <c r="AQ40" s="4"/>
    </row>
    <row r="41" ht="14.25" customHeight="1">
      <c r="A41" s="4"/>
      <c r="B41" s="40">
        <f>D5</f>
        <v>0</v>
      </c>
      <c r="C41" s="40">
        <f t="shared" ref="C41:D41" si="3">C5</f>
        <v>117.75</v>
      </c>
      <c r="D41" s="40">
        <f t="shared" si="3"/>
        <v>0</v>
      </c>
      <c r="E41" s="40">
        <f>C5</f>
        <v>117.75</v>
      </c>
      <c r="F41" s="60">
        <f>F6/1.03</f>
        <v>110.6796117</v>
      </c>
      <c r="G41" s="40">
        <f>C7-F7</f>
        <v>113.6304245</v>
      </c>
      <c r="H41" s="4"/>
      <c r="I41" s="4"/>
      <c r="J41" s="4"/>
      <c r="K41" s="4"/>
      <c r="L41" s="4"/>
      <c r="M41" s="4"/>
      <c r="N41" s="4"/>
      <c r="O41" s="4"/>
      <c r="P41" s="40">
        <f>R5</f>
        <v>0</v>
      </c>
      <c r="Q41" s="40">
        <f t="shared" ref="Q41:R41" si="4">Q5</f>
        <v>124.38</v>
      </c>
      <c r="R41" s="40">
        <f t="shared" si="4"/>
        <v>0</v>
      </c>
      <c r="S41" s="40">
        <f>Q5</f>
        <v>124.38</v>
      </c>
      <c r="T41" s="60">
        <f>T6/1.03</f>
        <v>314.5631068</v>
      </c>
      <c r="U41" s="40">
        <f>Q7-T7</f>
        <v>23.27730109</v>
      </c>
      <c r="V41" s="4"/>
      <c r="W41" s="4"/>
      <c r="X41" s="4"/>
      <c r="Y41" s="4"/>
      <c r="Z41" s="4"/>
      <c r="AA41" s="4"/>
      <c r="AB41" s="4"/>
      <c r="AC41" s="4"/>
      <c r="AD41" s="40">
        <f>AF5</f>
        <v>0</v>
      </c>
      <c r="AE41" s="40">
        <f t="shared" ref="AE41:AF41" si="5">AE5</f>
        <v>117.75</v>
      </c>
      <c r="AF41" s="40">
        <f t="shared" si="5"/>
        <v>0</v>
      </c>
      <c r="AG41" s="40">
        <f>AE5</f>
        <v>117.75</v>
      </c>
      <c r="AH41" s="60">
        <f>AH6/1.03</f>
        <v>110.6796117</v>
      </c>
      <c r="AI41" s="40">
        <f>AE7-AH7</f>
        <v>114.2426691</v>
      </c>
      <c r="AJ41" s="4"/>
      <c r="AK41" s="4"/>
      <c r="AL41" s="4"/>
      <c r="AM41" s="4"/>
      <c r="AN41" s="4"/>
      <c r="AO41" s="4"/>
      <c r="AP41" s="4"/>
      <c r="AQ41" s="4"/>
    </row>
    <row r="42" ht="14.25" customHeight="1">
      <c r="A42" s="4"/>
      <c r="B42" s="40">
        <f>C11</f>
        <v>130</v>
      </c>
      <c r="C42" s="40">
        <f>C8</f>
        <v>111.93</v>
      </c>
      <c r="D42" s="40">
        <f>D5</f>
        <v>0</v>
      </c>
      <c r="E42" s="40">
        <f>C7</f>
        <v>117.75</v>
      </c>
      <c r="F42" s="60">
        <f>C11</f>
        <v>130</v>
      </c>
      <c r="G42" s="40">
        <f>G41-F10</f>
        <v>113.6304245</v>
      </c>
      <c r="H42" s="4"/>
      <c r="I42" s="4"/>
      <c r="J42" s="4"/>
      <c r="K42" s="4"/>
      <c r="L42" s="4"/>
      <c r="M42" s="4"/>
      <c r="N42" s="4"/>
      <c r="O42" s="4"/>
      <c r="P42" s="40">
        <f>Q11</f>
        <v>240</v>
      </c>
      <c r="Q42" s="40">
        <f>Q8</f>
        <v>98.3</v>
      </c>
      <c r="R42" s="40">
        <f>R5</f>
        <v>0</v>
      </c>
      <c r="S42" s="40">
        <f>Q7</f>
        <v>124.38</v>
      </c>
      <c r="T42" s="60">
        <f>Q11</f>
        <v>240</v>
      </c>
      <c r="U42" s="40">
        <f>U41-T10</f>
        <v>11.25643945</v>
      </c>
      <c r="V42" s="4"/>
      <c r="W42" s="4"/>
      <c r="X42" s="4"/>
      <c r="Y42" s="4"/>
      <c r="Z42" s="4"/>
      <c r="AA42" s="4"/>
      <c r="AB42" s="4"/>
      <c r="AC42" s="4"/>
      <c r="AD42" s="40">
        <f>AE11</f>
        <v>130</v>
      </c>
      <c r="AE42" s="40">
        <f>AE8</f>
        <v>111.93</v>
      </c>
      <c r="AF42" s="40">
        <f>AF5</f>
        <v>0</v>
      </c>
      <c r="AG42" s="40">
        <f>AE7</f>
        <v>117.75</v>
      </c>
      <c r="AH42" s="60">
        <f>AE11</f>
        <v>130</v>
      </c>
      <c r="AI42" s="40">
        <f>AI41-AH10</f>
        <v>113.0437365</v>
      </c>
      <c r="AJ42" s="4"/>
      <c r="AK42" s="4"/>
      <c r="AL42" s="4"/>
      <c r="AM42" s="4"/>
      <c r="AN42" s="4"/>
      <c r="AO42" s="4"/>
      <c r="AP42" s="4"/>
      <c r="AQ42" s="4"/>
    </row>
    <row r="43" ht="14.25" customHeight="1">
      <c r="A43" s="4"/>
      <c r="B43" s="4"/>
      <c r="C43" s="4"/>
      <c r="D43" s="60">
        <f>F6/1.03</f>
        <v>110.6796117</v>
      </c>
      <c r="E43" s="40">
        <f>C7-F7</f>
        <v>113.6304245</v>
      </c>
      <c r="F43" s="40">
        <f>C11</f>
        <v>130</v>
      </c>
      <c r="G43" s="40">
        <f>C8</f>
        <v>111.93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60">
        <f>T6/1.03</f>
        <v>314.5631068</v>
      </c>
      <c r="S43" s="40">
        <f>Q7-T7</f>
        <v>23.27730109</v>
      </c>
      <c r="T43" s="40">
        <f>Q11</f>
        <v>240</v>
      </c>
      <c r="U43" s="40">
        <f>Q8</f>
        <v>98.3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60">
        <f>AH6/1.03</f>
        <v>110.6796117</v>
      </c>
      <c r="AG43" s="40">
        <f>AE7-AH7</f>
        <v>114.2426691</v>
      </c>
      <c r="AH43" s="40">
        <f>AE11</f>
        <v>130</v>
      </c>
      <c r="AI43" s="40">
        <f>AE8</f>
        <v>111.93</v>
      </c>
      <c r="AJ43" s="4"/>
      <c r="AK43" s="4"/>
      <c r="AL43" s="4"/>
      <c r="AM43" s="4"/>
      <c r="AN43" s="4"/>
      <c r="AO43" s="4"/>
      <c r="AP43" s="4"/>
      <c r="AQ43" s="4"/>
    </row>
    <row r="44" ht="14.25" customHeight="1">
      <c r="A44" s="4"/>
      <c r="B44" s="4"/>
      <c r="C44" s="4"/>
      <c r="D44" s="40">
        <f>F6/1.03</f>
        <v>110.6796117</v>
      </c>
      <c r="E44" s="40">
        <f>C8</f>
        <v>111.93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5">
        <f>T6/1.03</f>
        <v>314.5631068</v>
      </c>
      <c r="S44" s="40">
        <f>Q8</f>
        <v>98.3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60">
        <f>AH6/1.03</f>
        <v>110.6796117</v>
      </c>
      <c r="AG44" s="40">
        <f>AE8</f>
        <v>111.93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</sheetData>
  <mergeCells count="105">
    <mergeCell ref="T10:U10"/>
    <mergeCell ref="T11:U11"/>
    <mergeCell ref="T12:U12"/>
    <mergeCell ref="P16:U16"/>
    <mergeCell ref="W16:AB16"/>
    <mergeCell ref="Q18:S18"/>
    <mergeCell ref="P21:U21"/>
    <mergeCell ref="AH10:AI10"/>
    <mergeCell ref="AH11:AI11"/>
    <mergeCell ref="AH12:AI12"/>
    <mergeCell ref="AD16:AI16"/>
    <mergeCell ref="AK16:AP16"/>
    <mergeCell ref="AE18:AG18"/>
    <mergeCell ref="AD21:AI21"/>
    <mergeCell ref="B1:N1"/>
    <mergeCell ref="P1:AB1"/>
    <mergeCell ref="AD1:AP1"/>
    <mergeCell ref="B3:D3"/>
    <mergeCell ref="E3:G3"/>
    <mergeCell ref="P3:R3"/>
    <mergeCell ref="AH4:AI4"/>
    <mergeCell ref="S3:U3"/>
    <mergeCell ref="T4:U4"/>
    <mergeCell ref="T5:U5"/>
    <mergeCell ref="T6:U6"/>
    <mergeCell ref="T7:U7"/>
    <mergeCell ref="T8:U8"/>
    <mergeCell ref="T9:U9"/>
    <mergeCell ref="AD3:AF3"/>
    <mergeCell ref="AG3:AI3"/>
    <mergeCell ref="AH5:AI5"/>
    <mergeCell ref="AH6:AI6"/>
    <mergeCell ref="AH7:AI7"/>
    <mergeCell ref="AH8:AI8"/>
    <mergeCell ref="AH9:AI9"/>
    <mergeCell ref="F4:G4"/>
    <mergeCell ref="F5:G5"/>
    <mergeCell ref="F6:G6"/>
    <mergeCell ref="F7:G7"/>
    <mergeCell ref="F8:G8"/>
    <mergeCell ref="F9:G9"/>
    <mergeCell ref="F10:G10"/>
    <mergeCell ref="Q19:S19"/>
    <mergeCell ref="Q25:S25"/>
    <mergeCell ref="Q26:S26"/>
    <mergeCell ref="Q28:S28"/>
    <mergeCell ref="AE19:AG19"/>
    <mergeCell ref="AE25:AG25"/>
    <mergeCell ref="AE26:AG26"/>
    <mergeCell ref="AE28:AG28"/>
    <mergeCell ref="F11:G11"/>
    <mergeCell ref="F12:G12"/>
    <mergeCell ref="B16:G16"/>
    <mergeCell ref="I16:N16"/>
    <mergeCell ref="C18:E18"/>
    <mergeCell ref="C19:E19"/>
    <mergeCell ref="B21:G21"/>
    <mergeCell ref="J31:L31"/>
    <mergeCell ref="J33:L33"/>
    <mergeCell ref="C34:E34"/>
    <mergeCell ref="J34:L34"/>
    <mergeCell ref="B36:C36"/>
    <mergeCell ref="P36:Q36"/>
    <mergeCell ref="R36:S36"/>
    <mergeCell ref="D36:E36"/>
    <mergeCell ref="B39:G39"/>
    <mergeCell ref="P39:U39"/>
    <mergeCell ref="B40:C40"/>
    <mergeCell ref="D40:E40"/>
    <mergeCell ref="F40:G40"/>
    <mergeCell ref="T40:U40"/>
    <mergeCell ref="C25:E25"/>
    <mergeCell ref="C26:E26"/>
    <mergeCell ref="C28:E28"/>
    <mergeCell ref="I28:N28"/>
    <mergeCell ref="W28:AB28"/>
    <mergeCell ref="AK28:AP28"/>
    <mergeCell ref="C29:E29"/>
    <mergeCell ref="X30:Z30"/>
    <mergeCell ref="X31:Z31"/>
    <mergeCell ref="AL30:AN30"/>
    <mergeCell ref="AL31:AN31"/>
    <mergeCell ref="AL33:AN33"/>
    <mergeCell ref="AL34:AN34"/>
    <mergeCell ref="Q33:S33"/>
    <mergeCell ref="X33:Z33"/>
    <mergeCell ref="Q34:S34"/>
    <mergeCell ref="X34:Z34"/>
    <mergeCell ref="AE34:AG34"/>
    <mergeCell ref="AD36:AE36"/>
    <mergeCell ref="AF36:AG36"/>
    <mergeCell ref="Q29:S29"/>
    <mergeCell ref="AE29:AG29"/>
    <mergeCell ref="J30:L30"/>
    <mergeCell ref="B31:G31"/>
    <mergeCell ref="P31:U31"/>
    <mergeCell ref="AD31:AI31"/>
    <mergeCell ref="C33:E33"/>
    <mergeCell ref="AE33:AG33"/>
    <mergeCell ref="P40:Q40"/>
    <mergeCell ref="R40:S40"/>
    <mergeCell ref="AD39:AI39"/>
    <mergeCell ref="AD40:AE40"/>
    <mergeCell ref="AF40:AG40"/>
    <mergeCell ref="AH40:AI40"/>
  </mergeCells>
  <conditionalFormatting sqref="N21">
    <cfRule type="expression" dxfId="0" priority="1">
      <formula>F12&gt;C13+3</formula>
    </cfRule>
  </conditionalFormatting>
  <conditionalFormatting sqref="N26">
    <cfRule type="expression" dxfId="0" priority="2">
      <formula>F12&gt;C13+3</formula>
    </cfRule>
  </conditionalFormatting>
  <conditionalFormatting sqref="AB21">
    <cfRule type="expression" dxfId="0" priority="3">
      <formula>T12&gt;Q13+3</formula>
    </cfRule>
  </conditionalFormatting>
  <conditionalFormatting sqref="AB26">
    <cfRule type="expression" dxfId="0" priority="4">
      <formula>T12&gt;Q13+3</formula>
    </cfRule>
  </conditionalFormatting>
  <conditionalFormatting sqref="AP21">
    <cfRule type="expression" dxfId="0" priority="5">
      <formula>AH12&gt;AE13+3</formula>
    </cfRule>
  </conditionalFormatting>
  <conditionalFormatting sqref="AP26">
    <cfRule type="expression" dxfId="0" priority="6">
      <formula>AH12&gt;AE13+3</formula>
    </cfRule>
  </conditionalFormatting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92E0"/>
    <pageSetUpPr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4.88"/>
    <col customWidth="1" min="2" max="2" width="5.0"/>
    <col customWidth="1" min="3" max="3" width="5.13"/>
    <col customWidth="1" min="4" max="4" width="5.5"/>
    <col customWidth="1" min="5" max="5" width="6.13"/>
    <col customWidth="1" min="6" max="6" width="11.0"/>
    <col customWidth="1" min="7" max="7" width="14.88"/>
    <col customWidth="1" min="8" max="8" width="5.5"/>
    <col customWidth="1" min="9" max="9" width="4.5"/>
    <col customWidth="1" min="10" max="10" width="4.63"/>
    <col customWidth="1" min="11" max="11" width="11.5"/>
    <col customWidth="1" min="12" max="12" width="18.0"/>
    <col customWidth="1" min="13" max="26" width="11.5"/>
  </cols>
  <sheetData>
    <row r="1" ht="14.25" customHeight="1">
      <c r="A1" s="61" t="s">
        <v>122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62"/>
      <c r="N1" s="24" t="s">
        <v>123</v>
      </c>
      <c r="O1" s="13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4.25" customHeight="1">
      <c r="A2" s="63" t="s">
        <v>19</v>
      </c>
      <c r="B2" s="64" t="s">
        <v>124</v>
      </c>
      <c r="C2" s="64" t="s">
        <v>125</v>
      </c>
      <c r="D2" s="64" t="s">
        <v>126</v>
      </c>
      <c r="E2" s="64" t="s">
        <v>127</v>
      </c>
      <c r="F2" s="64" t="s">
        <v>128</v>
      </c>
      <c r="G2" s="63" t="s">
        <v>129</v>
      </c>
      <c r="H2" s="63" t="s">
        <v>130</v>
      </c>
      <c r="I2" s="63" t="s">
        <v>131</v>
      </c>
      <c r="J2" s="63" t="s">
        <v>132</v>
      </c>
      <c r="K2" s="63" t="s">
        <v>133</v>
      </c>
      <c r="L2" s="63" t="s">
        <v>134</v>
      </c>
      <c r="M2" s="62"/>
      <c r="N2" s="26" t="s">
        <v>135</v>
      </c>
      <c r="O2" s="26" t="s">
        <v>136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4.2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2"/>
      <c r="N3" s="66" t="str">
        <f>Datos!D14</f>
        <v>Gravedad</v>
      </c>
      <c r="O3" s="67">
        <f>SUM(G5:G14)*86.4*IF(Datos!D15="Máximo",IF(Datos!D14="Gravedad",40%,65%),IF(Datos!D14="Gravedad",25%,40%))</f>
        <v>231.644554</v>
      </c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4.2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4.25" customHeight="1">
      <c r="A5" s="69">
        <v>4.0</v>
      </c>
      <c r="B5" s="66">
        <v>92.0</v>
      </c>
      <c r="C5" s="66">
        <f>B5*Datos!$D$9</f>
        <v>460</v>
      </c>
      <c r="D5" s="70">
        <f>B5*Datos!$D$12</f>
        <v>149.6579984</v>
      </c>
      <c r="E5" s="70">
        <f>C5*Datos!$D$12</f>
        <v>748.2899918</v>
      </c>
      <c r="F5" s="71">
        <f>Datos!$D$7</f>
        <v>100</v>
      </c>
      <c r="G5" s="66">
        <f t="shared" ref="G5:G14" si="1">E5*F5/86400</f>
        <v>0.8660763794</v>
      </c>
      <c r="H5" s="72">
        <f t="shared" ref="H5:H14" si="2">G5*IF(SUM($E$5:$E$14)&lt;=1000,1.5,1.2)</f>
        <v>1.039291655</v>
      </c>
      <c r="I5" s="73">
        <v>2.6</v>
      </c>
      <c r="J5" s="73">
        <v>2.44</v>
      </c>
      <c r="K5" s="72">
        <f>MAX('L. Distribución'!I5:J5)</f>
        <v>2.6</v>
      </c>
      <c r="L5" s="74">
        <f t="array" ref="L5">IF(XLOOKUP(A5,Datos!B20:B29,Datos!A20:A29,"",0)="F",K5,K5+XLOOKUP(Datos!D20,'L. Distribución'!$A$5:$A$14,'L. Distribución'!$L$5:$L$14,0,0)+XLOOKUP(Datos!E20,'L. Distribución'!$A$5:$A$14,'L. Distribución'!$L$5:$L$14,0,0)+XLOOKUP(Datos!F20,'L. Distribución'!$A$5:$A$14,'L. Distribución'!$L$5:$L$14,0,0))</f>
        <v>2.6</v>
      </c>
      <c r="M5" s="29" t="s">
        <v>24</v>
      </c>
      <c r="N5" s="30"/>
      <c r="O5" s="30"/>
      <c r="P5" s="31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4.25" customHeight="1">
      <c r="A6" s="69">
        <v>5.0</v>
      </c>
      <c r="B6" s="66">
        <v>35.0</v>
      </c>
      <c r="C6" s="66">
        <f>B6*Datos!$D$9</f>
        <v>175</v>
      </c>
      <c r="D6" s="70">
        <f>B6*Datos!$D$12</f>
        <v>56.93510807</v>
      </c>
      <c r="E6" s="70">
        <f>C6*Datos!$D$12</f>
        <v>284.6755404</v>
      </c>
      <c r="F6" s="71">
        <f>Datos!$D$7</f>
        <v>100</v>
      </c>
      <c r="G6" s="66">
        <f t="shared" si="1"/>
        <v>0.3294855791</v>
      </c>
      <c r="H6" s="72">
        <f t="shared" si="2"/>
        <v>0.3953826949</v>
      </c>
      <c r="I6" s="73">
        <v>0.99</v>
      </c>
      <c r="J6" s="73">
        <v>1.53</v>
      </c>
      <c r="K6" s="72">
        <f>MAX('L. Distribución'!I6:J6)</f>
        <v>1.53</v>
      </c>
      <c r="L6" s="74">
        <f t="array" ref="L6">IF(XLOOKUP(A6,Datos!B21:B30,Datos!A21:A30,"",0)="F",K6,K6+XLOOKUP(Datos!D21,'L. Distribución'!$A$5:$A$14,'L. Distribución'!$L$5:$L$14,0,0)+XLOOKUP(Datos!E21,'L. Distribución'!$A$5:$A$14,'L. Distribución'!$L$5:$L$14,0,0)+XLOOKUP(Datos!F21,'L. Distribución'!$A$5:$A$14,'L. Distribución'!$L$5:$L$14,0,0))</f>
        <v>4.13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4.25" customHeight="1">
      <c r="A7" s="69">
        <v>6.0</v>
      </c>
      <c r="B7" s="66">
        <v>65.0</v>
      </c>
      <c r="C7" s="66">
        <f>B7*Datos!$D$9</f>
        <v>325</v>
      </c>
      <c r="D7" s="70">
        <f>B7*Datos!$D$12</f>
        <v>105.7366293</v>
      </c>
      <c r="E7" s="70">
        <f>C7*Datos!$D$12</f>
        <v>528.6831464</v>
      </c>
      <c r="F7" s="71">
        <f>Datos!$D$7</f>
        <v>100</v>
      </c>
      <c r="G7" s="66">
        <f t="shared" si="1"/>
        <v>0.6119017898</v>
      </c>
      <c r="H7" s="72">
        <f t="shared" si="2"/>
        <v>0.7342821477</v>
      </c>
      <c r="I7" s="73">
        <v>1.36</v>
      </c>
      <c r="J7" s="73">
        <v>2.07</v>
      </c>
      <c r="K7" s="72">
        <f>MAX('L. Distribución'!I7:J7)</f>
        <v>2.07</v>
      </c>
      <c r="L7" s="74">
        <f t="array" ref="L7">IF(XLOOKUP(A7,Datos!B22:B31,Datos!A22:A31,"",0)="F",K7,K7+XLOOKUP(Datos!D22,'L. Distribución'!$A$5:$A$14,'L. Distribución'!$L$5:$L$14,0,0)+XLOOKUP(Datos!E22,'L. Distribución'!$A$5:$A$14,'L. Distribución'!$L$5:$L$14,0,0)+XLOOKUP(Datos!F22,'L. Distribución'!$A$5:$A$14,'L. Distribución'!$L$5:$L$14,0,0))</f>
        <v>2.07</v>
      </c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4.25" customHeight="1">
      <c r="A8" s="69">
        <v>7.0</v>
      </c>
      <c r="B8" s="66">
        <v>64.0</v>
      </c>
      <c r="C8" s="66">
        <f>B8*Datos!$D$9</f>
        <v>320</v>
      </c>
      <c r="D8" s="70">
        <f>B8*Datos!$D$12</f>
        <v>104.1099119</v>
      </c>
      <c r="E8" s="70">
        <f>C8*Datos!$D$12</f>
        <v>520.5495595</v>
      </c>
      <c r="F8" s="71">
        <f>Datos!$D$7</f>
        <v>100</v>
      </c>
      <c r="G8" s="66">
        <f t="shared" si="1"/>
        <v>0.6024879161</v>
      </c>
      <c r="H8" s="72">
        <f t="shared" si="2"/>
        <v>0.7229854993</v>
      </c>
      <c r="I8" s="73">
        <v>2.19</v>
      </c>
      <c r="J8" s="73">
        <v>2.03</v>
      </c>
      <c r="K8" s="72">
        <f>MAX('L. Distribución'!I8:J8)</f>
        <v>2.19</v>
      </c>
      <c r="L8" s="74">
        <f t="array" ref="L8">IF(XLOOKUP(A8,Datos!B23:B32,Datos!A23:A32,"",0)="F",K8,K8+XLOOKUP(Datos!D23,'L. Distribución'!$A$5:$A$14,'L. Distribución'!$L$5:$L$14,0,0)+XLOOKUP(Datos!E23,'L. Distribución'!$A$5:$A$14,'L. Distribución'!$L$5:$L$14,0,0)+XLOOKUP(Datos!F23,'L. Distribución'!$A$5:$A$14,'L. Distribución'!$L$5:$L$14,0,0))</f>
        <v>4.26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4.25" customHeight="1">
      <c r="A9" s="69">
        <v>8.0</v>
      </c>
      <c r="B9" s="66">
        <v>91.0</v>
      </c>
      <c r="C9" s="66">
        <f>B9*Datos!$D$9</f>
        <v>455</v>
      </c>
      <c r="D9" s="70">
        <f>B9*Datos!$D$12</f>
        <v>148.031281</v>
      </c>
      <c r="E9" s="70">
        <f>C9*Datos!$D$12</f>
        <v>740.1564049</v>
      </c>
      <c r="F9" s="71">
        <f>Datos!$D$7</f>
        <v>100</v>
      </c>
      <c r="G9" s="66">
        <f t="shared" si="1"/>
        <v>0.8566625057</v>
      </c>
      <c r="H9" s="72">
        <f t="shared" si="2"/>
        <v>1.027995007</v>
      </c>
      <c r="I9" s="73">
        <v>2.58</v>
      </c>
      <c r="J9" s="73">
        <v>2.44</v>
      </c>
      <c r="K9" s="72">
        <f>MAX('L. Distribución'!I9:J9)</f>
        <v>2.58</v>
      </c>
      <c r="L9" s="74">
        <f t="array" ref="L9">IF(XLOOKUP(A9,Datos!B24:B33,Datos!A24:A33,"",0)="F",K9,K9+XLOOKUP(Datos!D24,'L. Distribución'!$A$5:$A$14,'L. Distribución'!$L$5:$L$14,0,0)+XLOOKUP(Datos!E24,'L. Distribución'!$A$5:$A$14,'L. Distribución'!$L$5:$L$14,0,0)+XLOOKUP(Datos!F24,'L. Distribución'!$A$5:$A$14,'L. Distribución'!$L$5:$L$14,0,0))</f>
        <v>2.58</v>
      </c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4.25" customHeight="1">
      <c r="A10" s="69">
        <v>9.0</v>
      </c>
      <c r="B10" s="66">
        <v>82.0</v>
      </c>
      <c r="C10" s="66">
        <f>B10*Datos!$D$9</f>
        <v>410</v>
      </c>
      <c r="D10" s="70">
        <f>B10*Datos!$D$12</f>
        <v>133.3908246</v>
      </c>
      <c r="E10" s="70">
        <f>C10*Datos!$D$12</f>
        <v>666.9541231</v>
      </c>
      <c r="F10" s="71">
        <f>Datos!$D$7</f>
        <v>100</v>
      </c>
      <c r="G10" s="66">
        <f t="shared" si="1"/>
        <v>0.7719376425</v>
      </c>
      <c r="H10" s="72">
        <f t="shared" si="2"/>
        <v>0.926325171</v>
      </c>
      <c r="I10" s="73">
        <v>2.33</v>
      </c>
      <c r="J10" s="73">
        <v>2.35</v>
      </c>
      <c r="K10" s="72">
        <f>MAX('L. Distribución'!I10:J10)</f>
        <v>2.35</v>
      </c>
      <c r="L10" s="74">
        <f t="array" ref="L10">IF(XLOOKUP(A10,Datos!B25:B34,Datos!A25:A34,"",0)="F",K10,K10+XLOOKUP(Datos!D25,'L. Distribución'!$A$5:$A$14,'L. Distribución'!$L$5:$L$14,0,0)+XLOOKUP(Datos!E25,'L. Distribución'!$A$5:$A$14,'L. Distribución'!$L$5:$L$14,0,0)+XLOOKUP(Datos!F25,'L. Distribución'!$A$5:$A$14,'L. Distribución'!$L$5:$L$14,0,0))</f>
        <v>2.35</v>
      </c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4.25" customHeight="1">
      <c r="A11" s="69">
        <v>10.0</v>
      </c>
      <c r="B11" s="66">
        <v>44.0</v>
      </c>
      <c r="C11" s="66">
        <f>B11*Datos!$D$9</f>
        <v>220</v>
      </c>
      <c r="D11" s="70">
        <f>B11*Datos!$D$12</f>
        <v>71.57556443</v>
      </c>
      <c r="E11" s="70">
        <f>C11*Datos!$D$12</f>
        <v>357.8778222</v>
      </c>
      <c r="F11" s="71">
        <f>Datos!$D$7</f>
        <v>100</v>
      </c>
      <c r="G11" s="66">
        <f t="shared" si="1"/>
        <v>0.4142104423</v>
      </c>
      <c r="H11" s="72">
        <f t="shared" si="2"/>
        <v>0.4970525308</v>
      </c>
      <c r="I11" s="73">
        <v>1.23</v>
      </c>
      <c r="J11" s="73">
        <v>1.69</v>
      </c>
      <c r="K11" s="72">
        <f>MAX('L. Distribución'!I11:J11)</f>
        <v>1.69</v>
      </c>
      <c r="L11" s="74">
        <f t="array" ref="L11">IF(XLOOKUP(A11,Datos!B26:B35,Datos!A26:A35,"",0)="F",K11,K11+XLOOKUP(Datos!D26,'L. Distribución'!$A$5:$A$14,'L. Distribución'!$L$5:$L$14,0,0)+XLOOKUP(Datos!E26,'L. Distribución'!$A$5:$A$14,'L. Distribución'!$L$5:$L$14,0,0)+XLOOKUP(Datos!F26,'L. Distribución'!$A$5:$A$14,'L. Distribución'!$L$5:$L$14,0,0))</f>
        <v>8.3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4.25" customHeight="1">
      <c r="A12" s="69">
        <v>11.0</v>
      </c>
      <c r="B12" s="66">
        <v>85.0</v>
      </c>
      <c r="C12" s="66">
        <f>B12*Datos!$D$9</f>
        <v>425</v>
      </c>
      <c r="D12" s="70">
        <f>B12*Datos!$D$12</f>
        <v>138.2709767</v>
      </c>
      <c r="E12" s="70">
        <f>C12*Datos!$D$12</f>
        <v>691.3548837</v>
      </c>
      <c r="F12" s="71">
        <f>Datos!$D$7</f>
        <v>100</v>
      </c>
      <c r="G12" s="66">
        <f t="shared" si="1"/>
        <v>0.8001792636</v>
      </c>
      <c r="H12" s="72">
        <f t="shared" si="2"/>
        <v>0.9602151163</v>
      </c>
      <c r="I12" s="73">
        <v>2.51</v>
      </c>
      <c r="J12" s="73">
        <v>2.35</v>
      </c>
      <c r="K12" s="72">
        <f>MAX('L. Distribución'!I12:J12)</f>
        <v>2.51</v>
      </c>
      <c r="L12" s="74">
        <f t="array" ref="L12">IF(XLOOKUP(A12,Datos!B27:B36,Datos!A27:A36,"",0)="F",K12,K12+XLOOKUP(Datos!D27,'L. Distribución'!$A$5:$A$14,'L. Distribución'!$L$5:$L$14,0,0)+XLOOKUP(Datos!E27,'L. Distribución'!$A$5:$A$14,'L. Distribución'!$L$5:$L$14,0,0)+XLOOKUP(Datos!F27,'L. Distribución'!$A$5:$A$14,'L. Distribución'!$L$5:$L$14,0,0))</f>
        <v>14.94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4.25" customHeight="1">
      <c r="A13" s="69">
        <v>12.0</v>
      </c>
      <c r="B13" s="66">
        <v>52.0</v>
      </c>
      <c r="C13" s="66">
        <f>B13*Datos!$D$9</f>
        <v>260</v>
      </c>
      <c r="D13" s="70">
        <f>B13*Datos!$D$12</f>
        <v>84.58930342</v>
      </c>
      <c r="E13" s="70">
        <f>C13*Datos!$D$12</f>
        <v>422.9465171</v>
      </c>
      <c r="F13" s="71">
        <f>Datos!$D$7</f>
        <v>100</v>
      </c>
      <c r="G13" s="66">
        <f t="shared" si="1"/>
        <v>0.4895214318</v>
      </c>
      <c r="H13" s="72">
        <f t="shared" si="2"/>
        <v>0.5874257182</v>
      </c>
      <c r="I13" s="73">
        <v>0.63</v>
      </c>
      <c r="J13" s="73">
        <v>2.72</v>
      </c>
      <c r="K13" s="72">
        <f>MAX('L. Distribución'!I13:J13)</f>
        <v>2.72</v>
      </c>
      <c r="L13" s="74">
        <f t="array" ref="L13">IF(XLOOKUP(A13,Datos!B28:B37,Datos!A28:A37,"",0)="F",K13,K13+XLOOKUP(Datos!D28,'L. Distribución'!$A$5:$A$14,'L. Distribución'!$L$5:$L$14,0,0)+XLOOKUP(Datos!E28,'L. Distribución'!$A$5:$A$14,'L. Distribución'!$L$5:$L$14,0,0)+XLOOKUP(Datos!F28,'L. Distribución'!$A$5:$A$14,'L. Distribución'!$L$5:$L$14,0,0))</f>
        <v>5.3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4.25" customHeight="1">
      <c r="A14" s="69">
        <v>13.0</v>
      </c>
      <c r="B14" s="66">
        <v>102.0</v>
      </c>
      <c r="C14" s="66">
        <f>B14*Datos!$D$9</f>
        <v>510</v>
      </c>
      <c r="D14" s="70">
        <f>B14*Datos!$D$12</f>
        <v>165.9251721</v>
      </c>
      <c r="E14" s="70">
        <f>C14*Datos!$D$12</f>
        <v>829.6258605</v>
      </c>
      <c r="F14" s="71">
        <f>Datos!$D$7</f>
        <v>100</v>
      </c>
      <c r="G14" s="66">
        <f t="shared" si="1"/>
        <v>0.9602151163</v>
      </c>
      <c r="H14" s="72">
        <f t="shared" si="2"/>
        <v>1.15225814</v>
      </c>
      <c r="I14" s="73">
        <v>2.91</v>
      </c>
      <c r="J14" s="73">
        <v>2.57</v>
      </c>
      <c r="K14" s="72">
        <f>MAX('L. Distribución'!I14:J14)</f>
        <v>2.91</v>
      </c>
      <c r="L14" s="74">
        <f t="array" ref="L14">IF(XLOOKUP(A14,Datos!B29:B38,Datos!A29:A38,"",0)="F",K14,K14+XLOOKUP(Datos!D29,'L. Distribución'!$A$5:$A$14,'L. Distribución'!$L$5:$L$14,0,0)+XLOOKUP(Datos!E29,'L. Distribución'!$A$5:$A$14,'L. Distribución'!$L$5:$L$14,0,0)+XLOOKUP(Datos!F29,'L. Distribución'!$A$5:$A$14,'L. Distribución'!$L$5:$L$14,0,0))</f>
        <v>8.21</v>
      </c>
      <c r="M14" s="29" t="s">
        <v>26</v>
      </c>
      <c r="N14" s="30"/>
      <c r="O14" s="30"/>
      <c r="P14" s="31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4.2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4.2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4.2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4.2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4.2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4.2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4.2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4.2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4.2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4.2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4.2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4.2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4.2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4.2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4.2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4.2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4.2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4.2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4.2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4.2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4.2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4.2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4.2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4.2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4.2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4.2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4.2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4.2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4.2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4.2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4.2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4.2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4.2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4.2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4.2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4.2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4.2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4.2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4.2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4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4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4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4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4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4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4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4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4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4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4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4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4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4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4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4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4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4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4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4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4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4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4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4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4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4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4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4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4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4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4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4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4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4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4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4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4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4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4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4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4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4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4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4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4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4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4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4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4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4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4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4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4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4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4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4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4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4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4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4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4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4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4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4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4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4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4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4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4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4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4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4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4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4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4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4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4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4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4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4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4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4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4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4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4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4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4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4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4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4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4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4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4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4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4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4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4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4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4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4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4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4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4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4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4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4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4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4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4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4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4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4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4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4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4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4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4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4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4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4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4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4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4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4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4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4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4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4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4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4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4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4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4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4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4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4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4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4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4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4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4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4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4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4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4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4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4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4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4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4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4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4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4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4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4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4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4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4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4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4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4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4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4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4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4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4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4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4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4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4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4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4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4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4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4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4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4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4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4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4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4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4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4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4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4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4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4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4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4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4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4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4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4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4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4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4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4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4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4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4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4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4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4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4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4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4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4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4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4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4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4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4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4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4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4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4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4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4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4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4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4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4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4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4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4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4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4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4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4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4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4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4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4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4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4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4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4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4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4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4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4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4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4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4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4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4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4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4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4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4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4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4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4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4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4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4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4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4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4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4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4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4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4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4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4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4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4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4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4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4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4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4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4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4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4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4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4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4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4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4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4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4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4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4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4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4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4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4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4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4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4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4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4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4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4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4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4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4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4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4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4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4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4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4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4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4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4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4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4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4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4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4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4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4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4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4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4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4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4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4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4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4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4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4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4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4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4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4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4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4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4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4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4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4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4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4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4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4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4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4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4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4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4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4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4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4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4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4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4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4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4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4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4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4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4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4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4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4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4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4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4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4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4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4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4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4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4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4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4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4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4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4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4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4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4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4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4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4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4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4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4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4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4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4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4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4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4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4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4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4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4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4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4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4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4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4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4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4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4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4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4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4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4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4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4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4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4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4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4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4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4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4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4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4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4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4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4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4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4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4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4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4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4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4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4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4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4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4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4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4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4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4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4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4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4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4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4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4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4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4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4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4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4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4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4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4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4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4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4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4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4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4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4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4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4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4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4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4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4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4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4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4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4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4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4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4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4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4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4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4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4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4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4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4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4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4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4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4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4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4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4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4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4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4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4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4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4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4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4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4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4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4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4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4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4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4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4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4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4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4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4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4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4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4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4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4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4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4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4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4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4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4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4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4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4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4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4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4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4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4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4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4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4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4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4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4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4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4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4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4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4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4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4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4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4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4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4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4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4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4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4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4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4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4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4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4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4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4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4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4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4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4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4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4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4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4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4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4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4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4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4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4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4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4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4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4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4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4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4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4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4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4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4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4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4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4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4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4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4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4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4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4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4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4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4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4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4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4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4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4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4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4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4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4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4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4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4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4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4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4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4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4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4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4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4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4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4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4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4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4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4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4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4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4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4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4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4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4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4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4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4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4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4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4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4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4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4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4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4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4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4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4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4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4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4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4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4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4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4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4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4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4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4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4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4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4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4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4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4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4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4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4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4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4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4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4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4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4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4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4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4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4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4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4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4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4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4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4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4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4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4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4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4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4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4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4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4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4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4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4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4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4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4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4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4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4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4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4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4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4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4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4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4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4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4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4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4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4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4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4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4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4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4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4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4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4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4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4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4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4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4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4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4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4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4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4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4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4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4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4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4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4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4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4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4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4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4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4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4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4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4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4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4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4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4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4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4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4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4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4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4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4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4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4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4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4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4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4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4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4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4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4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4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4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4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4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4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4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4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4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4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4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4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4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4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4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4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4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4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4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4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4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4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4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4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4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4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4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4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4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mergeCells count="16">
    <mergeCell ref="F2:F4"/>
    <mergeCell ref="G2:G4"/>
    <mergeCell ref="H2:H4"/>
    <mergeCell ref="I2:I4"/>
    <mergeCell ref="J2:J4"/>
    <mergeCell ref="K2:K4"/>
    <mergeCell ref="L2:L4"/>
    <mergeCell ref="M5:P5"/>
    <mergeCell ref="M14:P14"/>
    <mergeCell ref="A1:L1"/>
    <mergeCell ref="N1:O1"/>
    <mergeCell ref="A2:A4"/>
    <mergeCell ref="B2:B4"/>
    <mergeCell ref="C2:C4"/>
    <mergeCell ref="D2:D4"/>
    <mergeCell ref="E2:E4"/>
  </mergeCells>
  <printOptions/>
  <pageMargins bottom="0.75" footer="0.0" header="0.0" left="0.7" right="0.7" top="0.75"/>
  <pageSetup orientation="portrait"/>
  <drawing r:id="rId1"/>
</worksheet>
</file>