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bicacion C a D\Documentos\Segundo-Semestre-24\Sanitarias\HOJAS Y CUESTIONARIO SANT1\FOTOS EXAMEN\"/>
    </mc:Choice>
  </mc:AlternateContent>
  <xr:revisionPtr revIDLastSave="0" documentId="13_ncr:1_{17BD8054-D8B6-47C5-8EE5-A72A89F93D8D}" xr6:coauthVersionLast="47" xr6:coauthVersionMax="47" xr10:uidLastSave="{00000000-0000-0000-0000-000000000000}"/>
  <bookViews>
    <workbookView xWindow="-110" yWindow="-110" windowWidth="19420" windowHeight="10420" activeTab="2" xr2:uid="{A96D55F9-D6EE-45A4-B77D-96845266E695}"/>
  </bookViews>
  <sheets>
    <sheet name="Datos" sheetId="1" r:id="rId1"/>
    <sheet name="L. Conducción" sheetId="2" r:id="rId2"/>
    <sheet name="L. Distribución" sheetId="3" r:id="rId3"/>
  </sheets>
  <definedNames>
    <definedName name="_xlnm.Print_Area" localSheetId="1">'L. Conducción'!$B$1:$N$36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4" i="2" l="1"/>
  <c r="AI43" i="2"/>
  <c r="AH43" i="2"/>
  <c r="AH42" i="2"/>
  <c r="AG42" i="2"/>
  <c r="AF42" i="2"/>
  <c r="AE42" i="2"/>
  <c r="AD42" i="2"/>
  <c r="AG41" i="2"/>
  <c r="AF41" i="2"/>
  <c r="AE41" i="2"/>
  <c r="AD41" i="2"/>
  <c r="S44" i="2"/>
  <c r="R44" i="2"/>
  <c r="U43" i="2"/>
  <c r="T43" i="2"/>
  <c r="S43" i="2"/>
  <c r="R43" i="2"/>
  <c r="U42" i="2"/>
  <c r="T42" i="2"/>
  <c r="S42" i="2"/>
  <c r="R42" i="2"/>
  <c r="Q42" i="2"/>
  <c r="P42" i="2"/>
  <c r="U41" i="2"/>
  <c r="T41" i="2"/>
  <c r="S41" i="2"/>
  <c r="R41" i="2"/>
  <c r="Q41" i="2"/>
  <c r="P41" i="2"/>
  <c r="E44" i="2"/>
  <c r="AL34" i="2"/>
  <c r="AL31" i="2"/>
  <c r="AE29" i="2"/>
  <c r="AE26" i="2"/>
  <c r="AN24" i="2"/>
  <c r="AN19" i="2"/>
  <c r="AF11" i="2"/>
  <c r="AE10" i="2"/>
  <c r="AH8" i="2"/>
  <c r="AE7" i="2"/>
  <c r="AH5" i="2"/>
  <c r="AH4" i="2"/>
  <c r="F42" i="2"/>
  <c r="X34" i="2"/>
  <c r="X31" i="2"/>
  <c r="Q29" i="2"/>
  <c r="U28" i="2"/>
  <c r="Q28" i="2"/>
  <c r="Q26" i="2"/>
  <c r="Q25" i="2"/>
  <c r="Z24" i="2"/>
  <c r="Z19" i="2"/>
  <c r="Q18" i="2"/>
  <c r="T4" i="2"/>
  <c r="T5" i="2"/>
  <c r="Q7" i="2"/>
  <c r="T8" i="2"/>
  <c r="Q10" i="2"/>
  <c r="R11" i="2"/>
  <c r="U25" i="2" s="1"/>
  <c r="G43" i="2"/>
  <c r="F43" i="2"/>
  <c r="E41" i="2"/>
  <c r="D42" i="2"/>
  <c r="D41" i="2"/>
  <c r="C42" i="2"/>
  <c r="B42" i="2"/>
  <c r="C41" i="2"/>
  <c r="B41" i="2"/>
  <c r="L24" i="2"/>
  <c r="L19" i="2"/>
  <c r="J31" i="2"/>
  <c r="J34" i="2"/>
  <c r="C29" i="2"/>
  <c r="C26" i="2"/>
  <c r="C10" i="2"/>
  <c r="C7" i="2"/>
  <c r="F5" i="2"/>
  <c r="F8" i="2"/>
  <c r="F4" i="2"/>
  <c r="D11" i="2"/>
  <c r="C25" i="2" s="1"/>
  <c r="N3" i="3"/>
  <c r="Q33" i="2" l="1"/>
  <c r="AE13" i="2"/>
  <c r="AE25" i="2"/>
  <c r="AE18" i="2"/>
  <c r="AI25" i="2"/>
  <c r="E42" i="2"/>
  <c r="AE28" i="2"/>
  <c r="AI28" i="2"/>
  <c r="Q34" i="2"/>
  <c r="Q13" i="2"/>
  <c r="C13" i="2"/>
  <c r="C19" i="2" s="1"/>
  <c r="C28" i="2"/>
  <c r="C18" i="2"/>
  <c r="G28" i="2"/>
  <c r="G25" i="2"/>
  <c r="C5" i="3"/>
  <c r="C6" i="3"/>
  <c r="C7" i="3"/>
  <c r="F6" i="3"/>
  <c r="F7" i="3"/>
  <c r="F8" i="3"/>
  <c r="F9" i="3"/>
  <c r="F10" i="3"/>
  <c r="F11" i="3"/>
  <c r="F5" i="3"/>
  <c r="AI33" i="2" l="1"/>
  <c r="AN23" i="2" s="1"/>
  <c r="AP23" i="2" s="1"/>
  <c r="Q19" i="2"/>
  <c r="U18" i="2"/>
  <c r="U33" i="2"/>
  <c r="AE19" i="2"/>
  <c r="AI18" i="2"/>
  <c r="AE34" i="2"/>
  <c r="AE33" i="2"/>
  <c r="X33" i="2"/>
  <c r="G18" i="2"/>
  <c r="G33" i="2"/>
  <c r="D36" i="2" s="1"/>
  <c r="C33" i="2"/>
  <c r="C34" i="2"/>
  <c r="C9" i="3"/>
  <c r="G26" i="1"/>
  <c r="C11" i="3" s="1"/>
  <c r="G25" i="1"/>
  <c r="C10" i="3" s="1"/>
  <c r="G23" i="1"/>
  <c r="C8" i="3" s="1"/>
  <c r="AF36" i="2" l="1"/>
  <c r="AI36" i="2"/>
  <c r="AN18" i="2" s="1"/>
  <c r="AP18" i="2" s="1"/>
  <c r="AP21" i="2" s="1"/>
  <c r="Z23" i="2"/>
  <c r="AB23" i="2" s="1"/>
  <c r="R36" i="2"/>
  <c r="AN26" i="2"/>
  <c r="U36" i="2"/>
  <c r="Z18" i="2" s="1"/>
  <c r="AB18" i="2" s="1"/>
  <c r="G36" i="2"/>
  <c r="L18" i="2" s="1"/>
  <c r="N18" i="2" s="1"/>
  <c r="L23" i="2"/>
  <c r="N23" i="2" s="1"/>
  <c r="D6" i="1" a="1"/>
  <c r="D6" i="1" s="1"/>
  <c r="D12" i="1"/>
  <c r="E10" i="3" s="1"/>
  <c r="G10" i="3" s="1"/>
  <c r="K10" i="3" l="1"/>
  <c r="L10" i="3" s="1"/>
  <c r="E7" i="3"/>
  <c r="G7" i="3" s="1"/>
  <c r="D9" i="3"/>
  <c r="J9" i="3" s="1"/>
  <c r="E5" i="3"/>
  <c r="G5" i="3" s="1"/>
  <c r="D5" i="3"/>
  <c r="J5" i="3" s="1"/>
  <c r="D7" i="3"/>
  <c r="J7" i="3" s="1"/>
  <c r="E6" i="3"/>
  <c r="G6" i="3" s="1"/>
  <c r="D6" i="3"/>
  <c r="J6" i="3" s="1"/>
  <c r="E9" i="3"/>
  <c r="G9" i="3" s="1"/>
  <c r="D10" i="3"/>
  <c r="J10" i="3" s="1"/>
  <c r="D11" i="3"/>
  <c r="J11" i="3" s="1"/>
  <c r="D8" i="3"/>
  <c r="J8" i="3" s="1"/>
  <c r="E8" i="3"/>
  <c r="G8" i="3" s="1"/>
  <c r="E11" i="3"/>
  <c r="G11" i="3" s="1"/>
  <c r="AN21" i="2"/>
  <c r="AP30" i="2"/>
  <c r="AH7" i="2" s="1"/>
  <c r="AL30" i="2"/>
  <c r="AH6" i="2"/>
  <c r="Z21" i="2"/>
  <c r="AB21" i="2"/>
  <c r="AH9" i="2"/>
  <c r="AP33" i="2"/>
  <c r="AH10" i="2" s="1"/>
  <c r="AL33" i="2"/>
  <c r="AB33" i="2"/>
  <c r="Z26" i="2"/>
  <c r="N21" i="2"/>
  <c r="L21" i="2"/>
  <c r="N26" i="2"/>
  <c r="L26" i="2"/>
  <c r="I10" i="3" l="1"/>
  <c r="I11" i="3"/>
  <c r="H11" i="3"/>
  <c r="I7" i="3"/>
  <c r="H7" i="3"/>
  <c r="H10" i="3"/>
  <c r="I9" i="3"/>
  <c r="H9" i="3"/>
  <c r="I6" i="3"/>
  <c r="H6" i="3"/>
  <c r="H5" i="3"/>
  <c r="I5" i="3"/>
  <c r="I8" i="3"/>
  <c r="H8" i="3"/>
  <c r="K9" i="3"/>
  <c r="K6" i="3"/>
  <c r="L6" i="3" s="1"/>
  <c r="O3" i="3"/>
  <c r="K5" i="3"/>
  <c r="L5" i="3" s="1"/>
  <c r="L7" i="3" s="1"/>
  <c r="L9" i="3" s="1"/>
  <c r="L11" i="3" s="1"/>
  <c r="K11" i="3"/>
  <c r="K7" i="3"/>
  <c r="K8" i="3"/>
  <c r="L8" i="3" s="1"/>
  <c r="AG43" i="2"/>
  <c r="AI41" i="2"/>
  <c r="AI42" i="2" s="1"/>
  <c r="AF44" i="2"/>
  <c r="AF43" i="2"/>
  <c r="AH41" i="2"/>
  <c r="AH11" i="2"/>
  <c r="AF7" i="2"/>
  <c r="AF10" i="2" s="1"/>
  <c r="AH12" i="2"/>
  <c r="AB30" i="2"/>
  <c r="T7" i="2" s="1"/>
  <c r="X30" i="2"/>
  <c r="T6" i="2"/>
  <c r="T9" i="2"/>
  <c r="T10" i="2"/>
  <c r="F9" i="2"/>
  <c r="J33" i="2"/>
  <c r="N33" i="2"/>
  <c r="F10" i="2" s="1"/>
  <c r="F6" i="2"/>
  <c r="D44" i="2" s="1"/>
  <c r="N30" i="2"/>
  <c r="F7" i="2" s="1"/>
  <c r="E43" i="2" s="1"/>
  <c r="J30" i="2"/>
  <c r="G41" i="2" l="1"/>
  <c r="G42" i="2" s="1"/>
  <c r="F41" i="2"/>
  <c r="D43" i="2"/>
  <c r="T12" i="2"/>
  <c r="R7" i="2"/>
  <c r="R10" i="2" s="1"/>
  <c r="T11" i="2"/>
  <c r="F12" i="2"/>
  <c r="D7" i="2"/>
  <c r="D10" i="2" s="1"/>
  <c r="F1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<sst xmlns="http://schemas.openxmlformats.org/spreadsheetml/2006/main" count="221" uniqueCount="85">
  <si>
    <t>Datos Para la Linea de Conducción</t>
  </si>
  <si>
    <t>Criterios de Diseño</t>
  </si>
  <si>
    <t>Densidad de vivienda</t>
  </si>
  <si>
    <t>Periodo de diseño</t>
  </si>
  <si>
    <t>Tasa de crecimiento geométrico</t>
  </si>
  <si>
    <t>Factor de crecimiento</t>
  </si>
  <si>
    <t>Longitud de Tuberia Central</t>
  </si>
  <si>
    <t>Dotación</t>
  </si>
  <si>
    <t>Conexiones Intradomiciliares</t>
  </si>
  <si>
    <t>Porcentaje para el Tanque</t>
  </si>
  <si>
    <t>Máximo</t>
  </si>
  <si>
    <t>Gravedad</t>
  </si>
  <si>
    <t>Método para Llevar el Agua al Tanque</t>
  </si>
  <si>
    <t>Tipo de Bomba</t>
  </si>
  <si>
    <t>Motor Eléctrico</t>
  </si>
  <si>
    <t>k (Coeficiente)</t>
  </si>
  <si>
    <t>S</t>
  </si>
  <si>
    <t>Tipo</t>
  </si>
  <si>
    <t>Viviendas</t>
  </si>
  <si>
    <t>P.C.</t>
  </si>
  <si>
    <t>P.C. Ant.</t>
  </si>
  <si>
    <t>Cota</t>
  </si>
  <si>
    <t>Puntos de Consumo</t>
  </si>
  <si>
    <t xml:space="preserve"> </t>
  </si>
  <si>
    <t>Diseño de Caudales</t>
  </si>
  <si>
    <t>Hab. A.</t>
  </si>
  <si>
    <t>Viv. F.</t>
  </si>
  <si>
    <t>Hab. F.</t>
  </si>
  <si>
    <t>Dotación (L/Hab/d)</t>
  </si>
  <si>
    <r>
      <t>Q</t>
    </r>
    <r>
      <rPr>
        <vertAlign val="subscript"/>
        <sz val="11"/>
        <color theme="1"/>
        <rFont val="Trebuchet MS"/>
        <family val="2"/>
      </rPr>
      <t>Medio</t>
    </r>
  </si>
  <si>
    <r>
      <t>Q</t>
    </r>
    <r>
      <rPr>
        <vertAlign val="subscript"/>
        <sz val="11"/>
        <color theme="1"/>
        <rFont val="Trebuchet MS"/>
        <family val="2"/>
      </rPr>
      <t>medio Sanitario</t>
    </r>
  </si>
  <si>
    <r>
      <t>Q</t>
    </r>
    <r>
      <rPr>
        <vertAlign val="subscript"/>
        <sz val="11"/>
        <color theme="1"/>
        <rFont val="Trebuchet MS"/>
        <family val="2"/>
      </rPr>
      <t>máximo Sanitario</t>
    </r>
  </si>
  <si>
    <t>Tanque de Distribución</t>
  </si>
  <si>
    <r>
      <t>Q</t>
    </r>
    <r>
      <rPr>
        <vertAlign val="subscript"/>
        <sz val="11"/>
        <color theme="1"/>
        <rFont val="Trebuchet MS"/>
        <family val="2"/>
      </rPr>
      <t>HM</t>
    </r>
  </si>
  <si>
    <r>
      <t>Q</t>
    </r>
    <r>
      <rPr>
        <vertAlign val="subscript"/>
        <sz val="11"/>
        <color theme="1"/>
        <rFont val="Trebuchet MS"/>
        <family val="2"/>
      </rPr>
      <t>C.S.</t>
    </r>
  </si>
  <si>
    <t>Viv. A.</t>
  </si>
  <si>
    <t>F</t>
  </si>
  <si>
    <t xml:space="preserve">Capacidad </t>
  </si>
  <si>
    <t xml:space="preserve">Sistema </t>
  </si>
  <si>
    <t>No Borrar ni insertar una fila por Encima de esta</t>
  </si>
  <si>
    <t>No Borrar ni insertar una fila por Debajo de esta</t>
  </si>
  <si>
    <t>Primer Tramo</t>
  </si>
  <si>
    <t>Datos de Diseño</t>
  </si>
  <si>
    <t>Q</t>
  </si>
  <si>
    <t>Cota 1</t>
  </si>
  <si>
    <t>Cota 2</t>
  </si>
  <si>
    <t>L</t>
  </si>
  <si>
    <t>C</t>
  </si>
  <si>
    <t>Hf</t>
  </si>
  <si>
    <r>
      <t>Cálculo D</t>
    </r>
    <r>
      <rPr>
        <vertAlign val="subscript"/>
        <sz val="11"/>
        <color theme="1"/>
        <rFont val="Trebuchet MS"/>
        <family val="2"/>
      </rPr>
      <t>T</t>
    </r>
  </si>
  <si>
    <r>
      <t>D</t>
    </r>
    <r>
      <rPr>
        <vertAlign val="subscript"/>
        <sz val="11"/>
        <color theme="1"/>
        <rFont val="Trebuchet MS"/>
        <family val="2"/>
      </rPr>
      <t>T</t>
    </r>
    <r>
      <rPr>
        <sz val="11"/>
        <color theme="1"/>
        <rFont val="Trebuchet MS"/>
        <family val="2"/>
      </rPr>
      <t>=</t>
    </r>
  </si>
  <si>
    <t>=</t>
  </si>
  <si>
    <t>Diametros Propuestos</t>
  </si>
  <si>
    <r>
      <t>Ø</t>
    </r>
    <r>
      <rPr>
        <vertAlign val="subscript"/>
        <sz val="11"/>
        <color theme="1"/>
        <rFont val="Trebuchet MS"/>
        <family val="2"/>
      </rPr>
      <t>1</t>
    </r>
  </si>
  <si>
    <r>
      <t>Ø</t>
    </r>
    <r>
      <rPr>
        <vertAlign val="subscript"/>
        <sz val="11"/>
        <color theme="1"/>
        <rFont val="Trebuchet MS"/>
        <family val="2"/>
      </rPr>
      <t>2</t>
    </r>
  </si>
  <si>
    <r>
      <t>Hf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</si>
  <si>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</si>
  <si>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de Tubería</t>
  </si>
  <si>
    <r>
      <t>L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</si>
  <si>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Longitud Final de Tubería</t>
  </si>
  <si>
    <r>
      <t>L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</si>
  <si>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</si>
  <si>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tubería</t>
    </r>
  </si>
  <si>
    <r>
      <t>L</t>
    </r>
    <r>
      <rPr>
        <vertAlign val="subscript"/>
        <sz val="11"/>
        <color theme="1"/>
        <rFont val="Trebuchet MS"/>
        <family val="2"/>
      </rPr>
      <t>1F</t>
    </r>
    <r>
      <rPr>
        <sz val="11"/>
        <color theme="1"/>
        <rFont val="Trebuchet MS"/>
        <family val="2"/>
      </rPr>
      <t>=</t>
    </r>
  </si>
  <si>
    <t>Perdida de Carga Final</t>
  </si>
  <si>
    <r>
      <t>Hf</t>
    </r>
    <r>
      <rPr>
        <vertAlign val="subscript"/>
        <sz val="11"/>
        <color theme="1"/>
        <rFont val="Trebuchet MS"/>
        <family val="2"/>
      </rPr>
      <t>1fF</t>
    </r>
    <r>
      <rPr>
        <sz val="11"/>
        <color theme="1"/>
        <rFont val="Trebuchet MS"/>
        <family val="2"/>
      </rPr>
      <t>=</t>
    </r>
  </si>
  <si>
    <r>
      <t>Hf</t>
    </r>
    <r>
      <rPr>
        <vertAlign val="subscript"/>
        <sz val="11"/>
        <color theme="1"/>
        <rFont val="Trebuchet MS"/>
        <family val="2"/>
      </rPr>
      <t>2F</t>
    </r>
    <r>
      <rPr>
        <sz val="11"/>
        <color theme="1"/>
        <rFont val="Trebuchet MS"/>
        <family val="2"/>
      </rPr>
      <t>=</t>
    </r>
  </si>
  <si>
    <t>Resumen del Tramo</t>
  </si>
  <si>
    <t>Q=</t>
  </si>
  <si>
    <r>
      <t>Ø</t>
    </r>
    <r>
      <rPr>
        <vertAlign val="subscript"/>
        <sz val="11"/>
        <color theme="1"/>
        <rFont val="Trebuchet MS"/>
        <family val="2"/>
      </rPr>
      <t>1</t>
    </r>
    <r>
      <rPr>
        <sz val="11"/>
        <color theme="1"/>
        <rFont val="Trebuchet MS"/>
        <family val="2"/>
      </rPr>
      <t>=</t>
    </r>
  </si>
  <si>
    <r>
      <t>Ø</t>
    </r>
    <r>
      <rPr>
        <vertAlign val="subscript"/>
        <sz val="11"/>
        <color theme="1"/>
        <rFont val="Trebuchet MS"/>
        <family val="2"/>
      </rPr>
      <t>2</t>
    </r>
    <r>
      <rPr>
        <sz val="11"/>
        <color theme="1"/>
        <rFont val="Trebuchet MS"/>
        <family val="2"/>
      </rPr>
      <t>=</t>
    </r>
  </si>
  <si>
    <t>Segundo Tramo</t>
  </si>
  <si>
    <t>Cota T1</t>
  </si>
  <si>
    <t>P. Salida</t>
  </si>
  <si>
    <t>Cota T2</t>
  </si>
  <si>
    <t>P. Entrada</t>
  </si>
  <si>
    <r>
      <t>H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</si>
  <si>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r>
      <t>L</t>
    </r>
    <r>
      <rPr>
        <vertAlign val="subscript"/>
        <sz val="11"/>
        <color theme="1"/>
        <rFont val="Trebuchet MS"/>
        <family val="2"/>
      </rPr>
      <t>F</t>
    </r>
    <r>
      <rPr>
        <sz val="11"/>
        <color theme="1"/>
        <rFont val="Trebuchet MS"/>
        <family val="2"/>
      </rPr>
      <t>=</t>
    </r>
  </si>
  <si>
    <t>Posicón</t>
  </si>
  <si>
    <t>Datos Para el Gráfico</t>
  </si>
  <si>
    <t>Tramo</t>
  </si>
  <si>
    <t>Presión 1</t>
  </si>
  <si>
    <t>Presión 2</t>
  </si>
  <si>
    <t>Tercer Tramo</t>
  </si>
  <si>
    <r>
      <t>Q</t>
    </r>
    <r>
      <rPr>
        <vertAlign val="subscript"/>
        <sz val="11"/>
        <color theme="1"/>
        <rFont val="Trebuchet MS"/>
        <family val="2"/>
      </rPr>
      <t>DMax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</si>
</sst>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General&quot; Hab&quot;"/>
    <numFmt numFmtId="165" formatCode="General&quot; años&quot;"/>
    <numFmt numFmtId="166" formatCode="General&quot; m&quot;"/>
    <numFmt numFmtId="167" formatCode="General&quot; L/Hab/d&quot;"/>
    <numFmt numFmtId="168" formatCode="General&quot; Viv&quot;"/>
    <numFmt numFmtId="169" formatCode="0.00&quot; m&quot;"/>
    <numFmt numFmtId="170" formatCode="0.00&quot; L/s&quot;"/>
    <numFmt numFmtId="171" formatCode="0.00&quot; m3&quot;"/>
    <numFmt numFmtId="172" formatCode="0.00&quot;ʼʼ&quot;"/>
    <numFmt numFmtId="173" formatCode="0&quot; m&quot;"/>
    <numFmt numFmtId="174" formatCode="0&quot;ʼʼ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Trebuchet MS"/>
      <family val="2"/>
    </font>
    <font>
      <sz val="22"/>
      <color theme="1"/>
      <name val="Trebuchet MS"/>
      <family val="2"/>
    </font>
    <font>
      <vertAlign val="subscript"/>
      <sz val="11"/>
      <color theme="1"/>
      <name val="Trebuchet MS"/>
      <family val="2"/>
    </font>
    <font>
      <sz val="24"/>
      <name val="Trebuchet MS"/>
      <family val="2"/>
    </font>
    <font>
      <sz val="24"/>
      <color theme="1"/>
      <name val="Trebuchet MS"/>
      <family val="2"/>
    </font>
    <font>
      <sz val="11"/>
      <color theme="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47BFFF"/>
        <bgColor indexed="64"/>
      </patternFill>
    </fill>
    <fill>
      <patternFill patternType="solid">
        <fgColor rgb="FF0092E0"/>
        <bgColor indexed="64"/>
      </patternFill>
    </fill>
    <fill>
      <patternFill patternType="solid">
        <fgColor rgb="FF90E0E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69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0" fontId="1" fillId="4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4" fontId="1" fillId="4" borderId="1" xfId="0" applyNumberFormat="1" applyFont="1" applyFill="1" applyBorder="1" applyAlignment="1">
      <alignment horizontal="center" vertical="center"/>
    </xf>
    <xf numFmtId="173" fontId="1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9" fontId="6" fillId="0" borderId="0" xfId="0" applyNumberFormat="1" applyFont="1" applyAlignment="1">
      <alignment horizontal="center" vertical="center"/>
    </xf>
    <xf numFmtId="172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3" fontId="1" fillId="0" borderId="0" xfId="0" applyNumberFormat="1" applyFont="1" applyAlignment="1">
      <alignment horizontal="left" vertical="center"/>
    </xf>
    <xf numFmtId="173" fontId="1" fillId="2" borderId="0" xfId="0" applyNumberFormat="1" applyFont="1" applyFill="1" applyAlignment="1">
      <alignment horizontal="left" vertical="center"/>
    </xf>
    <xf numFmtId="169" fontId="1" fillId="2" borderId="0" xfId="0" applyNumberFormat="1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9" fontId="1" fillId="0" borderId="2" xfId="0" applyNumberFormat="1" applyFont="1" applyBorder="1" applyAlignment="1">
      <alignment horizontal="left" vertical="center"/>
    </xf>
    <xf numFmtId="169" fontId="1" fillId="0" borderId="4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0" fontId="1" fillId="0" borderId="2" xfId="0" applyNumberFormat="1" applyFont="1" applyBorder="1" applyAlignment="1">
      <alignment horizontal="left" vertical="center"/>
    </xf>
    <xf numFmtId="170" fontId="1" fillId="0" borderId="4" xfId="0" applyNumberFormat="1" applyFont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1" fillId="0" borderId="4" xfId="0" applyNumberFormat="1" applyFont="1" applyBorder="1" applyAlignment="1">
      <alignment horizontal="left" vertical="center"/>
    </xf>
    <xf numFmtId="169" fontId="1" fillId="0" borderId="1" xfId="0" applyNumberFormat="1" applyFont="1" applyBorder="1" applyAlignment="1">
      <alignment horizontal="left" vertical="center"/>
    </xf>
    <xf numFmtId="174" fontId="1" fillId="0" borderId="1" xfId="0" applyNumberFormat="1" applyFont="1" applyBorder="1" applyAlignment="1">
      <alignment horizontal="left" vertical="center"/>
    </xf>
    <xf numFmtId="173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3" fontId="1" fillId="0" borderId="2" xfId="0" applyNumberFormat="1" applyFont="1" applyBorder="1" applyAlignment="1">
      <alignment horizontal="left" vertical="center"/>
    </xf>
    <xf numFmtId="173" fontId="1" fillId="0" borderId="4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  <dxf>
      <fill>
        <patternFill>
          <bgColor rgb="FF90E0EF"/>
        </patternFill>
      </fill>
    </dxf>
  </dxfs>
  <tableStyles count="0" defaultTableStyle="TableStyleMedium2" defaultPivotStyle="PivotStyleLight16"/>
  <colors>
    <mruColors>
      <color rgb="FF0077B6"/>
      <color rgb="FF90E0EF"/>
      <color rgb="FF47BFFF"/>
      <color rgb="FFFFFF00"/>
      <color rgb="FFFFFFFF"/>
      <color rgb="FF0092E0"/>
      <color rgb="FFADE8F4"/>
      <color rgb="FFCAF0F8"/>
      <color rgb="FFC7F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Primer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Conducción'!$B$41:$B$42</c:f>
              <c:numCache>
                <c:formatCode>0.00" m"</c:formatCode>
                <c:ptCount val="2"/>
                <c:pt idx="0">
                  <c:v>0</c:v>
                </c:pt>
                <c:pt idx="1">
                  <c:v>900</c:v>
                </c:pt>
              </c:numCache>
            </c:numRef>
          </c:xVal>
          <c:yVal>
            <c:numRef>
              <c:f>'L. Conducción'!$C$41:$C$42</c:f>
              <c:numCache>
                <c:formatCode>0.00" m"</c:formatCode>
                <c:ptCount val="2"/>
                <c:pt idx="0">
                  <c:v>1000</c:v>
                </c:pt>
                <c:pt idx="1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9AF-404C-B28B-167929BB428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Conducción'!$D$41:$D$44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728.15533980582518</c:v>
                </c:pt>
                <c:pt idx="3">
                  <c:v>728.15533980582518</c:v>
                </c:pt>
              </c:numCache>
            </c:numRef>
          </c:xVal>
          <c:yVal>
            <c:numRef>
              <c:f>'L. Conducción'!$E$41:$E$44</c:f>
              <c:numCache>
                <c:formatCode>0.00" m"</c:formatCode>
                <c:ptCount val="4"/>
                <c:pt idx="0">
                  <c:v>1000</c:v>
                </c:pt>
                <c:pt idx="1">
                  <c:v>999</c:v>
                </c:pt>
                <c:pt idx="2">
                  <c:v>973.524024233663</c:v>
                </c:pt>
                <c:pt idx="3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Conducción'!$F$41:$F$43</c:f>
              <c:numCache>
                <c:formatCode>0" m"</c:formatCode>
                <c:ptCount val="3"/>
                <c:pt idx="0">
                  <c:v>728.15533980582518</c:v>
                </c:pt>
                <c:pt idx="1">
                  <c:v>900</c:v>
                </c:pt>
                <c:pt idx="2" formatCode="0.00&quot; m&quot;">
                  <c:v>900</c:v>
                </c:pt>
              </c:numCache>
            </c:numRef>
          </c:xVal>
          <c:yVal>
            <c:numRef>
              <c:f>'L. Conducción'!$G$41:$G$43</c:f>
              <c:numCache>
                <c:formatCode>0.00" m"</c:formatCode>
                <c:ptCount val="3"/>
                <c:pt idx="0">
                  <c:v>973.524024233663</c:v>
                </c:pt>
                <c:pt idx="1">
                  <c:v>929.47802160131641</c:v>
                </c:pt>
                <c:pt idx="2">
                  <c:v>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Segundo Tramo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Conducción'!$P$41:$P$42</c:f>
              <c:numCache>
                <c:formatCode>0.00" m"</c:formatCode>
                <c:ptCount val="2"/>
                <c:pt idx="0">
                  <c:v>900</c:v>
                </c:pt>
                <c:pt idx="1">
                  <c:v>1410</c:v>
                </c:pt>
              </c:numCache>
            </c:numRef>
          </c:xVal>
          <c:yVal>
            <c:numRef>
              <c:f>'L. Conducción'!$Q$41:$Q$42</c:f>
              <c:numCache>
                <c:formatCode>0.00" m"</c:formatCode>
                <c:ptCount val="2"/>
                <c:pt idx="0">
                  <c:v>920</c:v>
                </c:pt>
                <c:pt idx="1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75-44BE-8FCC-FFA3166ECE74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Pt>
            <c:idx val="2"/>
            <c:marker>
              <c:symbol val="circle"/>
              <c:size val="6"/>
              <c:spPr>
                <a:solidFill>
                  <a:srgbClr val="0077B6"/>
                </a:solidFill>
                <a:ln w="9525" cap="rnd">
                  <a:noFill/>
                  <a:round/>
                </a:ln>
                <a:effectLst>
                  <a:glow rad="76200">
                    <a:srgbClr val="0077B6">
                      <a:alpha val="10000"/>
                    </a:srgbClr>
                  </a:glow>
                </a:effectLst>
              </c:spPr>
            </c:marker>
            <c:bubble3D val="0"/>
            <c:spPr>
              <a:ln w="19050" cap="rnd">
                <a:solidFill>
                  <a:srgbClr val="0077B6"/>
                </a:solidFill>
                <a:prstDash val="dash"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2D75-44BE-8FCC-FFA3166ECE7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F8A-4AE1-80AC-120BB2C1F44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75-44BE-8FCC-FFA3166ECE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Conducción'!$R$41:$R$44</c:f>
              <c:numCache>
                <c:formatCode>0.00" m"</c:formatCode>
                <c:ptCount val="4"/>
                <c:pt idx="0">
                  <c:v>900</c:v>
                </c:pt>
                <c:pt idx="1">
                  <c:v>900</c:v>
                </c:pt>
                <c:pt idx="2" formatCode="0&quot; m&quot;">
                  <c:v>1398.0582524271845</c:v>
                </c:pt>
                <c:pt idx="3" formatCode="General">
                  <c:v>1398.0582524271845</c:v>
                </c:pt>
              </c:numCache>
            </c:numRef>
          </c:xVal>
          <c:yVal>
            <c:numRef>
              <c:f>'L. Conducción'!$S$41:$S$44</c:f>
              <c:numCache>
                <c:formatCode>0.00" m"</c:formatCode>
                <c:ptCount val="4"/>
                <c:pt idx="0">
                  <c:v>920</c:v>
                </c:pt>
                <c:pt idx="1">
                  <c:v>919</c:v>
                </c:pt>
                <c:pt idx="2">
                  <c:v>917.32730801112552</c:v>
                </c:pt>
                <c:pt idx="3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75-44BE-8FCC-FFA3166ECE74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75-44BE-8FCC-FFA3166ECE74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Conducción'!$T$41:$T$43</c:f>
              <c:numCache>
                <c:formatCode>0" m"</c:formatCode>
                <c:ptCount val="3"/>
                <c:pt idx="0">
                  <c:v>1398.0582524271845</c:v>
                </c:pt>
                <c:pt idx="1">
                  <c:v>1410</c:v>
                </c:pt>
                <c:pt idx="2" formatCode="0.00&quot; m&quot;">
                  <c:v>1410</c:v>
                </c:pt>
              </c:numCache>
            </c:numRef>
          </c:xVal>
          <c:yVal>
            <c:numRef>
              <c:f>'L. Conducción'!$U$41:$U$43</c:f>
              <c:numCache>
                <c:formatCode>0.00" m"</c:formatCode>
                <c:ptCount val="3"/>
                <c:pt idx="0">
                  <c:v>917.32730801112552</c:v>
                </c:pt>
                <c:pt idx="1">
                  <c:v>849.42003562579805</c:v>
                </c:pt>
                <c:pt idx="2">
                  <c:v>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5-44BE-8FCC-FFA3166E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  <c:majorUnit val="200"/>
        <c:minorUnit val="50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At val="0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'L. Conducción'!$AD$1:$AP$1</c:f>
          <c:strCache>
            <c:ptCount val="13"/>
            <c:pt idx="0">
              <c:v>Tercer Tramo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'L. Conducción'!$B$1:$N$1</c:f>
              <c:strCache>
                <c:ptCount val="1"/>
                <c:pt idx="0">
                  <c:v>Primer Tramo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'L. Conducción'!$AD$41:$AD$42</c:f>
              <c:numCache>
                <c:formatCode>0.00" m"</c:formatCode>
                <c:ptCount val="2"/>
                <c:pt idx="0">
                  <c:v>0</c:v>
                </c:pt>
                <c:pt idx="1">
                  <c:v>280</c:v>
                </c:pt>
              </c:numCache>
            </c:numRef>
          </c:xVal>
          <c:yVal>
            <c:numRef>
              <c:f>'L. Conducción'!$AE$41:$AE$42</c:f>
              <c:numCache>
                <c:formatCode>0.00" m"</c:formatCode>
                <c:ptCount val="2"/>
                <c:pt idx="0">
                  <c:v>1000</c:v>
                </c:pt>
                <c:pt idx="1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6D-41DB-A9C8-79D2521046D0}"/>
            </c:ext>
          </c:extLst>
        </c:ser>
        <c:ser>
          <c:idx val="1"/>
          <c:order val="1"/>
          <c:tx>
            <c:v>Presión</c:v>
          </c:tx>
          <c:spPr>
            <a:ln w="19050" cap="rnd">
              <a:solidFill>
                <a:srgbClr val="0077B6"/>
              </a:solidFill>
              <a:prstDash val="dash"/>
              <a:round/>
            </a:ln>
            <a:effectLst>
              <a:glow rad="76200">
                <a:srgbClr val="0077B6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0077B6"/>
              </a:solidFill>
              <a:ln w="9525" cap="rnd">
                <a:noFill/>
                <a:round/>
              </a:ln>
              <a:effectLst>
                <a:glow rad="76200">
                  <a:srgbClr val="0077B6">
                    <a:alpha val="10000"/>
                  </a:srgbClr>
                </a:glow>
              </a:effectLst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DA4-4C13-96BB-F2A198CCE5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Conducción'!$AF$41:$AF$44</c:f>
              <c:numCache>
                <c:formatCode>0.00" m"</c:formatCode>
                <c:ptCount val="4"/>
                <c:pt idx="0">
                  <c:v>0</c:v>
                </c:pt>
                <c:pt idx="1">
                  <c:v>0</c:v>
                </c:pt>
                <c:pt idx="2" formatCode="0&quot; m&quot;">
                  <c:v>267.96116504854371</c:v>
                </c:pt>
                <c:pt idx="3" formatCode="0&quot; m&quot;">
                  <c:v>267.96116504854371</c:v>
                </c:pt>
              </c:numCache>
            </c:numRef>
          </c:xVal>
          <c:yVal>
            <c:numRef>
              <c:f>'L. Conducción'!$AG$41:$AG$44</c:f>
              <c:numCache>
                <c:formatCode>0.00" m"</c:formatCode>
                <c:ptCount val="4"/>
                <c:pt idx="0">
                  <c:v>1000</c:v>
                </c:pt>
                <c:pt idx="1">
                  <c:v>999</c:v>
                </c:pt>
                <c:pt idx="2">
                  <c:v>985.92843605151222</c:v>
                </c:pt>
                <c:pt idx="3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6D-41DB-A9C8-79D2521046D0}"/>
            </c:ext>
          </c:extLst>
        </c:ser>
        <c:ser>
          <c:idx val="2"/>
          <c:order val="2"/>
          <c:tx>
            <c:v>Presión 2</c:v>
          </c:tx>
          <c:spPr>
            <a:ln w="19050" cap="rnd">
              <a:solidFill>
                <a:srgbClr val="90E0EF">
                  <a:alpha val="92000"/>
                </a:srgbClr>
              </a:solidFill>
              <a:prstDash val="dash"/>
              <a:round/>
            </a:ln>
            <a:effectLst>
              <a:glow rad="76200">
                <a:srgbClr val="90E0EF">
                  <a:alpha val="10000"/>
                </a:srgbClr>
              </a:glow>
            </a:effectLst>
          </c:spPr>
          <c:marker>
            <c:symbol val="circle"/>
            <c:size val="6"/>
            <c:spPr>
              <a:solidFill>
                <a:srgbClr val="90E0EF"/>
              </a:solidFill>
              <a:ln w="9525" cap="rnd">
                <a:solidFill>
                  <a:schemeClr val="accent3"/>
                </a:solidFill>
                <a:round/>
              </a:ln>
              <a:effectLst>
                <a:glow rad="76200">
                  <a:srgbClr val="90E0EF">
                    <a:alpha val="10000"/>
                  </a:srgbClr>
                </a:glo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86D-41DB-A9C8-79D2521046D0}"/>
                </c:ext>
              </c:extLst>
            </c:dLbl>
            <c:numFmt formatCode="0.00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'L. Conducción'!$AH$41:$AH$43</c:f>
              <c:numCache>
                <c:formatCode>0" m"</c:formatCode>
                <c:ptCount val="3"/>
                <c:pt idx="0">
                  <c:v>267.96116504854371</c:v>
                </c:pt>
                <c:pt idx="1">
                  <c:v>280</c:v>
                </c:pt>
                <c:pt idx="2" formatCode="0.00&quot; m&quot;">
                  <c:v>280</c:v>
                </c:pt>
              </c:numCache>
            </c:numRef>
          </c:xVal>
          <c:yVal>
            <c:numRef>
              <c:f>'L. Conducción'!$AI$41:$AI$43</c:f>
              <c:numCache>
                <c:formatCode>0.00" m"</c:formatCode>
                <c:ptCount val="3"/>
                <c:pt idx="0">
                  <c:v>985.92843605151222</c:v>
                </c:pt>
                <c:pt idx="1">
                  <c:v>890.14945480591564</c:v>
                </c:pt>
                <c:pt idx="2">
                  <c:v>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86D-41DB-A9C8-79D252104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453776"/>
        <c:axId val="1227455696"/>
      </c:scatterChart>
      <c:valAx>
        <c:axId val="122745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5696"/>
        <c:crosses val="autoZero"/>
        <c:crossBetween val="midCat"/>
      </c:valAx>
      <c:valAx>
        <c:axId val="12274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&quot; 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27453776"/>
        <c:crosses val="autoZero"/>
        <c:crossBetween val="midCat"/>
      </c:valAx>
      <c:spPr>
        <a:noFill/>
        <a:ln>
          <a:noFill/>
        </a:ln>
        <a:effectLst>
          <a:glow rad="127000">
            <a:srgbClr val="0077B6"/>
          </a:glow>
        </a:effectLst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696199</xdr:colOff>
      <xdr:row>1</xdr:row>
      <xdr:rowOff>155407</xdr:rowOff>
    </xdr:from>
    <xdr:to>
      <xdr:col>14</xdr:col>
      <xdr:colOff>76353</xdr:colOff>
      <xdr:row>12</xdr:row>
      <xdr:rowOff>20447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790A84-A9DE-24F0-7419-5578118FC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21286</xdr:colOff>
      <xdr:row>1</xdr:row>
      <xdr:rowOff>57436</xdr:rowOff>
    </xdr:from>
    <xdr:to>
      <xdr:col>27</xdr:col>
      <xdr:colOff>566058</xdr:colOff>
      <xdr:row>11</xdr:row>
      <xdr:rowOff>151076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39378F-2471-4FF0-B162-C7A13A788D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696199</xdr:colOff>
      <xdr:row>1</xdr:row>
      <xdr:rowOff>155407</xdr:rowOff>
    </xdr:from>
    <xdr:to>
      <xdr:col>42</xdr:col>
      <xdr:colOff>76353</xdr:colOff>
      <xdr:row>12</xdr:row>
      <xdr:rowOff>20447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12B078-6A07-4344-9086-B891A716C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F323-8443-4094-B19E-EB6A33AF82AC}">
  <sheetPr>
    <tabColor rgb="FF90E0EF"/>
  </sheetPr>
  <dimension ref="A1:K26"/>
  <sheetViews>
    <sheetView showGridLines="0" topLeftCell="A10" zoomScale="145" zoomScaleNormal="145" workbookViewId="0">
      <selection activeCell="D20" sqref="D20"/>
    </sheetView>
  </sheetViews>
  <sheetFormatPr baseColWidth="10" defaultColWidth="11.54296875" defaultRowHeight="14.5" x14ac:dyDescent="0.35"/>
  <cols>
    <col min="1" max="1" width="11.54296875" style="4"/>
    <col min="2" max="2" width="12.81640625" style="4" customWidth="1"/>
    <col min="3" max="3" width="11" style="4" customWidth="1"/>
    <col min="4" max="4" width="14.90625" style="4" bestFit="1" customWidth="1"/>
    <col min="5" max="5" width="4" style="4" bestFit="1" customWidth="1"/>
    <col min="6" max="16384" width="11.54296875" style="4"/>
  </cols>
  <sheetData>
    <row r="1" spans="1:11" x14ac:dyDescent="0.35">
      <c r="A1" s="40" t="s">
        <v>0</v>
      </c>
      <c r="B1" s="40"/>
      <c r="C1" s="40"/>
      <c r="D1" s="40"/>
      <c r="E1" s="40"/>
      <c r="F1" s="40"/>
      <c r="G1" s="40"/>
      <c r="H1" s="1"/>
      <c r="I1" s="1"/>
      <c r="J1" s="1"/>
      <c r="K1" s="1"/>
    </row>
    <row r="2" spans="1:11" x14ac:dyDescent="0.35">
      <c r="A2" s="40"/>
      <c r="B2" s="40"/>
      <c r="C2" s="40"/>
      <c r="D2" s="40"/>
      <c r="E2" s="40"/>
      <c r="F2" s="40"/>
      <c r="G2" s="40"/>
      <c r="H2" s="1"/>
      <c r="I2" s="1"/>
      <c r="J2" s="1"/>
      <c r="K2" s="1"/>
    </row>
    <row r="3" spans="1:11" x14ac:dyDescent="0.35">
      <c r="A3" s="40"/>
      <c r="B3" s="40"/>
      <c r="C3" s="40"/>
      <c r="D3" s="40"/>
      <c r="E3" s="40"/>
      <c r="F3" s="40"/>
      <c r="G3" s="40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53" t="s">
        <v>1</v>
      </c>
      <c r="B5" s="53"/>
      <c r="C5" s="53"/>
      <c r="D5" s="53"/>
      <c r="E5" s="1"/>
      <c r="F5" s="1"/>
      <c r="G5" s="1"/>
      <c r="H5" s="1"/>
      <c r="I5" s="1"/>
      <c r="J5" s="1"/>
      <c r="K5" s="1"/>
    </row>
    <row r="6" spans="1:11" ht="28.75" customHeight="1" x14ac:dyDescent="0.35">
      <c r="A6" s="45" t="s">
        <v>8</v>
      </c>
      <c r="B6" s="46"/>
      <c r="C6" s="47"/>
      <c r="D6" s="2" t="str" cm="1">
        <f t="array" ref="D6">_xlfn.IFS(A6="Llena Cantaros","30-60 L/Hab/d",A6="Llena Cantaros y Conexiones Prediales","60-90 L/Hab/d",A6="Conexiones Prediales Fuera de la Vivienda","60-120 L/Hab/d",A6="Conexiones Intradomiciliares","90-170 L/Hab/d",A6="Pozo excavado o Hincado con Bomba Manual","20 L/Hab/d",A6="Servicio de Aljibes","20 L/Hab/d")</f>
        <v>90-170 L/Hab/d</v>
      </c>
      <c r="E6" s="1"/>
      <c r="F6" s="1"/>
      <c r="G6" s="1"/>
      <c r="H6" s="1"/>
      <c r="I6" s="1"/>
      <c r="J6" s="1"/>
      <c r="K6" s="1"/>
    </row>
    <row r="7" spans="1:11" x14ac:dyDescent="0.35">
      <c r="A7" s="44" t="s">
        <v>7</v>
      </c>
      <c r="B7" s="44"/>
      <c r="C7" s="44"/>
      <c r="D7" s="11">
        <v>100</v>
      </c>
      <c r="E7" s="1"/>
      <c r="F7" s="1"/>
      <c r="G7" s="1"/>
      <c r="H7" s="1"/>
      <c r="I7" s="1"/>
      <c r="J7" s="1"/>
      <c r="K7" s="1"/>
    </row>
    <row r="8" spans="1:11" x14ac:dyDescent="0.35">
      <c r="A8" s="48" t="s">
        <v>15</v>
      </c>
      <c r="B8" s="49"/>
      <c r="C8" s="50"/>
      <c r="D8" s="12">
        <v>0.2</v>
      </c>
      <c r="E8" s="1"/>
      <c r="F8" s="1"/>
      <c r="G8" s="1"/>
      <c r="H8" s="1"/>
      <c r="I8" s="1"/>
      <c r="J8" s="1"/>
      <c r="K8" s="1"/>
    </row>
    <row r="9" spans="1:11" x14ac:dyDescent="0.35">
      <c r="A9" s="44" t="s">
        <v>2</v>
      </c>
      <c r="B9" s="44"/>
      <c r="C9" s="44"/>
      <c r="D9" s="13">
        <v>6</v>
      </c>
      <c r="E9" s="1"/>
      <c r="F9" s="1"/>
      <c r="G9" s="1"/>
      <c r="H9" s="1"/>
      <c r="I9" s="1"/>
      <c r="J9" s="1"/>
      <c r="K9" s="1"/>
    </row>
    <row r="10" spans="1:11" x14ac:dyDescent="0.35">
      <c r="A10" s="44" t="s">
        <v>3</v>
      </c>
      <c r="B10" s="44"/>
      <c r="C10" s="44"/>
      <c r="D10" s="14">
        <v>23</v>
      </c>
      <c r="E10" s="1"/>
      <c r="F10" s="1"/>
      <c r="G10" s="1"/>
      <c r="H10" s="1"/>
      <c r="I10" s="1"/>
      <c r="J10" s="1"/>
      <c r="K10" s="1"/>
    </row>
    <row r="11" spans="1:11" x14ac:dyDescent="0.35">
      <c r="A11" s="44" t="s">
        <v>4</v>
      </c>
      <c r="B11" s="44"/>
      <c r="C11" s="44"/>
      <c r="D11" s="15">
        <v>2.3400000000000001E-2</v>
      </c>
      <c r="E11" s="1"/>
      <c r="F11" s="1"/>
      <c r="G11" s="1"/>
      <c r="H11" s="1"/>
      <c r="I11" s="1"/>
      <c r="J11" s="1"/>
      <c r="K11" s="1"/>
    </row>
    <row r="12" spans="1:11" x14ac:dyDescent="0.35">
      <c r="A12" s="44" t="s">
        <v>5</v>
      </c>
      <c r="B12" s="44"/>
      <c r="C12" s="44"/>
      <c r="D12" s="2">
        <f>(D11+1)^D10</f>
        <v>1.7023328923375658</v>
      </c>
      <c r="E12" s="1"/>
      <c r="F12" s="1"/>
      <c r="G12" s="1"/>
      <c r="H12" s="1"/>
      <c r="I12" s="1"/>
      <c r="J12" s="1"/>
      <c r="K12" s="1"/>
    </row>
    <row r="13" spans="1:11" x14ac:dyDescent="0.35">
      <c r="A13" s="44" t="s">
        <v>6</v>
      </c>
      <c r="B13" s="44"/>
      <c r="C13" s="44"/>
      <c r="D13" s="16">
        <v>100</v>
      </c>
      <c r="E13" s="1"/>
      <c r="F13" s="1"/>
      <c r="G13" s="1"/>
      <c r="H13" s="1"/>
      <c r="I13" s="1"/>
      <c r="J13" s="1"/>
      <c r="K13" s="1"/>
    </row>
    <row r="14" spans="1:11" x14ac:dyDescent="0.35">
      <c r="A14" s="48" t="s">
        <v>12</v>
      </c>
      <c r="B14" s="49"/>
      <c r="C14" s="50"/>
      <c r="D14" s="12" t="s">
        <v>11</v>
      </c>
      <c r="E14" s="1"/>
      <c r="F14" s="1"/>
      <c r="G14" s="1"/>
      <c r="H14" s="1"/>
      <c r="I14" s="1"/>
      <c r="J14" s="1"/>
      <c r="K14" s="1"/>
    </row>
    <row r="15" spans="1:11" x14ac:dyDescent="0.35">
      <c r="A15" s="48" t="s">
        <v>9</v>
      </c>
      <c r="B15" s="49"/>
      <c r="C15" s="50"/>
      <c r="D15" s="17" t="s">
        <v>10</v>
      </c>
      <c r="E15" s="1"/>
      <c r="F15" s="1"/>
      <c r="G15" s="1" t="s">
        <v>23</v>
      </c>
      <c r="H15" s="1"/>
    </row>
    <row r="16" spans="1:11" x14ac:dyDescent="0.35">
      <c r="A16" s="44" t="s">
        <v>13</v>
      </c>
      <c r="B16" s="44"/>
      <c r="C16" s="44"/>
      <c r="D16" s="2" t="s">
        <v>14</v>
      </c>
      <c r="E16" s="1"/>
      <c r="F16" s="1"/>
      <c r="G16" s="1"/>
    </row>
    <row r="18" spans="1:11" x14ac:dyDescent="0.35">
      <c r="A18" s="54" t="s">
        <v>22</v>
      </c>
      <c r="B18" s="55"/>
      <c r="C18" s="55"/>
      <c r="D18" s="55"/>
      <c r="E18" s="55"/>
      <c r="F18" s="55"/>
      <c r="G18" s="55"/>
    </row>
    <row r="19" spans="1:11" x14ac:dyDescent="0.35">
      <c r="A19" s="3" t="s">
        <v>17</v>
      </c>
      <c r="B19" s="3" t="s">
        <v>19</v>
      </c>
      <c r="C19" s="3" t="s">
        <v>21</v>
      </c>
      <c r="D19" s="41" t="s">
        <v>20</v>
      </c>
      <c r="E19" s="42"/>
      <c r="F19" s="43"/>
      <c r="G19" s="3" t="s">
        <v>18</v>
      </c>
    </row>
    <row r="20" spans="1:11" x14ac:dyDescent="0.35">
      <c r="A20" s="2" t="s">
        <v>36</v>
      </c>
      <c r="B20" s="12">
        <v>1</v>
      </c>
      <c r="C20" s="18">
        <v>860</v>
      </c>
      <c r="D20" s="2"/>
      <c r="E20" s="2"/>
      <c r="F20" s="2"/>
      <c r="G20" s="19">
        <v>40</v>
      </c>
      <c r="H20" s="51" t="s">
        <v>39</v>
      </c>
      <c r="I20" s="52"/>
      <c r="J20" s="52"/>
      <c r="K20" s="52"/>
    </row>
    <row r="21" spans="1:11" x14ac:dyDescent="0.35">
      <c r="A21" s="2" t="s">
        <v>36</v>
      </c>
      <c r="B21" s="12">
        <v>2</v>
      </c>
      <c r="C21" s="18">
        <v>810</v>
      </c>
      <c r="D21" s="2"/>
      <c r="E21" s="2"/>
      <c r="F21" s="2"/>
      <c r="G21" s="19">
        <v>38</v>
      </c>
    </row>
    <row r="22" spans="1:11" x14ac:dyDescent="0.35">
      <c r="A22" s="2" t="s">
        <v>16</v>
      </c>
      <c r="B22" s="12">
        <v>3</v>
      </c>
      <c r="C22" s="18">
        <v>800</v>
      </c>
      <c r="D22" s="2">
        <v>1</v>
      </c>
      <c r="E22" s="2">
        <v>2</v>
      </c>
      <c r="F22" s="2"/>
      <c r="G22" s="19">
        <v>62</v>
      </c>
    </row>
    <row r="23" spans="1:11" x14ac:dyDescent="0.35">
      <c r="A23" s="2" t="s">
        <v>36</v>
      </c>
      <c r="B23" s="12">
        <v>4</v>
      </c>
      <c r="C23" s="18">
        <v>790</v>
      </c>
      <c r="D23" s="2"/>
      <c r="E23" s="2"/>
      <c r="F23" s="2"/>
      <c r="G23" s="19">
        <f>54+30</f>
        <v>84</v>
      </c>
    </row>
    <row r="24" spans="1:11" x14ac:dyDescent="0.35">
      <c r="A24" s="2" t="s">
        <v>16</v>
      </c>
      <c r="B24" s="12">
        <v>5</v>
      </c>
      <c r="C24" s="18">
        <v>780</v>
      </c>
      <c r="D24" s="2">
        <v>4</v>
      </c>
      <c r="E24" s="2">
        <v>3</v>
      </c>
      <c r="F24" s="2"/>
      <c r="G24" s="19">
        <v>26</v>
      </c>
    </row>
    <row r="25" spans="1:11" x14ac:dyDescent="0.35">
      <c r="A25" s="2" t="s">
        <v>36</v>
      </c>
      <c r="B25" s="12">
        <v>6</v>
      </c>
      <c r="C25" s="18">
        <v>770</v>
      </c>
      <c r="D25" s="2"/>
      <c r="E25" s="2"/>
      <c r="F25" s="2"/>
      <c r="G25" s="19">
        <f>36+38</f>
        <v>74</v>
      </c>
    </row>
    <row r="26" spans="1:11" x14ac:dyDescent="0.35">
      <c r="A26" s="2" t="s">
        <v>16</v>
      </c>
      <c r="B26" s="12">
        <v>7</v>
      </c>
      <c r="C26" s="18">
        <v>760</v>
      </c>
      <c r="D26" s="2">
        <v>5</v>
      </c>
      <c r="E26" s="2">
        <v>6</v>
      </c>
      <c r="F26" s="2"/>
      <c r="G26" s="19">
        <f>42*2</f>
        <v>84</v>
      </c>
      <c r="H26" s="51" t="s">
        <v>40</v>
      </c>
      <c r="I26" s="52"/>
      <c r="J26" s="52"/>
      <c r="K26" s="52"/>
    </row>
  </sheetData>
  <sortState xmlns:xlrd2="http://schemas.microsoft.com/office/spreadsheetml/2017/richdata2" ref="C20:C26">
    <sortCondition descending="1" ref="C26"/>
  </sortState>
  <mergeCells count="17">
    <mergeCell ref="H20:K20"/>
    <mergeCell ref="H26:K26"/>
    <mergeCell ref="A5:D5"/>
    <mergeCell ref="A9:C9"/>
    <mergeCell ref="A10:C10"/>
    <mergeCell ref="A18:G18"/>
    <mergeCell ref="A1:G3"/>
    <mergeCell ref="D19:F19"/>
    <mergeCell ref="A16:C16"/>
    <mergeCell ref="A6:C6"/>
    <mergeCell ref="A7:C7"/>
    <mergeCell ref="A14:C14"/>
    <mergeCell ref="A15:C15"/>
    <mergeCell ref="A8:C8"/>
    <mergeCell ref="A11:C11"/>
    <mergeCell ref="A12:C12"/>
    <mergeCell ref="A13:C13"/>
  </mergeCells>
  <conditionalFormatting sqref="D15">
    <cfRule type="expression" dxfId="9" priority="4">
      <formula>$D$14="Bombeo"</formula>
    </cfRule>
  </conditionalFormatting>
  <conditionalFormatting sqref="D20:D26">
    <cfRule type="expression" dxfId="8" priority="3">
      <formula>A20="S"</formula>
    </cfRule>
  </conditionalFormatting>
  <conditionalFormatting sqref="E20:E26">
    <cfRule type="expression" dxfId="7" priority="2">
      <formula>A20="S"</formula>
    </cfRule>
  </conditionalFormatting>
  <conditionalFormatting sqref="F20:F26">
    <cfRule type="expression" dxfId="6" priority="1">
      <formula>A20="S"</formula>
    </cfRule>
  </conditionalFormatting>
  <dataValidations count="6">
    <dataValidation type="list" allowBlank="1" showInputMessage="1" showErrorMessage="1" sqref="A6:C6" xr:uid="{B7B09244-B3B4-40AD-A16D-CCE6E28CB516}">
      <formula1>"Llena Cantaros,Llena Cantaros y Conexiones Prediales,Conexiones Prediales Fuera de la Vivienda,Conexiones Intradomiciliares,Pozo excavado o Hincado con Bomba Manual,Servicio de Aljibes"</formula1>
    </dataValidation>
    <dataValidation type="list" allowBlank="1" showInputMessage="1" showErrorMessage="1" sqref="D15" xr:uid="{A85A8EB6-F6F6-4C94-B72B-5D330293351A}">
      <formula1>"Máximo,Mínimo"</formula1>
    </dataValidation>
    <dataValidation type="list" allowBlank="1" showInputMessage="1" showErrorMessage="1" sqref="D14" xr:uid="{C9CC3986-0B4D-41EC-B0CD-CC78526E4899}">
      <formula1>"Gravedad,Bombeo"</formula1>
    </dataValidation>
    <dataValidation type="list" allowBlank="1" showInputMessage="1" showErrorMessage="1" sqref="D16" xr:uid="{C7783711-9BA7-4F5A-9726-F035A47E18F8}">
      <formula1>"Motor Diesel,Motor Eléctrico"</formula1>
    </dataValidation>
    <dataValidation type="list" allowBlank="1" showInputMessage="1" showErrorMessage="1" sqref="D8" xr:uid="{4FDE4504-1D3F-4EB2-B305-EA56EC68F5DD}">
      <formula1>"0.2,0.15"</formula1>
    </dataValidation>
    <dataValidation type="list" allowBlank="1" showInputMessage="1" showErrorMessage="1" sqref="A20:A26" xr:uid="{A2C250ED-E968-43FB-819D-52CE4DC3075E}">
      <formula1>"F,S"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452C-6323-459A-BDFE-A9DF7C69A49D}">
  <sheetPr>
    <tabColor rgb="FF47BFFF"/>
    <pageSetUpPr fitToPage="1"/>
  </sheetPr>
  <dimension ref="B1:AP44"/>
  <sheetViews>
    <sheetView showGridLines="0" topLeftCell="U1" zoomScale="71" zoomScaleNormal="400" workbookViewId="0">
      <selection activeCell="AF53" sqref="AF53"/>
    </sheetView>
  </sheetViews>
  <sheetFormatPr baseColWidth="10" defaultColWidth="11.54296875" defaultRowHeight="14.5" x14ac:dyDescent="0.35"/>
  <cols>
    <col min="1" max="1" width="11.54296875" style="1"/>
    <col min="2" max="2" width="11.6328125" style="1" bestFit="1" customWidth="1"/>
    <col min="3" max="3" width="13.54296875" style="1" bestFit="1" customWidth="1"/>
    <col min="4" max="4" width="9" style="1" bestFit="1" customWidth="1"/>
    <col min="5" max="5" width="11.81640625" style="1" bestFit="1" customWidth="1"/>
    <col min="6" max="6" width="3.36328125" style="1" customWidth="1"/>
    <col min="7" max="7" width="10.54296875" style="1" bestFit="1" customWidth="1"/>
    <col min="8" max="8" width="3.6328125" style="1" customWidth="1"/>
    <col min="9" max="9" width="6.453125" style="1" bestFit="1" customWidth="1"/>
    <col min="10" max="10" width="14.54296875" style="1" customWidth="1"/>
    <col min="11" max="11" width="4.90625" style="1" bestFit="1" customWidth="1"/>
    <col min="12" max="12" width="8.08984375" style="1" bestFit="1" customWidth="1"/>
    <col min="13" max="13" width="2.1796875" style="1" bestFit="1" customWidth="1"/>
    <col min="14" max="14" width="9.36328125" style="1" bestFit="1" customWidth="1"/>
    <col min="15" max="15" width="11.54296875" style="1"/>
    <col min="16" max="16" width="11.54296875" style="1" bestFit="1" customWidth="1"/>
    <col min="17" max="17" width="11.81640625" style="1" bestFit="1" customWidth="1"/>
    <col min="18" max="18" width="10.54296875" style="1" bestFit="1" customWidth="1"/>
    <col min="19" max="19" width="11.6328125" style="1" bestFit="1" customWidth="1"/>
    <col min="20" max="20" width="9.90625" style="1" bestFit="1" customWidth="1"/>
    <col min="21" max="21" width="12.36328125" style="1" bestFit="1" customWidth="1"/>
    <col min="22" max="22" width="11.54296875" style="1"/>
    <col min="23" max="23" width="6.54296875" style="1" bestFit="1" customWidth="1"/>
    <col min="24" max="24" width="13.1796875" style="1" customWidth="1"/>
    <col min="25" max="25" width="5.36328125" style="1" bestFit="1" customWidth="1"/>
    <col min="26" max="26" width="9.36328125" style="1" bestFit="1" customWidth="1"/>
    <col min="27" max="27" width="2.54296875" style="1" bestFit="1" customWidth="1"/>
    <col min="28" max="28" width="9.36328125" style="1" bestFit="1" customWidth="1"/>
    <col min="29" max="29" width="11.54296875" style="1"/>
    <col min="30" max="31" width="11.1796875" style="1" bestFit="1" customWidth="1"/>
    <col min="32" max="32" width="14.54296875" style="1" customWidth="1"/>
    <col min="33" max="33" width="5.6328125" style="1" customWidth="1"/>
    <col min="34" max="34" width="2.90625" style="1" customWidth="1"/>
    <col min="35" max="35" width="10.90625" style="1" customWidth="1"/>
    <col min="36" max="38" width="11.54296875" style="1"/>
    <col min="39" max="39" width="5.1796875" style="1" bestFit="1" customWidth="1"/>
    <col min="40" max="40" width="7.6328125" style="1" bestFit="1" customWidth="1"/>
    <col min="41" max="41" width="2.54296875" style="1" bestFit="1" customWidth="1"/>
    <col min="42" max="42" width="9" style="1" bestFit="1" customWidth="1"/>
    <col min="43" max="16384" width="11.54296875" style="1"/>
  </cols>
  <sheetData>
    <row r="1" spans="2:42" ht="31" x14ac:dyDescent="0.35">
      <c r="B1" s="62" t="s">
        <v>41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P1" s="62" t="s">
        <v>71</v>
      </c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D1" s="62" t="s">
        <v>83</v>
      </c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</row>
    <row r="3" spans="2:42" x14ac:dyDescent="0.35">
      <c r="B3" s="53" t="s">
        <v>42</v>
      </c>
      <c r="C3" s="53"/>
      <c r="D3" s="53"/>
      <c r="E3" s="53" t="s">
        <v>67</v>
      </c>
      <c r="F3" s="53"/>
      <c r="G3" s="53"/>
      <c r="P3" s="41" t="s">
        <v>42</v>
      </c>
      <c r="Q3" s="42"/>
      <c r="R3" s="43"/>
      <c r="S3" s="41" t="s">
        <v>67</v>
      </c>
      <c r="T3" s="42"/>
      <c r="U3" s="43"/>
      <c r="AD3" s="53" t="s">
        <v>42</v>
      </c>
      <c r="AE3" s="53"/>
      <c r="AF3" s="53"/>
      <c r="AG3" s="53" t="s">
        <v>67</v>
      </c>
      <c r="AH3" s="53"/>
      <c r="AI3" s="53"/>
    </row>
    <row r="4" spans="2:42" x14ac:dyDescent="0.35">
      <c r="B4" s="27" t="s">
        <v>43</v>
      </c>
      <c r="C4" s="28">
        <v>7.2</v>
      </c>
      <c r="D4" s="2" t="s">
        <v>78</v>
      </c>
      <c r="E4" s="29" t="s">
        <v>68</v>
      </c>
      <c r="F4" s="71">
        <f>C4</f>
        <v>7.2</v>
      </c>
      <c r="G4" s="71"/>
      <c r="P4" s="27" t="s">
        <v>43</v>
      </c>
      <c r="Q4" s="28">
        <v>7.2</v>
      </c>
      <c r="R4" s="2" t="s">
        <v>78</v>
      </c>
      <c r="S4" s="29" t="s">
        <v>68</v>
      </c>
      <c r="T4" s="64">
        <f>Q4</f>
        <v>7.2</v>
      </c>
      <c r="U4" s="65"/>
      <c r="AD4" s="27" t="s">
        <v>43</v>
      </c>
      <c r="AE4" s="28">
        <v>7.2</v>
      </c>
      <c r="AF4" s="2" t="s">
        <v>78</v>
      </c>
      <c r="AG4" s="29" t="s">
        <v>68</v>
      </c>
      <c r="AH4" s="71">
        <f>AE4</f>
        <v>7.2</v>
      </c>
      <c r="AI4" s="71"/>
    </row>
    <row r="5" spans="2:42" ht="16.5" x14ac:dyDescent="0.35">
      <c r="B5" s="27" t="s">
        <v>72</v>
      </c>
      <c r="C5" s="18">
        <v>1000</v>
      </c>
      <c r="D5" s="18">
        <v>0</v>
      </c>
      <c r="E5" s="29" t="s">
        <v>69</v>
      </c>
      <c r="F5" s="69">
        <f>B23</f>
        <v>3</v>
      </c>
      <c r="G5" s="69"/>
      <c r="P5" s="27" t="s">
        <v>72</v>
      </c>
      <c r="Q5" s="18">
        <v>920</v>
      </c>
      <c r="R5" s="18">
        <v>900</v>
      </c>
      <c r="S5" s="29" t="s">
        <v>69</v>
      </c>
      <c r="T5" s="66">
        <f>P23</f>
        <v>6</v>
      </c>
      <c r="U5" s="67"/>
      <c r="AD5" s="27" t="s">
        <v>72</v>
      </c>
      <c r="AE5" s="18">
        <v>1000</v>
      </c>
      <c r="AF5" s="18">
        <v>0</v>
      </c>
      <c r="AG5" s="29" t="s">
        <v>69</v>
      </c>
      <c r="AH5" s="69">
        <f>AD23</f>
        <v>3</v>
      </c>
      <c r="AI5" s="69"/>
    </row>
    <row r="6" spans="2:42" ht="16.5" x14ac:dyDescent="0.35">
      <c r="B6" s="27" t="s">
        <v>73</v>
      </c>
      <c r="C6" s="18">
        <v>1</v>
      </c>
      <c r="E6" s="29" t="s">
        <v>63</v>
      </c>
      <c r="F6" s="56">
        <f>N21</f>
        <v>750</v>
      </c>
      <c r="G6" s="57"/>
      <c r="P6" s="27" t="s">
        <v>73</v>
      </c>
      <c r="Q6" s="18">
        <v>1</v>
      </c>
      <c r="S6" s="29" t="s">
        <v>63</v>
      </c>
      <c r="T6" s="56">
        <f>AB21</f>
        <v>1440</v>
      </c>
      <c r="U6" s="57"/>
      <c r="AD6" s="27" t="s">
        <v>73</v>
      </c>
      <c r="AE6" s="18">
        <v>1</v>
      </c>
      <c r="AG6" s="29" t="s">
        <v>63</v>
      </c>
      <c r="AH6" s="56">
        <f>AP21</f>
        <v>276</v>
      </c>
      <c r="AI6" s="57"/>
    </row>
    <row r="7" spans="2:42" ht="16.5" x14ac:dyDescent="0.35">
      <c r="B7" s="2" t="s">
        <v>44</v>
      </c>
      <c r="C7" s="21">
        <f>C5-C6</f>
        <v>999</v>
      </c>
      <c r="D7" s="32">
        <f>C7-F7</f>
        <v>973.524024233663</v>
      </c>
      <c r="E7" s="29" t="s">
        <v>65</v>
      </c>
      <c r="F7" s="68">
        <f>N30</f>
        <v>25.475975766336997</v>
      </c>
      <c r="G7" s="68"/>
      <c r="P7" s="2" t="s">
        <v>44</v>
      </c>
      <c r="Q7" s="21">
        <f>Q5-Q6</f>
        <v>919</v>
      </c>
      <c r="R7" s="32">
        <f>Q7-T7</f>
        <v>917.32730801112552</v>
      </c>
      <c r="S7" s="29" t="s">
        <v>65</v>
      </c>
      <c r="T7" s="56">
        <f>AB30</f>
        <v>1.6726919888744298</v>
      </c>
      <c r="U7" s="57"/>
      <c r="AD7" s="2" t="s">
        <v>44</v>
      </c>
      <c r="AE7" s="21">
        <f>AE5-AE6</f>
        <v>999</v>
      </c>
      <c r="AF7" s="32">
        <f>AE7-AH7</f>
        <v>985.92843605151222</v>
      </c>
      <c r="AG7" s="29" t="s">
        <v>65</v>
      </c>
      <c r="AH7" s="68">
        <f>AP30</f>
        <v>13.071563948487752</v>
      </c>
      <c r="AI7" s="68"/>
    </row>
    <row r="8" spans="2:42" ht="16.5" x14ac:dyDescent="0.35">
      <c r="B8" s="27" t="s">
        <v>74</v>
      </c>
      <c r="C8" s="18">
        <v>920</v>
      </c>
      <c r="E8" s="29" t="s">
        <v>70</v>
      </c>
      <c r="F8" s="69">
        <f>C23</f>
        <v>2</v>
      </c>
      <c r="G8" s="69"/>
      <c r="P8" s="27" t="s">
        <v>74</v>
      </c>
      <c r="Q8" s="18">
        <v>840</v>
      </c>
      <c r="S8" s="29" t="s">
        <v>70</v>
      </c>
      <c r="T8" s="66">
        <f>Q23</f>
        <v>1</v>
      </c>
      <c r="U8" s="67"/>
      <c r="AD8" s="27" t="s">
        <v>74</v>
      </c>
      <c r="AE8" s="18">
        <v>880</v>
      </c>
      <c r="AG8" s="29" t="s">
        <v>70</v>
      </c>
      <c r="AH8" s="69">
        <f>AE23</f>
        <v>1</v>
      </c>
      <c r="AI8" s="69"/>
    </row>
    <row r="9" spans="2:42" ht="16.5" x14ac:dyDescent="0.35">
      <c r="B9" s="27" t="s">
        <v>75</v>
      </c>
      <c r="C9" s="18">
        <v>10</v>
      </c>
      <c r="E9" s="29" t="s">
        <v>61</v>
      </c>
      <c r="F9" s="56">
        <f>N26</f>
        <v>180</v>
      </c>
      <c r="G9" s="57"/>
      <c r="P9" s="27" t="s">
        <v>75</v>
      </c>
      <c r="Q9" s="18">
        <v>10</v>
      </c>
      <c r="S9" s="29" t="s">
        <v>61</v>
      </c>
      <c r="T9" s="56">
        <f>AB26</f>
        <v>9.49</v>
      </c>
      <c r="U9" s="57"/>
      <c r="AD9" s="27" t="s">
        <v>75</v>
      </c>
      <c r="AE9" s="18">
        <v>10</v>
      </c>
      <c r="AG9" s="29" t="s">
        <v>61</v>
      </c>
      <c r="AH9" s="56">
        <f>AP26</f>
        <v>9.6</v>
      </c>
      <c r="AI9" s="57"/>
    </row>
    <row r="10" spans="2:42" ht="16.5" x14ac:dyDescent="0.35">
      <c r="B10" s="2" t="s">
        <v>45</v>
      </c>
      <c r="C10" s="21">
        <f>C8+C9</f>
        <v>930</v>
      </c>
      <c r="D10" s="32">
        <f>D7-F10</f>
        <v>929.47802160131641</v>
      </c>
      <c r="E10" s="29" t="s">
        <v>66</v>
      </c>
      <c r="F10" s="68">
        <f>N33</f>
        <v>44.046002632346621</v>
      </c>
      <c r="G10" s="68"/>
      <c r="P10" s="2" t="s">
        <v>45</v>
      </c>
      <c r="Q10" s="21">
        <f>Q8+Q9</f>
        <v>850</v>
      </c>
      <c r="R10" s="32">
        <f>R7-T10</f>
        <v>849.42003562579805</v>
      </c>
      <c r="S10" s="29" t="s">
        <v>66</v>
      </c>
      <c r="T10" s="56">
        <f>AB33</f>
        <v>67.907272385327502</v>
      </c>
      <c r="U10" s="57"/>
      <c r="AD10" s="2" t="s">
        <v>45</v>
      </c>
      <c r="AE10" s="21">
        <f>AE8+AE9</f>
        <v>890</v>
      </c>
      <c r="AF10" s="32">
        <f>AF7-AH10</f>
        <v>890.14945480591564</v>
      </c>
      <c r="AG10" s="29" t="s">
        <v>66</v>
      </c>
      <c r="AH10" s="68">
        <f>AP33</f>
        <v>95.778981245596626</v>
      </c>
      <c r="AI10" s="68"/>
    </row>
    <row r="11" spans="2:42" ht="16.5" x14ac:dyDescent="0.35">
      <c r="B11" s="2" t="s">
        <v>46</v>
      </c>
      <c r="C11" s="18">
        <v>900</v>
      </c>
      <c r="D11" s="33">
        <f>C11*1.03</f>
        <v>927</v>
      </c>
      <c r="E11" s="29" t="s">
        <v>77</v>
      </c>
      <c r="F11" s="70">
        <f>F6+F9</f>
        <v>930</v>
      </c>
      <c r="G11" s="70"/>
      <c r="P11" s="2" t="s">
        <v>46</v>
      </c>
      <c r="Q11" s="18">
        <v>1410</v>
      </c>
      <c r="R11" s="33">
        <f>Q11*1.03</f>
        <v>1452.3</v>
      </c>
      <c r="S11" s="29" t="s">
        <v>77</v>
      </c>
      <c r="T11" s="72">
        <f>T6+T9</f>
        <v>1449.49</v>
      </c>
      <c r="U11" s="73"/>
      <c r="AD11" s="2" t="s">
        <v>46</v>
      </c>
      <c r="AE11" s="18">
        <v>280</v>
      </c>
      <c r="AF11" s="33">
        <f>AE11*1.03</f>
        <v>288.40000000000003</v>
      </c>
      <c r="AG11" s="29" t="s">
        <v>77</v>
      </c>
      <c r="AH11" s="70">
        <f>AH6+AH9</f>
        <v>285.60000000000002</v>
      </c>
      <c r="AI11" s="70"/>
    </row>
    <row r="12" spans="2:42" ht="16.5" x14ac:dyDescent="0.35">
      <c r="B12" s="2" t="s">
        <v>47</v>
      </c>
      <c r="C12" s="12">
        <v>140</v>
      </c>
      <c r="E12" s="29" t="s">
        <v>76</v>
      </c>
      <c r="F12" s="68">
        <f>F7+F10</f>
        <v>69.521978398683615</v>
      </c>
      <c r="G12" s="68"/>
      <c r="P12" s="2" t="s">
        <v>47</v>
      </c>
      <c r="Q12" s="12">
        <v>140</v>
      </c>
      <c r="S12" s="29" t="s">
        <v>76</v>
      </c>
      <c r="T12" s="56">
        <f>T7+T10</f>
        <v>69.579964374201936</v>
      </c>
      <c r="U12" s="57"/>
      <c r="AD12" s="2" t="s">
        <v>47</v>
      </c>
      <c r="AE12" s="12">
        <v>117</v>
      </c>
      <c r="AG12" s="29" t="s">
        <v>76</v>
      </c>
      <c r="AH12" s="68">
        <f>AH7+AH10</f>
        <v>108.85054519408438</v>
      </c>
      <c r="AI12" s="68"/>
    </row>
    <row r="13" spans="2:42" x14ac:dyDescent="0.35">
      <c r="B13" s="2" t="s">
        <v>48</v>
      </c>
      <c r="C13" s="21">
        <f>C7-C10</f>
        <v>69</v>
      </c>
      <c r="P13" s="2" t="s">
        <v>48</v>
      </c>
      <c r="Q13" s="21">
        <f>Q7-Q10</f>
        <v>69</v>
      </c>
      <c r="AD13" s="2" t="s">
        <v>48</v>
      </c>
      <c r="AE13" s="21">
        <f>AE7-AE10</f>
        <v>109</v>
      </c>
    </row>
    <row r="14" spans="2:42" ht="16.5" x14ac:dyDescent="0.35">
      <c r="B14" s="2" t="s">
        <v>62</v>
      </c>
      <c r="C14" s="18">
        <v>6</v>
      </c>
      <c r="P14" s="2" t="s">
        <v>62</v>
      </c>
      <c r="Q14" s="18">
        <v>6</v>
      </c>
      <c r="AD14" s="2" t="s">
        <v>62</v>
      </c>
      <c r="AE14" s="18">
        <v>6</v>
      </c>
    </row>
    <row r="16" spans="2:42" ht="16.5" x14ac:dyDescent="0.35">
      <c r="B16" s="53" t="s">
        <v>49</v>
      </c>
      <c r="C16" s="53"/>
      <c r="D16" s="53"/>
      <c r="E16" s="53"/>
      <c r="F16" s="53"/>
      <c r="G16" s="53"/>
      <c r="I16" s="41" t="s">
        <v>59</v>
      </c>
      <c r="J16" s="42"/>
      <c r="K16" s="42"/>
      <c r="L16" s="42"/>
      <c r="M16" s="42"/>
      <c r="N16" s="43"/>
      <c r="P16" s="53" t="s">
        <v>49</v>
      </c>
      <c r="Q16" s="53"/>
      <c r="R16" s="53"/>
      <c r="S16" s="53"/>
      <c r="T16" s="53"/>
      <c r="U16" s="53"/>
      <c r="W16" s="41" t="s">
        <v>59</v>
      </c>
      <c r="X16" s="42"/>
      <c r="Y16" s="42"/>
      <c r="Z16" s="42"/>
      <c r="AA16" s="42"/>
      <c r="AB16" s="43"/>
      <c r="AD16" s="53" t="s">
        <v>49</v>
      </c>
      <c r="AE16" s="53"/>
      <c r="AF16" s="53"/>
      <c r="AG16" s="53"/>
      <c r="AH16" s="53"/>
      <c r="AI16" s="53"/>
      <c r="AK16" s="41" t="s">
        <v>59</v>
      </c>
      <c r="AL16" s="42"/>
      <c r="AM16" s="42"/>
      <c r="AN16" s="42"/>
      <c r="AO16" s="42"/>
      <c r="AP16" s="43"/>
    </row>
    <row r="18" spans="2:42" ht="16.5" x14ac:dyDescent="0.35">
      <c r="B18" s="22" t="s">
        <v>50</v>
      </c>
      <c r="C18" s="58" t="str">
        <f>CONCATENATE("(1743.811*",ROUND(C4,2),"^1.852*",ROUND(D11,2),")^(1/4.87)")</f>
        <v>(1743.811*7.2^1.852*927)^(1/4.87)</v>
      </c>
      <c r="D18" s="58"/>
      <c r="E18" s="58"/>
      <c r="F18" s="1" t="s">
        <v>51</v>
      </c>
      <c r="G18" s="34">
        <f>((1743.811*C4^1.852*D11)/(C12^1.852*C13))^(1/4.87)</f>
        <v>2.5536558320773399</v>
      </c>
      <c r="I18" s="22"/>
      <c r="K18" s="22" t="s">
        <v>63</v>
      </c>
      <c r="L18" s="25">
        <f>G36</f>
        <v>748.99340585225013</v>
      </c>
      <c r="M18" s="1" t="s">
        <v>51</v>
      </c>
      <c r="N18" s="37">
        <f>L18/L19</f>
        <v>124.83223430870835</v>
      </c>
      <c r="P18" s="22" t="s">
        <v>50</v>
      </c>
      <c r="Q18" s="58" t="str">
        <f>CONCATENATE("(1743.811*",ROUND(Q4,2),"^1.852*",ROUND(R11,2),")^(1/4.87)")</f>
        <v>(1743.811*7.2^1.852*1452.3)^(1/4.87)</v>
      </c>
      <c r="R18" s="58"/>
      <c r="S18" s="58"/>
      <c r="T18" s="1" t="s">
        <v>51</v>
      </c>
      <c r="U18" s="34">
        <f>((1743.811*Q4^1.852*R11)/(Q12^1.852*Q13))^(1/4.87)</f>
        <v>2.800261751807501</v>
      </c>
      <c r="W18" s="22"/>
      <c r="Y18" s="22" t="s">
        <v>63</v>
      </c>
      <c r="Z18" s="25">
        <f>U36</f>
        <v>1442.8915190537186</v>
      </c>
      <c r="AA18" s="1" t="s">
        <v>51</v>
      </c>
      <c r="AB18" s="37">
        <f>Z18/Z19</f>
        <v>240.48191984228643</v>
      </c>
      <c r="AD18" s="22" t="s">
        <v>50</v>
      </c>
      <c r="AE18" s="58" t="str">
        <f>CONCATENATE("(1743.811*",ROUND(AE4,2),"^1.852*",ROUND(AF11,2),")^(1/4.87)")</f>
        <v>(1743.811*7.2^1.852*288.4)^(1/4.87)</v>
      </c>
      <c r="AF18" s="58"/>
      <c r="AG18" s="58"/>
      <c r="AH18" s="1" t="s">
        <v>51</v>
      </c>
      <c r="AI18" s="34">
        <f>((1743.811*AE4^1.852*AF11)/(AE12^1.852*AE13))^(1/4.87)</f>
        <v>1.9584073318370412</v>
      </c>
      <c r="AK18" s="22"/>
      <c r="AM18" s="22" t="s">
        <v>63</v>
      </c>
      <c r="AN18" s="25">
        <f>AI36</f>
        <v>278.79830358635536</v>
      </c>
      <c r="AO18" s="1" t="s">
        <v>51</v>
      </c>
      <c r="AP18" s="37">
        <f>AN18/AN19</f>
        <v>46.466383931059227</v>
      </c>
    </row>
    <row r="19" spans="2:42" x14ac:dyDescent="0.35">
      <c r="C19" s="59" t="str">
        <f>CONCATENATE("(", ROUND(C12, 2), "^1.852*", ROUND(C13, 2), ")^(1/4.87)")</f>
        <v>(140^1.852*69)^(1/4.87)</v>
      </c>
      <c r="D19" s="59"/>
      <c r="E19" s="59"/>
      <c r="L19" s="26">
        <f>C14</f>
        <v>6</v>
      </c>
      <c r="Q19" s="59" t="str">
        <f>CONCATENATE("(", ROUND(Q12, 2), "^1.852*", ROUND(Q13, 2), ")^(1/4.87)")</f>
        <v>(140^1.852*69)^(1/4.87)</v>
      </c>
      <c r="R19" s="59"/>
      <c r="S19" s="59"/>
      <c r="Z19" s="26">
        <f>Q14</f>
        <v>6</v>
      </c>
      <c r="AE19" s="59" t="str">
        <f>CONCATENATE("(", ROUND(AE12, 2), "^1.852*", ROUND(AE13, 2), ")^(1/4.87)")</f>
        <v>(117^1.852*109)^(1/4.87)</v>
      </c>
      <c r="AF19" s="59"/>
      <c r="AG19" s="59"/>
      <c r="AN19" s="26">
        <f>AE14</f>
        <v>6</v>
      </c>
    </row>
    <row r="20" spans="2:42" x14ac:dyDescent="0.35">
      <c r="L20" s="24"/>
      <c r="Z20" s="24"/>
      <c r="AN20" s="24"/>
    </row>
    <row r="21" spans="2:42" ht="16.5" x14ac:dyDescent="0.35">
      <c r="B21" s="53" t="s">
        <v>52</v>
      </c>
      <c r="C21" s="53"/>
      <c r="D21" s="53"/>
      <c r="E21" s="53"/>
      <c r="F21" s="53"/>
      <c r="G21" s="53"/>
      <c r="K21" s="22" t="s">
        <v>63</v>
      </c>
      <c r="L21" s="24" t="str">
        <f>CONCATENATE(ROUND(L19,2),"*",ROUND(N18,0))</f>
        <v>6*125</v>
      </c>
      <c r="M21" s="1" t="s">
        <v>51</v>
      </c>
      <c r="N21" s="37">
        <f>L19*ROUND(N18,0)</f>
        <v>750</v>
      </c>
      <c r="P21" s="53" t="s">
        <v>52</v>
      </c>
      <c r="Q21" s="53"/>
      <c r="R21" s="53"/>
      <c r="S21" s="53"/>
      <c r="T21" s="53"/>
      <c r="U21" s="53"/>
      <c r="Y21" s="22" t="s">
        <v>63</v>
      </c>
      <c r="Z21" s="24" t="str">
        <f>CONCATENATE(ROUND(Z19,2),"*",ROUND(AB18,0))</f>
        <v>6*240</v>
      </c>
      <c r="AA21" s="1" t="s">
        <v>51</v>
      </c>
      <c r="AB21" s="37">
        <f>Z19*ROUND(AB18,0)</f>
        <v>1440</v>
      </c>
      <c r="AD21" s="53" t="s">
        <v>52</v>
      </c>
      <c r="AE21" s="53"/>
      <c r="AF21" s="53"/>
      <c r="AG21" s="53"/>
      <c r="AH21" s="53"/>
      <c r="AI21" s="53"/>
      <c r="AM21" s="22" t="s">
        <v>63</v>
      </c>
      <c r="AN21" s="24" t="str">
        <f>CONCATENATE(ROUND(AN19,2),"*",ROUND(AP18,0))</f>
        <v>6*46</v>
      </c>
      <c r="AO21" s="1" t="s">
        <v>51</v>
      </c>
      <c r="AP21" s="37">
        <f>AN19*ROUND(AP18,0)</f>
        <v>276</v>
      </c>
    </row>
    <row r="22" spans="2:42" ht="16.5" x14ac:dyDescent="0.35">
      <c r="B22" s="27" t="s">
        <v>53</v>
      </c>
      <c r="C22" s="27" t="s">
        <v>54</v>
      </c>
      <c r="P22" s="27" t="s">
        <v>53</v>
      </c>
      <c r="Q22" s="27" t="s">
        <v>54</v>
      </c>
      <c r="AD22" s="27" t="s">
        <v>53</v>
      </c>
      <c r="AE22" s="27" t="s">
        <v>54</v>
      </c>
    </row>
    <row r="23" spans="2:42" ht="16.5" x14ac:dyDescent="0.35">
      <c r="B23" s="30">
        <v>3</v>
      </c>
      <c r="C23" s="30">
        <v>2</v>
      </c>
      <c r="K23" s="22" t="s">
        <v>61</v>
      </c>
      <c r="L23" s="25">
        <f>G33</f>
        <v>178.00659414774984</v>
      </c>
      <c r="M23" s="1" t="s">
        <v>51</v>
      </c>
      <c r="N23" s="37">
        <f>L23/L24</f>
        <v>29.667765691291638</v>
      </c>
      <c r="P23" s="30">
        <v>6</v>
      </c>
      <c r="Q23" s="30">
        <v>1</v>
      </c>
      <c r="Y23" s="22" t="s">
        <v>61</v>
      </c>
      <c r="Z23" s="25">
        <f>U33</f>
        <v>9.408480946281303</v>
      </c>
      <c r="AA23" s="1" t="s">
        <v>51</v>
      </c>
      <c r="AB23" s="37">
        <f>Z23/Z24</f>
        <v>1.5680801577135506</v>
      </c>
      <c r="AD23" s="30">
        <v>3</v>
      </c>
      <c r="AE23" s="30">
        <v>1</v>
      </c>
      <c r="AM23" s="22" t="s">
        <v>61</v>
      </c>
      <c r="AN23" s="25">
        <f>AI33</f>
        <v>9.6016964136446621</v>
      </c>
      <c r="AO23" s="1" t="s">
        <v>51</v>
      </c>
      <c r="AP23" s="37">
        <f>AN23/AN24</f>
        <v>1.6002827356074436</v>
      </c>
    </row>
    <row r="24" spans="2:42" x14ac:dyDescent="0.35">
      <c r="L24" s="26">
        <f>C14</f>
        <v>6</v>
      </c>
      <c r="Z24" s="26">
        <f>Q14</f>
        <v>6</v>
      </c>
      <c r="AN24" s="26">
        <f>AE14</f>
        <v>6</v>
      </c>
    </row>
    <row r="25" spans="2:42" ht="16.5" x14ac:dyDescent="0.35">
      <c r="B25" s="22" t="s">
        <v>55</v>
      </c>
      <c r="C25" s="58" t="str">
        <f>CONCATENATE("1743.811*",ROUND(C4,2),"^1.852*",ROUND(D11,2))</f>
        <v>1743.811*7.2^1.852*927</v>
      </c>
      <c r="D25" s="58"/>
      <c r="E25" s="58"/>
      <c r="F25" s="1" t="s">
        <v>51</v>
      </c>
      <c r="G25" s="35">
        <f>(1743.811*C4^1.852*D11)/(C12^1.852*B23^4.87)</f>
        <v>31.48830604719253</v>
      </c>
      <c r="P25" s="22" t="s">
        <v>55</v>
      </c>
      <c r="Q25" s="58" t="str">
        <f>CONCATENATE("1743.811*",ROUND(Q4,2),"^1.852*",ROUND(R11,2))</f>
        <v>1743.811*7.2^1.852*1452.3</v>
      </c>
      <c r="R25" s="58"/>
      <c r="S25" s="58"/>
      <c r="T25" s="1" t="s">
        <v>51</v>
      </c>
      <c r="U25" s="35">
        <f>(1743.811*Q4^1.852*R11)/(Q12^1.852*P23^4.87)</f>
        <v>1.6869795662793989</v>
      </c>
      <c r="AD25" s="22" t="s">
        <v>55</v>
      </c>
      <c r="AE25" s="58" t="str">
        <f>CONCATENATE("1743.811*",ROUND(AE4,2),"^1.852*",ROUND(AF11,2))</f>
        <v>1743.811*7.2^1.852*288.4</v>
      </c>
      <c r="AF25" s="58"/>
      <c r="AG25" s="58"/>
      <c r="AH25" s="1" t="s">
        <v>51</v>
      </c>
      <c r="AI25" s="35">
        <f>(1743.811*AE4^1.852*AF11)/(AE12^1.852*AD23^4.87)</f>
        <v>13.658837111390827</v>
      </c>
    </row>
    <row r="26" spans="2:42" ht="16.5" x14ac:dyDescent="0.35">
      <c r="C26" s="59" t="str">
        <f>CONCATENATE( ROUND(C12, 2), "^1.852*", ROUND(B23, 2), "^4.83")</f>
        <v>140^1.852*3^4.83</v>
      </c>
      <c r="D26" s="59"/>
      <c r="E26" s="59"/>
      <c r="K26" s="22" t="s">
        <v>61</v>
      </c>
      <c r="L26" s="24" t="str">
        <f>CONCATENATE(ROUND(L24,2),"*",ROUND(N23,0))</f>
        <v>6*30</v>
      </c>
      <c r="M26" s="1" t="s">
        <v>51</v>
      </c>
      <c r="N26" s="37">
        <f>L24*ROUND(N23,0)</f>
        <v>180</v>
      </c>
      <c r="Q26" s="59" t="str">
        <f>CONCATENATE( ROUND(Q12, 2), "^1.852*", ROUND(P23, 2), "^4.83")</f>
        <v>140^1.852*6^4.83</v>
      </c>
      <c r="R26" s="59"/>
      <c r="S26" s="59"/>
      <c r="Y26" s="22" t="s">
        <v>61</v>
      </c>
      <c r="Z26" s="24" t="str">
        <f>CONCATENATE(ROUND(Z24,2),"*",ROUND(AB23,0))</f>
        <v>6*2</v>
      </c>
      <c r="AA26" s="1" t="s">
        <v>51</v>
      </c>
      <c r="AB26" s="38">
        <v>9.49</v>
      </c>
      <c r="AE26" s="59" t="str">
        <f>CONCATENATE( ROUND(AE12, 2), "^1.852*", ROUND(AD23, 2), "^4.83")</f>
        <v>117^1.852*3^4.83</v>
      </c>
      <c r="AF26" s="59"/>
      <c r="AG26" s="59"/>
      <c r="AM26" s="22" t="s">
        <v>61</v>
      </c>
      <c r="AN26" s="24" t="str">
        <f>CONCATENATE(ROUND(AN24,2),"*",ROUND(AP23,0))</f>
        <v>6*2</v>
      </c>
      <c r="AO26" s="1" t="s">
        <v>51</v>
      </c>
      <c r="AP26" s="37">
        <v>9.6</v>
      </c>
    </row>
    <row r="28" spans="2:42" ht="16.5" x14ac:dyDescent="0.35">
      <c r="B28" s="22" t="s">
        <v>56</v>
      </c>
      <c r="C28" s="58" t="str">
        <f>CONCATENATE("1743.811*",ROUND(C4,2),"^1.852*",ROUND(D11,2))</f>
        <v>1743.811*7.2^1.852*927</v>
      </c>
      <c r="D28" s="58"/>
      <c r="E28" s="58"/>
      <c r="F28" s="1" t="s">
        <v>51</v>
      </c>
      <c r="G28" s="35">
        <f>(1743.811*C4^1.852*D11)/(C12^1.852*C23^4.87)</f>
        <v>226.8369135565851</v>
      </c>
      <c r="I28" s="41" t="s">
        <v>64</v>
      </c>
      <c r="J28" s="42"/>
      <c r="K28" s="42"/>
      <c r="L28" s="42"/>
      <c r="M28" s="42"/>
      <c r="N28" s="43"/>
      <c r="P28" s="22" t="s">
        <v>56</v>
      </c>
      <c r="Q28" s="58" t="str">
        <f>CONCATENATE("1743.811*",ROUND(Q4,2),"^1.852*",ROUND(R11,2))</f>
        <v>1743.811*7.2^1.852*1452.3</v>
      </c>
      <c r="R28" s="58"/>
      <c r="S28" s="58"/>
      <c r="T28" s="1" t="s">
        <v>51</v>
      </c>
      <c r="U28" s="35">
        <f>(1743.811*Q4^1.852*R11)/(Q12^1.852*Q23^4.87)</f>
        <v>10392.17404480623</v>
      </c>
      <c r="W28" s="41" t="s">
        <v>64</v>
      </c>
      <c r="X28" s="42"/>
      <c r="Y28" s="42"/>
      <c r="Z28" s="42"/>
      <c r="AA28" s="42"/>
      <c r="AB28" s="43"/>
      <c r="AD28" s="22" t="s">
        <v>56</v>
      </c>
      <c r="AE28" s="58" t="str">
        <f>CONCATENATE("1743.811*",ROUND(AE4,2),"^1.852*",ROUND(AF11,2))</f>
        <v>1743.811*7.2^1.852*288.4</v>
      </c>
      <c r="AF28" s="58"/>
      <c r="AG28" s="58"/>
      <c r="AH28" s="1" t="s">
        <v>51</v>
      </c>
      <c r="AI28" s="35">
        <f>(1743.811*AE4^1.852*AF11)/(AE12^1.852*AE23^4.87)</f>
        <v>2877.3602282531324</v>
      </c>
      <c r="AK28" s="41" t="s">
        <v>64</v>
      </c>
      <c r="AL28" s="42"/>
      <c r="AM28" s="42"/>
      <c r="AN28" s="42"/>
      <c r="AO28" s="42"/>
      <c r="AP28" s="43"/>
    </row>
    <row r="29" spans="2:42" x14ac:dyDescent="0.35">
      <c r="C29" s="59" t="str">
        <f>CONCATENATE( ROUND(C12, 2), "^1.852*", ROUND(C23, 2), "^4.83")</f>
        <v>140^1.852*2^4.83</v>
      </c>
      <c r="D29" s="59"/>
      <c r="E29" s="59"/>
      <c r="Q29" s="59" t="str">
        <f>CONCATENATE( ROUND(Q12, 2), "^1.852*", ROUND(Q23, 2), "^4.83")</f>
        <v>140^1.852*1^4.83</v>
      </c>
      <c r="R29" s="59"/>
      <c r="S29" s="59"/>
      <c r="AE29" s="59" t="str">
        <f>CONCATENATE( ROUND(AE12, 2), "^1.852*", ROUND(AE23, 2), "^4.83")</f>
        <v>117^1.852*1^4.83</v>
      </c>
      <c r="AF29" s="59"/>
      <c r="AG29" s="59"/>
    </row>
    <row r="30" spans="2:42" ht="16.5" x14ac:dyDescent="0.35">
      <c r="I30" s="22" t="s">
        <v>65</v>
      </c>
      <c r="J30" s="58" t="str">
        <f>CONCATENATE("1743.811*",ROUND(C4,2),"^1.852*",ROUND(N21,2))</f>
        <v>1743.811*7.2^1.852*750</v>
      </c>
      <c r="K30" s="58"/>
      <c r="L30" s="58"/>
      <c r="M30" s="1" t="s">
        <v>51</v>
      </c>
      <c r="N30" s="35">
        <f>(1743.811*C4^1.852*N21)/(C12^1.852*B23^4.87)</f>
        <v>25.475975766336997</v>
      </c>
      <c r="W30" s="22" t="s">
        <v>65</v>
      </c>
      <c r="X30" s="58" t="str">
        <f>CONCATENATE("1743.811*",ROUND(Q4,2),"^1.852*",ROUND(AB21,2))</f>
        <v>1743.811*7.2^1.852*1440</v>
      </c>
      <c r="Y30" s="58"/>
      <c r="Z30" s="58"/>
      <c r="AA30" s="1" t="s">
        <v>51</v>
      </c>
      <c r="AB30" s="35">
        <f>(1743.811*Q4^1.852*AB21)/(Q12^1.852*P23^4.87)</f>
        <v>1.6726919888744298</v>
      </c>
      <c r="AK30" s="22" t="s">
        <v>65</v>
      </c>
      <c r="AL30" s="58" t="str">
        <f>CONCATENATE("1743.811*",ROUND(AE4,2),"^1.852*",ROUND(AP21,2))</f>
        <v>1743.811*7.2^1.852*276</v>
      </c>
      <c r="AM30" s="58"/>
      <c r="AN30" s="58"/>
      <c r="AO30" s="1" t="s">
        <v>51</v>
      </c>
      <c r="AP30" s="35">
        <f>(1743.811*AE4^1.852*AP21)/(AE12^1.852*AD23^4.87)</f>
        <v>13.071563948487752</v>
      </c>
    </row>
    <row r="31" spans="2:42" x14ac:dyDescent="0.35">
      <c r="B31" s="53" t="s">
        <v>57</v>
      </c>
      <c r="C31" s="53"/>
      <c r="D31" s="53"/>
      <c r="E31" s="53"/>
      <c r="F31" s="53"/>
      <c r="G31" s="53"/>
      <c r="J31" s="59" t="str">
        <f>CONCATENATE( ROUND(C12, 2), "^1.852*", ROUND(B23, 2), "^4.83")</f>
        <v>140^1.852*3^4.83</v>
      </c>
      <c r="K31" s="59"/>
      <c r="L31" s="59"/>
      <c r="P31" s="53" t="s">
        <v>57</v>
      </c>
      <c r="Q31" s="53"/>
      <c r="R31" s="53"/>
      <c r="S31" s="53"/>
      <c r="T31" s="53"/>
      <c r="U31" s="53"/>
      <c r="X31" s="59" t="str">
        <f>CONCATENATE( ROUND(Q12, 2), "^1.852*", ROUND(P23, 2), "^4.83")</f>
        <v>140^1.852*6^4.83</v>
      </c>
      <c r="Y31" s="59"/>
      <c r="Z31" s="59"/>
      <c r="AD31" s="53" t="s">
        <v>57</v>
      </c>
      <c r="AE31" s="53"/>
      <c r="AF31" s="53"/>
      <c r="AG31" s="53"/>
      <c r="AH31" s="53"/>
      <c r="AI31" s="53"/>
      <c r="AL31" s="59" t="str">
        <f>CONCATENATE( ROUND(AE12, 2), "^1.852*", ROUND(AD23, 2), "^4.83")</f>
        <v>117^1.852*3^4.83</v>
      </c>
      <c r="AM31" s="59"/>
      <c r="AN31" s="59"/>
    </row>
    <row r="32" spans="2:42" x14ac:dyDescent="0.35">
      <c r="G32" s="36"/>
      <c r="U32" s="36"/>
      <c r="AI32" s="36"/>
    </row>
    <row r="33" spans="2:42" ht="16.5" x14ac:dyDescent="0.35">
      <c r="B33" s="22" t="s">
        <v>58</v>
      </c>
      <c r="C33" s="58" t="str">
        <f>CONCATENATE(ROUND(D11,2),"(",ROUND(C13,2),"-",ROUND(G25,2),")")</f>
        <v>927(69-31.49)</v>
      </c>
      <c r="D33" s="58"/>
      <c r="E33" s="58"/>
      <c r="F33" s="1" t="s">
        <v>51</v>
      </c>
      <c r="G33" s="23">
        <f>(D11*(C13-G25))/(G28-G25)</f>
        <v>178.00659414774984</v>
      </c>
      <c r="I33" s="22" t="s">
        <v>66</v>
      </c>
      <c r="J33" s="58" t="str">
        <f>CONCATENATE("1743.811*",ROUND(C4,2),"^1.852*",ROUND(N26,2))</f>
        <v>1743.811*7.2^1.852*180</v>
      </c>
      <c r="K33" s="58"/>
      <c r="L33" s="58"/>
      <c r="M33" s="1" t="s">
        <v>51</v>
      </c>
      <c r="N33" s="35">
        <f>(1743.811*C4^1.852*N26)/(C12^1.852*C23^4.87)</f>
        <v>44.046002632346621</v>
      </c>
      <c r="P33" s="22" t="s">
        <v>58</v>
      </c>
      <c r="Q33" s="58" t="str">
        <f>CONCATENATE(ROUND(R11,2),"(",ROUND(Q13,2),"-",ROUND(U25,2),")")</f>
        <v>1452.3(69-1.69)</v>
      </c>
      <c r="R33" s="58"/>
      <c r="S33" s="58"/>
      <c r="T33" s="1" t="s">
        <v>51</v>
      </c>
      <c r="U33" s="23">
        <f>(R11*(Q13-U25))/(U28-U25)</f>
        <v>9.408480946281303</v>
      </c>
      <c r="W33" s="22" t="s">
        <v>66</v>
      </c>
      <c r="X33" s="58" t="str">
        <f>CONCATENATE("1743.811*",ROUND(Q4,2),"^1.852*",ROUND(AB26,2))</f>
        <v>1743.811*7.2^1.852*9.49</v>
      </c>
      <c r="Y33" s="58"/>
      <c r="Z33" s="58"/>
      <c r="AA33" s="1" t="s">
        <v>51</v>
      </c>
      <c r="AB33" s="39">
        <f>(1743.811*Q4^1.852*AB26)/(Q12^1.852*Q23^4.87)</f>
        <v>67.907272385327502</v>
      </c>
      <c r="AD33" s="22" t="s">
        <v>58</v>
      </c>
      <c r="AE33" s="58" t="str">
        <f>CONCATENATE(ROUND(AF11,2),"(",ROUND(AE13,2),"-",ROUND(AI25,2),")")</f>
        <v>288.4(109-13.66)</v>
      </c>
      <c r="AF33" s="58"/>
      <c r="AG33" s="58"/>
      <c r="AH33" s="1" t="s">
        <v>51</v>
      </c>
      <c r="AI33" s="23">
        <f>(AF11*(AE13-AI25))/(AI28-AI25)</f>
        <v>9.6016964136446621</v>
      </c>
      <c r="AK33" s="22" t="s">
        <v>66</v>
      </c>
      <c r="AL33" s="58" t="str">
        <f>CONCATENATE("1743.811*",ROUND(AE4,2),"^1.852*",ROUND(AP26,2))</f>
        <v>1743.811*7.2^1.852*9.6</v>
      </c>
      <c r="AM33" s="58"/>
      <c r="AN33" s="58"/>
      <c r="AO33" s="1" t="s">
        <v>51</v>
      </c>
      <c r="AP33" s="35">
        <f>(1743.811*AE4^1.852*AP26)/(AE12^1.852*AE23^4.87)</f>
        <v>95.778981245596626</v>
      </c>
    </row>
    <row r="34" spans="2:42" x14ac:dyDescent="0.35">
      <c r="C34" s="60" t="str">
        <f>CONCATENATE(ROUND(G28,2),"-",ROUND(G25,2))</f>
        <v>226.84-31.49</v>
      </c>
      <c r="D34" s="60"/>
      <c r="E34" s="60"/>
      <c r="J34" s="59" t="str">
        <f>CONCATENATE( ROUND(C12, 2), "^1.852*", ROUND(C23, 2), "^4.83")</f>
        <v>140^1.852*2^4.83</v>
      </c>
      <c r="K34" s="59"/>
      <c r="L34" s="59"/>
      <c r="Q34" s="60" t="str">
        <f>CONCATENATE(ROUND(U28,2),"-",ROUND(U25,2))</f>
        <v>10392.17-1.69</v>
      </c>
      <c r="R34" s="60"/>
      <c r="S34" s="60"/>
      <c r="X34" s="59" t="str">
        <f>CONCATENATE( ROUND(Q12, 2), "^1.852*", ROUND(Q23, 2), "^4.83")</f>
        <v>140^1.852*1^4.83</v>
      </c>
      <c r="Y34" s="59"/>
      <c r="Z34" s="59"/>
      <c r="AE34" s="60" t="str">
        <f>CONCATENATE(ROUND(AI28,2),"-",ROUND(AI25,2))</f>
        <v>2877.36-13.66</v>
      </c>
      <c r="AF34" s="60"/>
      <c r="AG34" s="60"/>
      <c r="AL34" s="59" t="str">
        <f>CONCATENATE( ROUND(AE12, 2), "^1.852*", ROUND(AE23, 2), "^4.83")</f>
        <v>117^1.852*1^4.83</v>
      </c>
      <c r="AM34" s="59"/>
      <c r="AN34" s="59"/>
    </row>
    <row r="36" spans="2:42" ht="16.5" x14ac:dyDescent="0.35">
      <c r="B36" s="61" t="s">
        <v>60</v>
      </c>
      <c r="C36" s="61"/>
      <c r="D36" s="60" t="str">
        <f>CONCATENATE(ROUND(D11,2),"-",ROUND(G33,2))</f>
        <v>927-178.01</v>
      </c>
      <c r="E36" s="60"/>
      <c r="F36" s="1" t="s">
        <v>51</v>
      </c>
      <c r="G36" s="35">
        <f>D11-G33</f>
        <v>748.99340585225013</v>
      </c>
      <c r="P36" s="61" t="s">
        <v>60</v>
      </c>
      <c r="Q36" s="61"/>
      <c r="R36" s="60" t="str">
        <f>CONCATENATE(ROUND(R11,2),"-",ROUND(U33,2))</f>
        <v>1452.3-9.41</v>
      </c>
      <c r="S36" s="60"/>
      <c r="T36" s="1" t="s">
        <v>51</v>
      </c>
      <c r="U36" s="35">
        <f>R11-U33</f>
        <v>1442.8915190537186</v>
      </c>
      <c r="AD36" s="61" t="s">
        <v>60</v>
      </c>
      <c r="AE36" s="61"/>
      <c r="AF36" s="60" t="str">
        <f>CONCATENATE(ROUND(AF11,2),"-",ROUND(AI33,2))</f>
        <v>288.4-9.6</v>
      </c>
      <c r="AG36" s="60"/>
      <c r="AH36" s="1" t="s">
        <v>51</v>
      </c>
      <c r="AI36" s="35">
        <f>AF11-AI33</f>
        <v>278.79830358635536</v>
      </c>
    </row>
    <row r="39" spans="2:42" x14ac:dyDescent="0.35">
      <c r="B39" s="44" t="s">
        <v>79</v>
      </c>
      <c r="C39" s="44"/>
      <c r="D39" s="44"/>
      <c r="E39" s="44"/>
      <c r="F39" s="44"/>
      <c r="G39" s="44"/>
      <c r="P39" s="44" t="s">
        <v>79</v>
      </c>
      <c r="Q39" s="44"/>
      <c r="R39" s="44"/>
      <c r="S39" s="44"/>
      <c r="T39" s="44"/>
      <c r="U39" s="44"/>
      <c r="AD39" s="44" t="s">
        <v>79</v>
      </c>
      <c r="AE39" s="44"/>
      <c r="AF39" s="44"/>
      <c r="AG39" s="44"/>
      <c r="AH39" s="44"/>
      <c r="AI39" s="44"/>
    </row>
    <row r="40" spans="2:42" x14ac:dyDescent="0.35">
      <c r="B40" s="44" t="s">
        <v>80</v>
      </c>
      <c r="C40" s="44"/>
      <c r="D40" s="44" t="s">
        <v>81</v>
      </c>
      <c r="E40" s="44"/>
      <c r="F40" s="44" t="s">
        <v>82</v>
      </c>
      <c r="G40" s="44"/>
      <c r="P40" s="44" t="s">
        <v>80</v>
      </c>
      <c r="Q40" s="44"/>
      <c r="R40" s="44" t="s">
        <v>81</v>
      </c>
      <c r="S40" s="44"/>
      <c r="T40" s="44" t="s">
        <v>82</v>
      </c>
      <c r="U40" s="44"/>
      <c r="AD40" s="44" t="s">
        <v>80</v>
      </c>
      <c r="AE40" s="44"/>
      <c r="AF40" s="44" t="s">
        <v>81</v>
      </c>
      <c r="AG40" s="44"/>
      <c r="AH40" s="44" t="s">
        <v>82</v>
      </c>
      <c r="AI40" s="44"/>
    </row>
    <row r="41" spans="2:42" x14ac:dyDescent="0.35">
      <c r="B41" s="21">
        <f>D5</f>
        <v>0</v>
      </c>
      <c r="C41" s="21">
        <f>C5</f>
        <v>1000</v>
      </c>
      <c r="D41" s="21">
        <f>D5</f>
        <v>0</v>
      </c>
      <c r="E41" s="21">
        <f>C5</f>
        <v>1000</v>
      </c>
      <c r="F41" s="31">
        <f>F6/1.03</f>
        <v>728.15533980582518</v>
      </c>
      <c r="G41" s="21">
        <f>C7-F7</f>
        <v>973.524024233663</v>
      </c>
      <c r="P41" s="21">
        <f>R5</f>
        <v>900</v>
      </c>
      <c r="Q41" s="21">
        <f>Q5</f>
        <v>920</v>
      </c>
      <c r="R41" s="21">
        <f>R5</f>
        <v>900</v>
      </c>
      <c r="S41" s="21">
        <f>Q5</f>
        <v>920</v>
      </c>
      <c r="T41" s="31">
        <f>T6/1.03</f>
        <v>1398.0582524271845</v>
      </c>
      <c r="U41" s="21">
        <f>Q7-T7</f>
        <v>917.32730801112552</v>
      </c>
      <c r="AD41" s="21">
        <f>AF5</f>
        <v>0</v>
      </c>
      <c r="AE41" s="21">
        <f>AE5</f>
        <v>1000</v>
      </c>
      <c r="AF41" s="21">
        <f>AF5</f>
        <v>0</v>
      </c>
      <c r="AG41" s="21">
        <f>AE5</f>
        <v>1000</v>
      </c>
      <c r="AH41" s="31">
        <f>AH6/1.03</f>
        <v>267.96116504854371</v>
      </c>
      <c r="AI41" s="21">
        <f>AE7-AH7</f>
        <v>985.92843605151222</v>
      </c>
    </row>
    <row r="42" spans="2:42" x14ac:dyDescent="0.35">
      <c r="B42" s="21">
        <f>C11</f>
        <v>900</v>
      </c>
      <c r="C42" s="21">
        <f>C8</f>
        <v>920</v>
      </c>
      <c r="D42" s="21">
        <f>D5</f>
        <v>0</v>
      </c>
      <c r="E42" s="21">
        <f>C7</f>
        <v>999</v>
      </c>
      <c r="F42" s="31">
        <f>C11</f>
        <v>900</v>
      </c>
      <c r="G42" s="21">
        <f>G41-F10</f>
        <v>929.47802160131641</v>
      </c>
      <c r="P42" s="21">
        <f>Q11</f>
        <v>1410</v>
      </c>
      <c r="Q42" s="21">
        <f>Q8</f>
        <v>840</v>
      </c>
      <c r="R42" s="21">
        <f>R5</f>
        <v>900</v>
      </c>
      <c r="S42" s="21">
        <f>Q7</f>
        <v>919</v>
      </c>
      <c r="T42" s="31">
        <f>Q11</f>
        <v>1410</v>
      </c>
      <c r="U42" s="21">
        <f>U41-T10</f>
        <v>849.42003562579805</v>
      </c>
      <c r="AD42" s="21">
        <f>AE11</f>
        <v>280</v>
      </c>
      <c r="AE42" s="21">
        <f>AE8</f>
        <v>880</v>
      </c>
      <c r="AF42" s="21">
        <f>AF5</f>
        <v>0</v>
      </c>
      <c r="AG42" s="21">
        <f>AE7</f>
        <v>999</v>
      </c>
      <c r="AH42" s="31">
        <f>AE11</f>
        <v>280</v>
      </c>
      <c r="AI42" s="21">
        <f>AI41-AH10</f>
        <v>890.14945480591564</v>
      </c>
    </row>
    <row r="43" spans="2:42" x14ac:dyDescent="0.35">
      <c r="D43" s="31">
        <f>F6/1.03</f>
        <v>728.15533980582518</v>
      </c>
      <c r="E43" s="21">
        <f>C7-F7</f>
        <v>973.524024233663</v>
      </c>
      <c r="F43" s="21">
        <f>C11</f>
        <v>900</v>
      </c>
      <c r="G43" s="21">
        <f>C8</f>
        <v>920</v>
      </c>
      <c r="R43" s="31">
        <f>T6/1.03</f>
        <v>1398.0582524271845</v>
      </c>
      <c r="S43" s="21">
        <f>Q7-T7</f>
        <v>917.32730801112552</v>
      </c>
      <c r="T43" s="21">
        <f>Q11</f>
        <v>1410</v>
      </c>
      <c r="U43" s="21">
        <f>Q8</f>
        <v>840</v>
      </c>
      <c r="AF43" s="31">
        <f>AH6/1.03</f>
        <v>267.96116504854371</v>
      </c>
      <c r="AG43" s="21">
        <f>AE7-AH7</f>
        <v>985.92843605151222</v>
      </c>
      <c r="AH43" s="21">
        <f>AE11</f>
        <v>280</v>
      </c>
      <c r="AI43" s="21">
        <f>AE8</f>
        <v>880</v>
      </c>
    </row>
    <row r="44" spans="2:42" x14ac:dyDescent="0.35">
      <c r="D44" s="21">
        <f>F6/1.03</f>
        <v>728.15533980582518</v>
      </c>
      <c r="E44" s="21">
        <f>C8</f>
        <v>920</v>
      </c>
      <c r="R44" s="2">
        <f>T6/1.03</f>
        <v>1398.0582524271845</v>
      </c>
      <c r="S44" s="21">
        <f>Q8</f>
        <v>840</v>
      </c>
      <c r="AF44" s="31">
        <f>AH6/1.03</f>
        <v>267.96116504854371</v>
      </c>
      <c r="AG44" s="21">
        <f>AE8</f>
        <v>880</v>
      </c>
    </row>
  </sheetData>
  <mergeCells count="105">
    <mergeCell ref="AD39:AI39"/>
    <mergeCell ref="AD40:AE40"/>
    <mergeCell ref="AF40:AG40"/>
    <mergeCell ref="AH40:AI40"/>
    <mergeCell ref="AE33:AG33"/>
    <mergeCell ref="AL33:AN33"/>
    <mergeCell ref="AE34:AG34"/>
    <mergeCell ref="AL34:AN34"/>
    <mergeCell ref="AD36:AE36"/>
    <mergeCell ref="AF36:AG36"/>
    <mergeCell ref="AK28:AP28"/>
    <mergeCell ref="AE29:AG29"/>
    <mergeCell ref="AL30:AN30"/>
    <mergeCell ref="AD31:AI31"/>
    <mergeCell ref="AL31:AN31"/>
    <mergeCell ref="AE19:AG19"/>
    <mergeCell ref="AD21:AI21"/>
    <mergeCell ref="AE25:AG25"/>
    <mergeCell ref="AE26:AG26"/>
    <mergeCell ref="AE28:AG28"/>
    <mergeCell ref="AH11:AI11"/>
    <mergeCell ref="AH12:AI12"/>
    <mergeCell ref="AD16:AI16"/>
    <mergeCell ref="AK16:AP16"/>
    <mergeCell ref="AE18:AG18"/>
    <mergeCell ref="AH6:AI6"/>
    <mergeCell ref="AH7:AI7"/>
    <mergeCell ref="AH8:AI8"/>
    <mergeCell ref="AH9:AI9"/>
    <mergeCell ref="AH10:AI10"/>
    <mergeCell ref="AD1:AP1"/>
    <mergeCell ref="AD3:AF3"/>
    <mergeCell ref="AG3:AI3"/>
    <mergeCell ref="AH4:AI4"/>
    <mergeCell ref="AH5:AI5"/>
    <mergeCell ref="B40:C40"/>
    <mergeCell ref="D40:E40"/>
    <mergeCell ref="F40:G40"/>
    <mergeCell ref="B39:G39"/>
    <mergeCell ref="P39:U39"/>
    <mergeCell ref="P40:Q40"/>
    <mergeCell ref="R40:S40"/>
    <mergeCell ref="T40:U40"/>
    <mergeCell ref="X34:Z34"/>
    <mergeCell ref="X33:Z33"/>
    <mergeCell ref="X31:Z31"/>
    <mergeCell ref="X30:Z30"/>
    <mergeCell ref="W28:AB28"/>
    <mergeCell ref="Q25:S25"/>
    <mergeCell ref="Q26:S26"/>
    <mergeCell ref="Q33:S33"/>
    <mergeCell ref="Q34:S34"/>
    <mergeCell ref="P36:Q36"/>
    <mergeCell ref="R36:S36"/>
    <mergeCell ref="Q28:S28"/>
    <mergeCell ref="Q29:S29"/>
    <mergeCell ref="P31:U31"/>
    <mergeCell ref="T11:U11"/>
    <mergeCell ref="T12:U12"/>
    <mergeCell ref="Q18:S18"/>
    <mergeCell ref="Q19:S19"/>
    <mergeCell ref="P21:U21"/>
    <mergeCell ref="F12:G12"/>
    <mergeCell ref="J30:L30"/>
    <mergeCell ref="J31:L31"/>
    <mergeCell ref="B3:D3"/>
    <mergeCell ref="B16:G16"/>
    <mergeCell ref="B21:G21"/>
    <mergeCell ref="P1:AB1"/>
    <mergeCell ref="P3:R3"/>
    <mergeCell ref="P16:U16"/>
    <mergeCell ref="W16:AB16"/>
    <mergeCell ref="S3:U3"/>
    <mergeCell ref="T4:U4"/>
    <mergeCell ref="T5:U5"/>
    <mergeCell ref="T6:U6"/>
    <mergeCell ref="T7:U7"/>
    <mergeCell ref="T8:U8"/>
    <mergeCell ref="T9:U9"/>
    <mergeCell ref="T10:U10"/>
    <mergeCell ref="F7:G7"/>
    <mergeCell ref="F8:G8"/>
    <mergeCell ref="F9:G9"/>
    <mergeCell ref="F10:G10"/>
    <mergeCell ref="F11:G11"/>
    <mergeCell ref="B1:N1"/>
    <mergeCell ref="F4:G4"/>
    <mergeCell ref="E3:G3"/>
    <mergeCell ref="F5:G5"/>
    <mergeCell ref="F6:G6"/>
    <mergeCell ref="J33:L33"/>
    <mergeCell ref="J34:L34"/>
    <mergeCell ref="I16:N16"/>
    <mergeCell ref="I28:N28"/>
    <mergeCell ref="C29:E29"/>
    <mergeCell ref="C33:E33"/>
    <mergeCell ref="C34:E34"/>
    <mergeCell ref="D36:E36"/>
    <mergeCell ref="B36:C36"/>
    <mergeCell ref="B31:G31"/>
    <mergeCell ref="C18:E18"/>
    <mergeCell ref="C19:E19"/>
    <mergeCell ref="C25:E25"/>
    <mergeCell ref="C26:E26"/>
    <mergeCell ref="C28:E28"/>
  </mergeCells>
  <conditionalFormatting sqref="N21">
    <cfRule type="expression" dxfId="5" priority="12">
      <formula>F12&gt;C13+3</formula>
    </cfRule>
  </conditionalFormatting>
  <conditionalFormatting sqref="N26">
    <cfRule type="expression" dxfId="4" priority="13">
      <formula>F12&gt;C13+3</formula>
    </cfRule>
  </conditionalFormatting>
  <conditionalFormatting sqref="AB21">
    <cfRule type="expression" dxfId="3" priority="3">
      <formula>T12&gt;Q13+3</formula>
    </cfRule>
  </conditionalFormatting>
  <conditionalFormatting sqref="AB26">
    <cfRule type="expression" dxfId="2" priority="4">
      <formula>T12&gt;Q13+3</formula>
    </cfRule>
  </conditionalFormatting>
  <conditionalFormatting sqref="AP21">
    <cfRule type="expression" dxfId="1" priority="1">
      <formula>AH12&gt;AE13+3</formula>
    </cfRule>
  </conditionalFormatting>
  <conditionalFormatting sqref="AP26">
    <cfRule type="expression" dxfId="0" priority="2">
      <formula>AH12&gt;AE13+3</formula>
    </cfRule>
  </conditionalFormatting>
  <pageMargins left="0.7" right="0.7" top="0.75" bottom="0.75" header="0.3" footer="0.3"/>
  <pageSetup scale="7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23C8-DE61-4C53-AF49-54DFA0FDE06A}">
  <sheetPr>
    <tabColor rgb="FF0092E0"/>
  </sheetPr>
  <dimension ref="A1:P11"/>
  <sheetViews>
    <sheetView showGridLines="0" tabSelected="1" zoomScale="130" zoomScaleNormal="13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4" sqref="H14"/>
    </sheetView>
  </sheetViews>
  <sheetFormatPr baseColWidth="10" defaultColWidth="11.54296875" defaultRowHeight="14.5" x14ac:dyDescent="0.35"/>
  <cols>
    <col min="1" max="1" width="4.90625" style="5" bestFit="1" customWidth="1"/>
    <col min="2" max="2" width="5" style="5" customWidth="1"/>
    <col min="3" max="3" width="5.1796875" style="5" customWidth="1"/>
    <col min="4" max="4" width="10.08984375" style="5" customWidth="1"/>
    <col min="5" max="5" width="6.08984375" style="5" customWidth="1"/>
    <col min="6" max="6" width="11" style="5" customWidth="1"/>
    <col min="7" max="7" width="6.08984375" style="5" bestFit="1" customWidth="1"/>
    <col min="8" max="8" width="5.54296875" style="5" bestFit="1" customWidth="1"/>
    <col min="9" max="9" width="4.54296875" style="5" bestFit="1" customWidth="1"/>
    <col min="10" max="10" width="4.6328125" style="5" bestFit="1" customWidth="1"/>
    <col min="11" max="11" width="11.54296875" style="5"/>
    <col min="12" max="12" width="12.54296875" style="5" bestFit="1" customWidth="1"/>
    <col min="13" max="16384" width="11.54296875" style="5"/>
  </cols>
  <sheetData>
    <row r="1" spans="1:16" ht="28.5" x14ac:dyDescent="0.35">
      <c r="A1" s="74" t="s">
        <v>24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N1" s="75" t="s">
        <v>32</v>
      </c>
      <c r="O1" s="75"/>
    </row>
    <row r="2" spans="1:16" ht="14.4" customHeight="1" x14ac:dyDescent="0.35">
      <c r="A2" s="76" t="s">
        <v>19</v>
      </c>
      <c r="B2" s="79" t="s">
        <v>35</v>
      </c>
      <c r="C2" s="79" t="s">
        <v>25</v>
      </c>
      <c r="D2" s="79" t="s">
        <v>26</v>
      </c>
      <c r="E2" s="79" t="s">
        <v>27</v>
      </c>
      <c r="F2" s="79" t="s">
        <v>28</v>
      </c>
      <c r="G2" s="76" t="s">
        <v>29</v>
      </c>
      <c r="H2" s="76" t="s">
        <v>84</v>
      </c>
      <c r="I2" s="76" t="s">
        <v>33</v>
      </c>
      <c r="J2" s="76" t="s">
        <v>34</v>
      </c>
      <c r="K2" s="76" t="s">
        <v>30</v>
      </c>
      <c r="L2" s="76" t="s">
        <v>31</v>
      </c>
      <c r="N2" s="3" t="s">
        <v>38</v>
      </c>
      <c r="O2" s="3" t="s">
        <v>37</v>
      </c>
    </row>
    <row r="3" spans="1:16" x14ac:dyDescent="0.35">
      <c r="A3" s="77"/>
      <c r="B3" s="80"/>
      <c r="C3" s="80"/>
      <c r="D3" s="80"/>
      <c r="E3" s="80"/>
      <c r="F3" s="80"/>
      <c r="G3" s="77"/>
      <c r="H3" s="77"/>
      <c r="I3" s="77"/>
      <c r="J3" s="77"/>
      <c r="K3" s="77"/>
      <c r="L3" s="77"/>
      <c r="N3" s="6" t="str">
        <f>Datos!D14</f>
        <v>Gravedad</v>
      </c>
      <c r="O3" s="10">
        <f>SUM(G5:G11)*86.4*IF(Datos!D15="Máximo",IF(Datos!D14="Gravedad",40%,65%),IF(Datos!D14="Gravedad",25%,40%))</f>
        <v>203.46282729218586</v>
      </c>
    </row>
    <row r="4" spans="1:16" x14ac:dyDescent="0.35">
      <c r="A4" s="78"/>
      <c r="B4" s="81"/>
      <c r="C4" s="81"/>
      <c r="D4" s="81"/>
      <c r="E4" s="81"/>
      <c r="F4" s="81"/>
      <c r="G4" s="78"/>
      <c r="H4" s="78"/>
      <c r="I4" s="78"/>
      <c r="J4" s="78"/>
      <c r="K4" s="78"/>
      <c r="L4" s="78"/>
    </row>
    <row r="5" spans="1:16" x14ac:dyDescent="0.35">
      <c r="A5" s="20">
        <v>1</v>
      </c>
      <c r="B5" s="6">
        <v>39</v>
      </c>
      <c r="C5" s="6">
        <f>B5*Datos!$D$9</f>
        <v>234</v>
      </c>
      <c r="D5" s="8">
        <f>B5*Datos!$D$12</f>
        <v>66.390982801165066</v>
      </c>
      <c r="E5" s="8">
        <f>C5*Datos!$D$12</f>
        <v>398.34589680699037</v>
      </c>
      <c r="F5" s="6">
        <f>Datos!$D$7</f>
        <v>100</v>
      </c>
      <c r="G5" s="6">
        <f>E5*F5/86400</f>
        <v>0.46104849167475737</v>
      </c>
      <c r="H5" s="7">
        <f>G5*IF(SUM($E$5:$E$11)&lt;=1000,1.5,1.2)</f>
        <v>0.55325819000970877</v>
      </c>
      <c r="I5" s="7">
        <f>G5*IF(SUM($E$5:$E$11)&lt;=1000,2,3)</f>
        <v>1.3831454750242722</v>
      </c>
      <c r="J5" s="7">
        <f>Datos!$D$8*('L. Distribución'!D5-1)^(1/2)</f>
        <v>1.6172938236593257</v>
      </c>
      <c r="K5" s="7" t="e">
        <f ca="1">IF(_xlfn.XLOOKUP(A5,Datos!B20:B26,Datos!A20:A26,"",0)="S",'L. Distribución'!I5,MAX('L. Distribución'!I5:J5))</f>
        <v>#NAME?</v>
      </c>
      <c r="L5" s="9" t="e">
        <f ca="1">IF(_xlfn.XLOOKUP(A5,Datos!B20:B26,Datos!A20:A26,"",0)="F",K5,K5+_xlfn.XLOOKUP(Datos!D20,'L. Distribución'!$A$5:$A$11,'L. Distribución'!$L$5:$L$11,0,0)+_xlfn.XLOOKUP(Datos!E20,'L. Distribución'!$A$5:$A$11,'L. Distribución'!$L$5:$L$11,0,0)+_xlfn.XLOOKUP(Datos!F20,'L. Distribución'!$A$5:$A$11,'L. Distribución'!$L$5:$L$11,0,0))</f>
        <v>#NAME?</v>
      </c>
      <c r="M5" s="51" t="s">
        <v>39</v>
      </c>
      <c r="N5" s="52"/>
      <c r="O5" s="52"/>
      <c r="P5" s="52"/>
    </row>
    <row r="6" spans="1:16" x14ac:dyDescent="0.35">
      <c r="A6" s="20">
        <v>2</v>
      </c>
      <c r="B6" s="6">
        <v>62</v>
      </c>
      <c r="C6" s="6">
        <f>B6*Datos!$D$9</f>
        <v>372</v>
      </c>
      <c r="D6" s="8">
        <f>B6*Datos!$D$12</f>
        <v>105.54463932492908</v>
      </c>
      <c r="E6" s="8">
        <f>C6*Datos!$D$12</f>
        <v>633.26783594957442</v>
      </c>
      <c r="F6" s="6">
        <f>Datos!$D$7</f>
        <v>100</v>
      </c>
      <c r="G6" s="6">
        <f t="shared" ref="G6:G11" si="0">E6*F6/86400</f>
        <v>0.73294888420089632</v>
      </c>
      <c r="H6" s="7">
        <f t="shared" ref="H6:H11" si="1">G6*IF(SUM($E$5:$E$11)&lt;=1000,1.5,1.2)</f>
        <v>0.87953866104107559</v>
      </c>
      <c r="I6" s="7">
        <f t="shared" ref="I6:I11" si="2">G6*IF(SUM($E$5:$E$11)&lt;=1000,2,3)</f>
        <v>2.1988466526026889</v>
      </c>
      <c r="J6" s="7">
        <f>Datos!$D$8*('L. Distribución'!D6-1)^(1/2)</f>
        <v>2.0449414595526112</v>
      </c>
      <c r="K6" s="7" t="e">
        <f ca="1">IF(_xlfn.XLOOKUP(A6,Datos!B21:B27,Datos!A21:A27,"",0)="S",'L. Distribución'!I6,MAX('L. Distribución'!I6:J6))</f>
        <v>#NAME?</v>
      </c>
      <c r="L6" s="9" t="e">
        <f ca="1">IF(_xlfn.XLOOKUP(A6,Datos!B21:B27,Datos!A21:A27,"",0)="F",K6,K6+_xlfn.XLOOKUP(Datos!D21,'L. Distribución'!$A$5:$A$11,'L. Distribución'!$L$5:$L$11,0,0)+_xlfn.XLOOKUP(Datos!E21,'L. Distribución'!$A$5:$A$11,'L. Distribución'!$L$5:$L$11,0,0)+_xlfn.XLOOKUP(Datos!F21,'L. Distribución'!$A$5:$A$11,'L. Distribución'!$L$5:$L$11,0,0))</f>
        <v>#NAME?</v>
      </c>
    </row>
    <row r="7" spans="1:16" x14ac:dyDescent="0.35">
      <c r="A7" s="20">
        <v>3</v>
      </c>
      <c r="B7" s="6">
        <v>50</v>
      </c>
      <c r="C7" s="6">
        <f>B7*Datos!$D$9</f>
        <v>300</v>
      </c>
      <c r="D7" s="8">
        <f>B7*Datos!$D$12</f>
        <v>85.11664461687829</v>
      </c>
      <c r="E7" s="8">
        <f>C7*Datos!$D$12</f>
        <v>510.69986770126974</v>
      </c>
      <c r="F7" s="6">
        <f>Datos!$D$7</f>
        <v>100</v>
      </c>
      <c r="G7" s="6">
        <f t="shared" si="0"/>
        <v>0.59108780983943254</v>
      </c>
      <c r="H7" s="7">
        <f t="shared" si="1"/>
        <v>0.70930537180731901</v>
      </c>
      <c r="I7" s="7">
        <f t="shared" si="2"/>
        <v>1.7732634295182976</v>
      </c>
      <c r="J7" s="7">
        <f>Datos!$D$8*('L. Distribución'!D7-1)^(1/2)</f>
        <v>1.8343025335737648</v>
      </c>
      <c r="K7" s="7" t="e">
        <f ca="1">IF(_xlfn.XLOOKUP(A7,Datos!B22:B28,Datos!A22:A28,"",0)="S",'L. Distribución'!I7,MAX('L. Distribución'!I7:J7))</f>
        <v>#NAME?</v>
      </c>
      <c r="L7" s="9" t="e">
        <f ca="1">IF(_xlfn.XLOOKUP(A7,Datos!B22:B28,Datos!A22:A28,"",0)="F",K7,K7+_xlfn.XLOOKUP(Datos!D22,'L. Distribución'!$A$5:$A$11,'L. Distribución'!$L$5:$L$11,0,0)+_xlfn.XLOOKUP(Datos!E22,'L. Distribución'!$A$5:$A$11,'L. Distribución'!$L$5:$L$11,0,0)+_xlfn.XLOOKUP(Datos!F22,'L. Distribución'!$A$5:$A$11,'L. Distribución'!$L$5:$L$11,0,0))</f>
        <v>#NAME?</v>
      </c>
    </row>
    <row r="8" spans="1:16" x14ac:dyDescent="0.35">
      <c r="A8" s="20">
        <v>4</v>
      </c>
      <c r="B8" s="6">
        <v>121</v>
      </c>
      <c r="C8" s="6">
        <f>B8*Datos!$D$9</f>
        <v>726</v>
      </c>
      <c r="D8" s="8">
        <f>B8*Datos!$D$12</f>
        <v>205.98227997284545</v>
      </c>
      <c r="E8" s="8">
        <f>C8*Datos!$D$12</f>
        <v>1235.8936798370728</v>
      </c>
      <c r="F8" s="6">
        <f>Datos!$D$7</f>
        <v>100</v>
      </c>
      <c r="G8" s="6">
        <f t="shared" si="0"/>
        <v>1.4304324998114268</v>
      </c>
      <c r="H8" s="7">
        <f t="shared" si="1"/>
        <v>1.7165189997737123</v>
      </c>
      <c r="I8" s="7">
        <f t="shared" si="2"/>
        <v>4.2912974994342807</v>
      </c>
      <c r="J8" s="7">
        <f>Datos!$D$8*('L. Distribución'!D8-1)^(1/2)</f>
        <v>2.8634404479426174</v>
      </c>
      <c r="K8" s="7" t="e">
        <f ca="1">IF(_xlfn.XLOOKUP(A8,Datos!B23:B29,Datos!A23:A29,"",0)="S",'L. Distribución'!I8,MAX('L. Distribución'!I8:J8))</f>
        <v>#NAME?</v>
      </c>
      <c r="L8" s="9" t="e">
        <f ca="1">IF(_xlfn.XLOOKUP(A8,Datos!B23:B29,Datos!A23:A29,"",0)="F",K8,K8+_xlfn.XLOOKUP(Datos!D23,'L. Distribución'!$A$5:$A$11,'L. Distribución'!$L$5:$L$11,0,0)+_xlfn.XLOOKUP(Datos!E23,'L. Distribución'!$A$5:$A$11,'L. Distribución'!$L$5:$L$11,0,0)+_xlfn.XLOOKUP(Datos!F23,'L. Distribución'!$A$5:$A$11,'L. Distribución'!$L$5:$L$11,0,0))</f>
        <v>#NAME?</v>
      </c>
    </row>
    <row r="9" spans="1:16" x14ac:dyDescent="0.35">
      <c r="A9" s="20">
        <v>5</v>
      </c>
      <c r="B9" s="6">
        <v>38</v>
      </c>
      <c r="C9" s="6">
        <f>B9*Datos!$D$9</f>
        <v>228</v>
      </c>
      <c r="D9" s="8">
        <f>B9*Datos!$D$12</f>
        <v>64.6886499088275</v>
      </c>
      <c r="E9" s="8">
        <f>C9*Datos!$D$12</f>
        <v>388.131899452965</v>
      </c>
      <c r="F9" s="6">
        <f>Datos!$D$7</f>
        <v>100</v>
      </c>
      <c r="G9" s="6">
        <f t="shared" si="0"/>
        <v>0.44922673547796876</v>
      </c>
      <c r="H9" s="7">
        <f t="shared" si="1"/>
        <v>0.53907208257356254</v>
      </c>
      <c r="I9" s="7">
        <f t="shared" si="2"/>
        <v>1.3476802064339064</v>
      </c>
      <c r="J9" s="7">
        <f>Datos!$D$8*('L. Distribución'!D9-1)^(1/2)</f>
        <v>1.5961033789680104</v>
      </c>
      <c r="K9" s="7" t="e">
        <f ca="1">IF(_xlfn.XLOOKUP(A9,Datos!B24:B30,Datos!A24:A30,"",0)="S",'L. Distribución'!I9,MAX('L. Distribución'!I9:J9))</f>
        <v>#NAME?</v>
      </c>
      <c r="L9" s="9" t="e">
        <f ca="1">IF(_xlfn.XLOOKUP(A9,Datos!B24:B30,Datos!A24:A30,"",0)="F",K9,K9+_xlfn.XLOOKUP(Datos!D24,'L. Distribución'!$A$5:$A$11,'L. Distribución'!$L$5:$L$11,0,0)+_xlfn.XLOOKUP(Datos!E24,'L. Distribución'!$A$5:$A$11,'L. Distribución'!$L$5:$L$11,0,0)+_xlfn.XLOOKUP(Datos!F24,'L. Distribución'!$A$5:$A$11,'L. Distribución'!$L$5:$L$11,0,0))</f>
        <v>#NAME?</v>
      </c>
    </row>
    <row r="10" spans="1:16" x14ac:dyDescent="0.35">
      <c r="A10" s="20">
        <v>6</v>
      </c>
      <c r="B10" s="6">
        <v>74</v>
      </c>
      <c r="C10" s="6">
        <f>B10*Datos!$D$9</f>
        <v>444</v>
      </c>
      <c r="D10" s="8">
        <f>B10*Datos!$D$12</f>
        <v>125.97263403297987</v>
      </c>
      <c r="E10" s="8">
        <f>C10*Datos!$D$12</f>
        <v>755.83580419787927</v>
      </c>
      <c r="F10" s="6">
        <f>Datos!$D$7</f>
        <v>100</v>
      </c>
      <c r="G10" s="6">
        <f t="shared" si="0"/>
        <v>0.87480995856236032</v>
      </c>
      <c r="H10" s="7">
        <f t="shared" si="1"/>
        <v>1.0497719502748324</v>
      </c>
      <c r="I10" s="7">
        <f t="shared" si="2"/>
        <v>2.6244298756870812</v>
      </c>
      <c r="J10" s="7">
        <f>Datos!$D$8*('L. Distribución'!D10-1)^(1/2)</f>
        <v>2.2358231954515531</v>
      </c>
      <c r="K10" s="7" t="e">
        <f ca="1">IF(_xlfn.XLOOKUP(A10,Datos!B25:B31,Datos!A25:A31,"",0)="S",'L. Distribución'!I10,MAX('L. Distribución'!I10:J10))</f>
        <v>#NAME?</v>
      </c>
      <c r="L10" s="9" t="e">
        <f ca="1">IF(_xlfn.XLOOKUP(A10,Datos!B25:B31,Datos!A25:A31,"",0)="F",K10,K10+_xlfn.XLOOKUP(Datos!D25,'L. Distribución'!$A$5:$A$11,'L. Distribución'!$L$5:$L$11,0,0)+_xlfn.XLOOKUP(Datos!E25,'L. Distribución'!$A$5:$A$11,'L. Distribución'!$L$5:$L$11,0,0)+_xlfn.XLOOKUP(Datos!F25,'L. Distribución'!$A$5:$A$11,'L. Distribución'!$L$5:$L$11,0,0))</f>
        <v>#NAME?</v>
      </c>
    </row>
    <row r="11" spans="1:16" x14ac:dyDescent="0.35">
      <c r="A11" s="20">
        <v>7</v>
      </c>
      <c r="B11" s="6">
        <v>114</v>
      </c>
      <c r="C11" s="6">
        <f>B11*Datos!$D$9</f>
        <v>684</v>
      </c>
      <c r="D11" s="8">
        <f>B11*Datos!$D$12</f>
        <v>194.0659497264825</v>
      </c>
      <c r="E11" s="8">
        <f>C11*Datos!$D$12</f>
        <v>1164.3956983588951</v>
      </c>
      <c r="F11" s="6">
        <f>Datos!$D$7</f>
        <v>100</v>
      </c>
      <c r="G11" s="6">
        <f t="shared" si="0"/>
        <v>1.3476802064339062</v>
      </c>
      <c r="H11" s="7">
        <f t="shared" si="1"/>
        <v>1.6172162477206873</v>
      </c>
      <c r="I11" s="7">
        <f t="shared" si="2"/>
        <v>4.0430406193017188</v>
      </c>
      <c r="J11" s="7">
        <f>Datos!$D$8*('L. Distribución'!D11-1)^(1/2)</f>
        <v>2.7789634738620261</v>
      </c>
      <c r="K11" s="7" t="e">
        <f ca="1">IF(_xlfn.XLOOKUP(A11,Datos!B26:B32,Datos!A26:A32,"",0)="S",'L. Distribución'!I11,MAX('L. Distribución'!I11:J11))</f>
        <v>#NAME?</v>
      </c>
      <c r="L11" s="9" t="e">
        <f ca="1">IF(_xlfn.XLOOKUP(A11,Datos!B26:B32,Datos!A26:A32,"",0)="F",K11,K11+_xlfn.XLOOKUP(Datos!D26,'L. Distribución'!$A$5:$A$11,'L. Distribución'!$L$5:$L$11,0,0)+_xlfn.XLOOKUP(Datos!E26,'L. Distribución'!$A$5:$A$11,'L. Distribución'!$L$5:$L$11,0,0)+_xlfn.XLOOKUP(Datos!F26,'L. Distribución'!$A$5:$A$11,'L. Distribución'!$L$5:$L$11,0,0))</f>
        <v>#NAME?</v>
      </c>
      <c r="M11" s="51" t="s">
        <v>40</v>
      </c>
      <c r="N11" s="52"/>
      <c r="O11" s="52"/>
      <c r="P11" s="52"/>
    </row>
  </sheetData>
  <mergeCells count="16">
    <mergeCell ref="A1:L1"/>
    <mergeCell ref="N1:O1"/>
    <mergeCell ref="M5:P5"/>
    <mergeCell ref="M11:P11"/>
    <mergeCell ref="K2:K4"/>
    <mergeCell ref="L2:L4"/>
    <mergeCell ref="I2:I4"/>
    <mergeCell ref="J2:J4"/>
    <mergeCell ref="A2:A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  <pageSetup orientation="portrait" r:id="rId1"/>
  <ignoredErrors>
    <ignoredError sqref="K6 K7:K1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607AACC3449042BCF49D6ED422332F" ma:contentTypeVersion="16" ma:contentTypeDescription="Crear nuevo documento." ma:contentTypeScope="" ma:versionID="fcd34b878414b57f1f00d83411f79303">
  <xsd:schema xmlns:xsd="http://www.w3.org/2001/XMLSchema" xmlns:xs="http://www.w3.org/2001/XMLSchema" xmlns:p="http://schemas.microsoft.com/office/2006/metadata/properties" xmlns:ns3="32a3cbdf-b0ed-40a8-8af8-c3e22539e925" xmlns:ns4="8b2d2e64-03b7-445e-bcd8-ec8cd9584d47" targetNamespace="http://schemas.microsoft.com/office/2006/metadata/properties" ma:root="true" ma:fieldsID="1fdb448a4ebaf478bc559d1787a9dba3" ns3:_="" ns4:_="">
    <xsd:import namespace="32a3cbdf-b0ed-40a8-8af8-c3e22539e925"/>
    <xsd:import namespace="8b2d2e64-03b7-445e-bcd8-ec8cd9584d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3cbdf-b0ed-40a8-8af8-c3e22539e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d2e64-03b7-445e-bcd8-ec8cd9584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a3cbdf-b0ed-40a8-8af8-c3e22539e92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CE8D9F-DBF9-45DD-809F-6A03F3A05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3cbdf-b0ed-40a8-8af8-c3e22539e925"/>
    <ds:schemaRef ds:uri="8b2d2e64-03b7-445e-bcd8-ec8cd9584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8E8879-3900-4959-BCF4-F12A585822B1}">
  <ds:schemaRefs>
    <ds:schemaRef ds:uri="32a3cbdf-b0ed-40a8-8af8-c3e22539e925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8b2d2e64-03b7-445e-bcd8-ec8cd9584d47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CE611DD-C415-4271-870C-BB4EEDFD3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L. Conducción</vt:lpstr>
      <vt:lpstr>L. Distribución</vt:lpstr>
      <vt:lpstr>'L. Conducción'!Área_de_impresión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Esaú Fuentes Orózco</dc:creator>
  <cp:lastModifiedBy>Marlon Ivan Carreto Rivera</cp:lastModifiedBy>
  <cp:lastPrinted>2024-09-18T05:33:24Z</cp:lastPrinted>
  <dcterms:created xsi:type="dcterms:W3CDTF">2024-09-17T16:48:16Z</dcterms:created>
  <dcterms:modified xsi:type="dcterms:W3CDTF">2024-11-20T00:56:34Z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0x010100BB607AACC3449042BCF49D6ED422332F</vt:lpwstr>
  </property>
</Properties>
</file>