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Segundo-Semestre-24\Ciementaciones 1\Proyecto1\"/>
    </mc:Choice>
  </mc:AlternateContent>
  <xr:revisionPtr revIDLastSave="0" documentId="13_ncr:1_{48E79B71-A468-4682-B261-0A64C811446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 Copia" sheetId="2" r:id="rId1"/>
    <sheet name="EDIT 3" sheetId="5" r:id="rId2"/>
    <sheet name="EDIT2" sheetId="4" r:id="rId3"/>
    <sheet name="EDIT 1" sheetId="3" r:id="rId4"/>
    <sheet name="Hoja1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B10" i="3"/>
  <c r="E25" i="2"/>
  <c r="D25" i="2"/>
  <c r="E24" i="2"/>
  <c r="D24" i="2"/>
  <c r="G20" i="2"/>
  <c r="I19" i="2"/>
  <c r="G19" i="2"/>
  <c r="N17" i="2"/>
  <c r="C17" i="2"/>
  <c r="J16" i="2"/>
  <c r="G16" i="2"/>
  <c r="I20" i="2" s="1"/>
  <c r="J15" i="2"/>
  <c r="G15" i="2"/>
  <c r="C15" i="2"/>
  <c r="X13" i="2"/>
  <c r="X12" i="2"/>
  <c r="P12" i="2"/>
  <c r="Q12" i="2" s="1"/>
  <c r="D11" i="2"/>
  <c r="D12" i="2" s="1"/>
  <c r="J9" i="2"/>
  <c r="N16" i="2" s="1"/>
  <c r="Q16" i="2" s="1"/>
  <c r="Z8" i="2"/>
  <c r="W26" i="2" s="1"/>
  <c r="Y26" i="2" s="1"/>
  <c r="X28" i="2" s="1"/>
  <c r="Y28" i="2" s="1"/>
  <c r="F6" i="2"/>
  <c r="C16" i="2" s="1"/>
  <c r="F6" i="1"/>
  <c r="C24" i="2"/>
  <c r="G24" i="2" s="1"/>
  <c r="C25" i="2"/>
  <c r="G25" i="2" s="1"/>
  <c r="H24" i="2" s="1"/>
  <c r="O24" i="2"/>
  <c r="O25" i="2" s="1"/>
  <c r="AA4" i="2"/>
  <c r="AA5" i="2" s="1"/>
  <c r="O32" i="2"/>
  <c r="O33" i="2" s="1"/>
  <c r="X12" i="1"/>
  <c r="X13" i="1"/>
  <c r="Z8" i="1"/>
  <c r="W26" i="1" s="1"/>
  <c r="Y26" i="1" s="1"/>
  <c r="X28" i="1" s="1"/>
  <c r="Y28" i="1" s="1"/>
  <c r="N17" i="1"/>
  <c r="N16" i="1"/>
  <c r="Q16" i="1" s="1"/>
  <c r="P12" i="1"/>
  <c r="Q12" i="1" s="1"/>
  <c r="J9" i="1"/>
  <c r="E25" i="1"/>
  <c r="D25" i="1"/>
  <c r="E24" i="1"/>
  <c r="D24" i="1"/>
  <c r="J16" i="1"/>
  <c r="J15" i="1"/>
  <c r="G16" i="1"/>
  <c r="G15" i="1"/>
  <c r="C17" i="1"/>
  <c r="C16" i="1"/>
  <c r="D11" i="1"/>
  <c r="D12" i="1" s="1"/>
  <c r="E28" i="2" l="1"/>
  <c r="H23" i="2"/>
  <c r="O32" i="1"/>
  <c r="O33" i="1" s="1"/>
  <c r="AA4" i="1"/>
  <c r="AA5" i="1" s="1"/>
  <c r="O24" i="1"/>
  <c r="O25" i="1" s="1"/>
  <c r="G19" i="1"/>
  <c r="I20" i="1"/>
  <c r="I19" i="1"/>
  <c r="G20" i="1"/>
  <c r="C15" i="1"/>
  <c r="C18" i="1" s="1"/>
  <c r="Z9" i="2" l="1"/>
  <c r="X14" i="2" s="1"/>
  <c r="O20" i="2"/>
  <c r="P3" i="2"/>
  <c r="S6" i="2" s="1"/>
  <c r="C24" i="1"/>
  <c r="G24" i="1" s="1"/>
  <c r="E28" i="1" s="1"/>
  <c r="O20" i="1" s="1"/>
  <c r="C25" i="1"/>
  <c r="G25" i="1" s="1"/>
  <c r="H24" i="1" s="1"/>
  <c r="P3" i="1" l="1"/>
  <c r="S6" i="1" s="1"/>
  <c r="Z9" i="1"/>
  <c r="X14" i="1" s="1"/>
  <c r="H23" i="1"/>
</calcChain>
</file>

<file path=xl/sharedStrings.xml><?xml version="1.0" encoding="utf-8"?>
<sst xmlns="http://schemas.openxmlformats.org/spreadsheetml/2006/main" count="317" uniqueCount="126">
  <si>
    <t>Diseño de zapata</t>
  </si>
  <si>
    <t>DATOS:</t>
  </si>
  <si>
    <t>Pu</t>
  </si>
  <si>
    <t>Mxx</t>
  </si>
  <si>
    <t>Myy</t>
  </si>
  <si>
    <t>Vs</t>
  </si>
  <si>
    <t>Ws</t>
  </si>
  <si>
    <t>Df</t>
  </si>
  <si>
    <t>Fcu</t>
  </si>
  <si>
    <t>columna</t>
  </si>
  <si>
    <t>ancho</t>
  </si>
  <si>
    <t>alto</t>
  </si>
  <si>
    <t>Aree de la zapata</t>
  </si>
  <si>
    <t>densidades</t>
  </si>
  <si>
    <t>concreto</t>
  </si>
  <si>
    <t>ton/m3</t>
  </si>
  <si>
    <t xml:space="preserve">PESOS </t>
  </si>
  <si>
    <t>P. Zapata</t>
  </si>
  <si>
    <t>P. Suelo</t>
  </si>
  <si>
    <t>zapata</t>
  </si>
  <si>
    <t>espesor</t>
  </si>
  <si>
    <t>raiz=</t>
  </si>
  <si>
    <t>propuesta para los chequeos</t>
  </si>
  <si>
    <t>acero</t>
  </si>
  <si>
    <t>altura, suelo</t>
  </si>
  <si>
    <t>sumatoria</t>
  </si>
  <si>
    <t>Excentricidad</t>
  </si>
  <si>
    <t>EX</t>
  </si>
  <si>
    <t>EY</t>
  </si>
  <si>
    <t>excentricidad maxima</t>
  </si>
  <si>
    <t>EmaxB</t>
  </si>
  <si>
    <t>EmaxL</t>
  </si>
  <si>
    <t>comprobar si cumple</t>
  </si>
  <si>
    <t>ex,ey&lt;Emax</t>
  </si>
  <si>
    <t>Hallamos las cargas Maximas y minimas</t>
  </si>
  <si>
    <t>B</t>
  </si>
  <si>
    <t>qMax</t>
  </si>
  <si>
    <t>qMin</t>
  </si>
  <si>
    <t>=</t>
  </si>
  <si>
    <t>qmax&lt;qandmisible</t>
  </si>
  <si>
    <t>qMin&gt;0</t>
  </si>
  <si>
    <t>Presion de Diseño Ulitmo</t>
  </si>
  <si>
    <t>qdu=</t>
  </si>
  <si>
    <t>fcu*qmax</t>
  </si>
  <si>
    <t>corte simple</t>
  </si>
  <si>
    <t>Vactuante=qdu*L*((L-C)/2)-d)</t>
  </si>
  <si>
    <t>peralte =d</t>
  </si>
  <si>
    <t>recubrimiento</t>
  </si>
  <si>
    <t>corte resistente</t>
  </si>
  <si>
    <r>
      <t>Vr=</t>
    </r>
    <r>
      <rPr>
        <b/>
        <sz val="14"/>
        <color theme="1"/>
        <rFont val="Calibri"/>
        <family val="2"/>
      </rPr>
      <t>ϕ*0.53*sqrt(fç)*d*B</t>
    </r>
  </si>
  <si>
    <t>´fç</t>
  </si>
  <si>
    <t>d</t>
  </si>
  <si>
    <t>Ф</t>
  </si>
  <si>
    <t>Vr=</t>
  </si>
  <si>
    <t>constante</t>
  </si>
  <si>
    <t>Corte a Punzonamiento</t>
  </si>
  <si>
    <t>c:</t>
  </si>
  <si>
    <t>Vr&gt;Va</t>
  </si>
  <si>
    <t>d/2</t>
  </si>
  <si>
    <t>d(perimetro)=</t>
  </si>
  <si>
    <t>d:</t>
  </si>
  <si>
    <t>Va:</t>
  </si>
  <si>
    <t>2Bc+2BLc+4d</t>
  </si>
  <si>
    <r>
      <t>V1=ϕ*(2+4/</t>
    </r>
    <r>
      <rPr>
        <b/>
        <sz val="14"/>
        <color theme="1"/>
        <rFont val="Calibri"/>
        <family val="2"/>
      </rPr>
      <t>β</t>
    </r>
    <r>
      <rPr>
        <b/>
        <sz val="9.8000000000000007"/>
        <color theme="1"/>
        <rFont val="Calibri"/>
        <family val="2"/>
      </rPr>
      <t>c</t>
    </r>
    <r>
      <rPr>
        <b/>
        <sz val="14"/>
        <color theme="1"/>
        <rFont val="Calibri"/>
        <family val="2"/>
        <scheme val="minor"/>
      </rPr>
      <t>)*0.53*sqrt(fç)*d*B</t>
    </r>
  </si>
  <si>
    <t>v1:</t>
  </si>
  <si>
    <r>
      <t>β</t>
    </r>
    <r>
      <rPr>
        <b/>
        <sz val="7.7"/>
        <color theme="1"/>
        <rFont val="Calibri"/>
        <family val="2"/>
      </rPr>
      <t>c:</t>
    </r>
  </si>
  <si>
    <t>pasar a ton</t>
  </si>
  <si>
    <t>v1/1000</t>
  </si>
  <si>
    <t>as</t>
  </si>
  <si>
    <t>b3</t>
  </si>
  <si>
    <t>V2=ϕ*0.27*((as/410)+2)*sqrt(fç)*d*B</t>
  </si>
  <si>
    <t>V3=ϕ*sqrt(fç)*d*B</t>
  </si>
  <si>
    <t>v2:</t>
  </si>
  <si>
    <t>v2/1000</t>
  </si>
  <si>
    <t>v3:</t>
  </si>
  <si>
    <t>v3/1000</t>
  </si>
  <si>
    <t>Refuerzo por Flexion</t>
  </si>
  <si>
    <t>as min</t>
  </si>
  <si>
    <t>fy</t>
  </si>
  <si>
    <t>Momento</t>
  </si>
  <si>
    <t>cm2</t>
  </si>
  <si>
    <t>Formula cuadrática</t>
  </si>
  <si>
    <t>a</t>
  </si>
  <si>
    <t>b</t>
  </si>
  <si>
    <t>c</t>
  </si>
  <si>
    <r>
      <t xml:space="preserve">flexion </t>
    </r>
    <r>
      <rPr>
        <sz val="11"/>
        <color theme="1"/>
        <rFont val="Calibri"/>
        <family val="2"/>
      </rPr>
      <t>ϕ</t>
    </r>
  </si>
  <si>
    <t>x1</t>
  </si>
  <si>
    <t>x2</t>
  </si>
  <si>
    <t>4.54 ¡</t>
  </si>
  <si>
    <t>ϕ =3/4"</t>
  </si>
  <si>
    <t>redondedo =</t>
  </si>
  <si>
    <t>cantidad=</t>
  </si>
  <si>
    <t>ARMADO ϕ =3/4"  @ 13 cm en ambos sentidos</t>
  </si>
  <si>
    <t>m</t>
  </si>
  <si>
    <t>CIMENTACIONES</t>
  </si>
  <si>
    <t>ERIK HAROLDO GARCIA REYES   201431182</t>
  </si>
  <si>
    <t>4200 kg/cm2</t>
  </si>
  <si>
    <t>Columna</t>
  </si>
  <si>
    <t>Zapata</t>
  </si>
  <si>
    <t>Densidades</t>
  </si>
  <si>
    <t>Concreto</t>
  </si>
  <si>
    <t>Acero</t>
  </si>
  <si>
    <t>Ancho</t>
  </si>
  <si>
    <t>Alto</t>
  </si>
  <si>
    <t>Elemento</t>
  </si>
  <si>
    <t>Area de la zapata</t>
  </si>
  <si>
    <t>Peralte d:</t>
  </si>
  <si>
    <t>Raiz:</t>
  </si>
  <si>
    <t>Area de la zapata:</t>
  </si>
  <si>
    <t>Propuesta para los chequeos:</t>
  </si>
  <si>
    <t>&lt;</t>
  </si>
  <si>
    <t>Si cumple</t>
  </si>
  <si>
    <t>Excentricidad maxima</t>
  </si>
  <si>
    <t>Comprobar si cumple</t>
  </si>
  <si>
    <t>Pesos</t>
  </si>
  <si>
    <t>SI CUMPLE</t>
  </si>
  <si>
    <t>Vr=ϕ*0.53*sqrt(fç)*d*B</t>
  </si>
  <si>
    <t>βc:</t>
  </si>
  <si>
    <t>V1=ϕ*(2+4/βc)*0.53*sqrt(fç)*d*B</t>
  </si>
  <si>
    <t xml:space="preserve">Corte Simple </t>
  </si>
  <si>
    <t xml:space="preserve">Corte Resistente </t>
  </si>
  <si>
    <t>Se pasa a Ton</t>
  </si>
  <si>
    <t>Flexion ϕ</t>
  </si>
  <si>
    <t xml:space="preserve">Se redondea a </t>
  </si>
  <si>
    <t>Sumatoria</t>
  </si>
  <si>
    <t>ARMADO ϕ =3/4"  @ 12 cm en ambos sentidos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</si>
</sst>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\ &quot;ton&quot;"/>
    <numFmt numFmtId="165" formatCode="0.00\ &quot;ton/m2&quot;"/>
    <numFmt numFmtId="166" formatCode="0.00\ &quot;m&quot;"/>
    <numFmt numFmtId="167" formatCode="0.00\ &quot;ton-m&quot;"/>
    <numFmt numFmtId="168" formatCode="0.00\ &quot;ton/m3&quot;"/>
    <numFmt numFmtId="169" formatCode="0.000\ &quot;m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7.7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9.8000000000000007"/>
      <color theme="1"/>
      <name val="Calibri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vertic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1" fillId="0" borderId="2" xfId="0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65" fontId="0" fillId="0" borderId="1" xfId="0" applyNumberFormat="1" applyBorder="1"/>
    <xf numFmtId="166" fontId="1" fillId="0" borderId="0" xfId="0" applyNumberFormat="1" applyFont="1" applyAlignment="1">
      <alignment vertical="center"/>
    </xf>
    <xf numFmtId="167" fontId="0" fillId="0" borderId="1" xfId="0" applyNumberFormat="1" applyBorder="1"/>
    <xf numFmtId="168" fontId="0" fillId="0" borderId="1" xfId="0" applyNumberFormat="1" applyBorder="1"/>
    <xf numFmtId="166" fontId="0" fillId="0" borderId="1" xfId="0" applyNumberFormat="1" applyBorder="1"/>
    <xf numFmtId="169" fontId="0" fillId="0" borderId="1" xfId="0" applyNumberFormat="1" applyBorder="1"/>
    <xf numFmtId="0" fontId="0" fillId="2" borderId="1" xfId="0" applyFill="1" applyBorder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0" fontId="0" fillId="2" borderId="0" xfId="0" applyFill="1"/>
    <xf numFmtId="165" fontId="0" fillId="0" borderId="0" xfId="0" applyNumberFormat="1"/>
    <xf numFmtId="169" fontId="0" fillId="0" borderId="0" xfId="0" applyNumberFormat="1"/>
    <xf numFmtId="0" fontId="2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6" borderId="0" xfId="0" applyFont="1" applyFill="1"/>
    <xf numFmtId="0" fontId="0" fillId="6" borderId="0" xfId="0" applyFill="1"/>
    <xf numFmtId="166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1" fillId="6" borderId="0" xfId="0" applyFont="1" applyFill="1" applyAlignment="1">
      <alignment horizontal="righ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11" fillId="6" borderId="0" xfId="0" applyFont="1" applyFill="1"/>
    <xf numFmtId="0" fontId="12" fillId="6" borderId="0" xfId="0" applyFont="1" applyFill="1"/>
    <xf numFmtId="0" fontId="13" fillId="6" borderId="0" xfId="0" applyFont="1" applyFill="1"/>
    <xf numFmtId="0" fontId="1" fillId="6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166" fontId="1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0" fillId="0" borderId="0" xfId="0"/>
    <xf numFmtId="0" fontId="5" fillId="0" borderId="0" xfId="0" applyFont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541985</xdr:colOff>
      <xdr:row>18</xdr:row>
      <xdr:rowOff>1</xdr:rowOff>
    </xdr:from>
    <xdr:ext cx="2212099" cy="195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B4DB19E-DFCD-4B85-937D-7366124ECD9D}"/>
                </a:ext>
              </a:extLst>
            </xdr:cNvPr>
            <xdr:cNvSpPr txBox="1"/>
          </xdr:nvSpPr>
          <xdr:spPr>
            <a:xfrm>
              <a:off x="9978085" y="3708401"/>
              <a:ext cx="2212099" cy="19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GT" sz="1100" b="1"/>
                <a:t>Va</a:t>
              </a:r>
              <a14:m>
                <m:oMath xmlns:m="http://schemas.openxmlformats.org/officeDocument/2006/math">
                  <m:r>
                    <a:rPr lang="es-GT" sz="1100" b="1" i="1">
                      <a:latin typeface="Cambria Math" panose="02040503050406030204" pitchFamily="18" charset="0"/>
                    </a:rPr>
                    <m:t>=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𝒒𝒅𝒖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∗(</m:t>
                  </m:r>
                  <m:sSup>
                    <m:sSupPr>
                      <m:ctrlPr>
                        <a:rPr lang="es-GT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GT" sz="1100" b="1" i="1">
                          <a:latin typeface="Cambria Math" panose="02040503050406030204" pitchFamily="18" charset="0"/>
                        </a:rPr>
                        <m:t>𝑩</m:t>
                      </m:r>
                    </m:e>
                    <m:sup>
                      <m:r>
                        <a:rPr lang="es-GT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  <m:r>
                    <a:rPr lang="es-GT" sz="1100" b="1" i="1">
                      <a:latin typeface="Cambria Math" panose="02040503050406030204" pitchFamily="18" charset="0"/>
                    </a:rPr>
                    <m:t>−(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𝑪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+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𝑫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)(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𝑪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−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𝑫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s-GT" sz="11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B4DB19E-DFCD-4B85-937D-7366124ECD9D}"/>
                </a:ext>
              </a:extLst>
            </xdr:cNvPr>
            <xdr:cNvSpPr txBox="1"/>
          </xdr:nvSpPr>
          <xdr:spPr>
            <a:xfrm>
              <a:off x="9978085" y="3708401"/>
              <a:ext cx="2212099" cy="19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GT" sz="1100" b="1"/>
                <a:t>Va</a:t>
              </a:r>
              <a:r>
                <a:rPr lang="es-GT" sz="1100" b="1" i="0">
                  <a:latin typeface="Cambria Math" panose="02040503050406030204" pitchFamily="18" charset="0"/>
                </a:rPr>
                <a:t>=𝒒𝒅𝒖∗(𝑩^𝟐−(𝑪+𝑫)(𝑪−𝑫)</a:t>
              </a:r>
              <a:endParaRPr lang="es-GT" sz="1100" b="1"/>
            </a:p>
          </xdr:txBody>
        </xdr:sp>
      </mc:Fallback>
    </mc:AlternateContent>
    <xdr:clientData/>
  </xdr:oneCellAnchor>
  <xdr:oneCellAnchor>
    <xdr:from>
      <xdr:col>22</xdr:col>
      <xdr:colOff>443670</xdr:colOff>
      <xdr:row>17</xdr:row>
      <xdr:rowOff>136299</xdr:rowOff>
    </xdr:from>
    <xdr:ext cx="3010440" cy="3622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3D4A656-F1A4-4214-8AD9-5C5A120B83F9}"/>
                </a:ext>
              </a:extLst>
            </xdr:cNvPr>
            <xdr:cNvSpPr txBox="1"/>
          </xdr:nvSpPr>
          <xdr:spPr>
            <a:xfrm>
              <a:off x="17474370" y="3660549"/>
              <a:ext cx="3010440" cy="362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GT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G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42.5</m:t>
                        </m:r>
                        <m:r>
                          <a:rPr lang="es-GT" sz="1100" i="1">
                            <a:latin typeface="Cambria Math" panose="02040503050406030204" pitchFamily="18" charset="0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es-GT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GT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GT" sz="1100" b="0" i="1">
                                    <a:latin typeface="Cambria Math" panose="02040503050406030204" pitchFamily="18" charset="0"/>
                                  </a:rPr>
                                  <m:t>42.5</m:t>
                                </m:r>
                              </m:e>
                              <m:sup>
                                <m:r>
                                  <a:rPr lang="es-GT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GT" sz="110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∗46447647∗94218</m:t>
                            </m:r>
                          </m:e>
                        </m:rad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572</m:t>
                        </m:r>
                      </m:num>
                      <m:den>
                        <m:r>
                          <a:rPr lang="es-GT" sz="11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∗46447647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3D4A656-F1A4-4214-8AD9-5C5A120B83F9}"/>
                </a:ext>
              </a:extLst>
            </xdr:cNvPr>
            <xdr:cNvSpPr txBox="1"/>
          </xdr:nvSpPr>
          <xdr:spPr>
            <a:xfrm>
              <a:off x="17474370" y="3660549"/>
              <a:ext cx="3010440" cy="362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i="0">
                  <a:latin typeface="Cambria Math" panose="02040503050406030204" pitchFamily="18" charset="0"/>
                </a:rPr>
                <a:t>𝑥=(−</a:t>
              </a:r>
              <a:r>
                <a:rPr lang="es-GT" sz="1100" b="0" i="0">
                  <a:latin typeface="Cambria Math" panose="02040503050406030204" pitchFamily="18" charset="0"/>
                </a:rPr>
                <a:t>42.5</a:t>
              </a:r>
              <a:r>
                <a:rPr lang="es-GT" sz="1100" i="0">
                  <a:latin typeface="Cambria Math" panose="02040503050406030204" pitchFamily="18" charset="0"/>
                </a:rPr>
                <a:t>±√(〖</a:t>
              </a:r>
              <a:r>
                <a:rPr lang="es-GT" sz="1100" b="0" i="0">
                  <a:latin typeface="Cambria Math" panose="02040503050406030204" pitchFamily="18" charset="0"/>
                </a:rPr>
                <a:t>42.5〗^</a:t>
              </a:r>
              <a:r>
                <a:rPr lang="es-GT" sz="1100" i="0">
                  <a:latin typeface="Cambria Math" panose="02040503050406030204" pitchFamily="18" charset="0"/>
                </a:rPr>
                <a:t>2−4</a:t>
              </a:r>
              <a:r>
                <a:rPr lang="es-GT" sz="1100" b="0" i="0">
                  <a:latin typeface="Cambria Math" panose="02040503050406030204" pitchFamily="18" charset="0"/>
                </a:rPr>
                <a:t>∗46447647∗94218) 572)/(</a:t>
              </a:r>
              <a:r>
                <a:rPr lang="es-GT" sz="1100" i="0">
                  <a:latin typeface="Cambria Math" panose="02040503050406030204" pitchFamily="18" charset="0"/>
                </a:rPr>
                <a:t>2</a:t>
              </a:r>
              <a:r>
                <a:rPr lang="es-GT" sz="1100" b="0" i="0">
                  <a:latin typeface="Cambria Math" panose="02040503050406030204" pitchFamily="18" charset="0"/>
                </a:rPr>
                <a:t>∗46447647)</a:t>
              </a:r>
              <a:endParaRPr lang="es-GT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</xdr:row>
      <xdr:rowOff>44822</xdr:rowOff>
    </xdr:from>
    <xdr:ext cx="3731559" cy="6648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2F05212-C708-479A-A18F-3523B5813B8E}"/>
                </a:ext>
              </a:extLst>
            </xdr:cNvPr>
            <xdr:cNvSpPr txBox="1"/>
          </xdr:nvSpPr>
          <xdr:spPr>
            <a:xfrm>
              <a:off x="1542676" y="2689410"/>
              <a:ext cx="3731559" cy="664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GT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G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42.5</m:t>
                        </m:r>
                        <m:r>
                          <a:rPr lang="es-GT" sz="1100" i="1">
                            <a:latin typeface="Cambria Math" panose="02040503050406030204" pitchFamily="18" charset="0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es-GT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GT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GT" sz="1100" b="0" i="1">
                                    <a:latin typeface="Cambria Math" panose="02040503050406030204" pitchFamily="18" charset="0"/>
                                  </a:rPr>
                                  <m:t>42.5</m:t>
                                </m:r>
                              </m:e>
                              <m:sup>
                                <m:r>
                                  <a:rPr lang="es-GT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GT" sz="110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∗46447647∗94218</m:t>
                            </m:r>
                          </m:e>
                        </m:rad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572</m:t>
                        </m:r>
                      </m:num>
                      <m:den>
                        <m:r>
                          <a:rPr lang="es-GT" sz="11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∗46447647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2F05212-C708-479A-A18F-3523B5813B8E}"/>
                </a:ext>
              </a:extLst>
            </xdr:cNvPr>
            <xdr:cNvSpPr txBox="1"/>
          </xdr:nvSpPr>
          <xdr:spPr>
            <a:xfrm>
              <a:off x="1542676" y="2689410"/>
              <a:ext cx="3731559" cy="664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GT" sz="1100" i="0">
                  <a:latin typeface="Cambria Math" panose="02040503050406030204" pitchFamily="18" charset="0"/>
                </a:rPr>
                <a:t>𝑥=(−</a:t>
              </a:r>
              <a:r>
                <a:rPr lang="es-GT" sz="1100" b="0" i="0">
                  <a:latin typeface="Cambria Math" panose="02040503050406030204" pitchFamily="18" charset="0"/>
                </a:rPr>
                <a:t>42.5</a:t>
              </a:r>
              <a:r>
                <a:rPr lang="es-GT" sz="1100" i="0">
                  <a:latin typeface="Cambria Math" panose="02040503050406030204" pitchFamily="18" charset="0"/>
                </a:rPr>
                <a:t>±√(〖</a:t>
              </a:r>
              <a:r>
                <a:rPr lang="es-GT" sz="1100" b="0" i="0">
                  <a:latin typeface="Cambria Math" panose="02040503050406030204" pitchFamily="18" charset="0"/>
                </a:rPr>
                <a:t>42.5〗^</a:t>
              </a:r>
              <a:r>
                <a:rPr lang="es-GT" sz="1100" i="0">
                  <a:latin typeface="Cambria Math" panose="02040503050406030204" pitchFamily="18" charset="0"/>
                </a:rPr>
                <a:t>2−4</a:t>
              </a:r>
              <a:r>
                <a:rPr lang="es-GT" sz="1100" b="0" i="0">
                  <a:latin typeface="Cambria Math" panose="02040503050406030204" pitchFamily="18" charset="0"/>
                </a:rPr>
                <a:t>∗46447647∗94218) 572)/(</a:t>
              </a:r>
              <a:r>
                <a:rPr lang="es-GT" sz="1100" i="0">
                  <a:latin typeface="Cambria Math" panose="02040503050406030204" pitchFamily="18" charset="0"/>
                </a:rPr>
                <a:t>2</a:t>
              </a:r>
              <a:r>
                <a:rPr lang="es-GT" sz="1100" b="0" i="0">
                  <a:latin typeface="Cambria Math" panose="02040503050406030204" pitchFamily="18" charset="0"/>
                </a:rPr>
                <a:t>∗46447647)</a:t>
              </a:r>
              <a:endParaRPr lang="es-GT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14942</xdr:colOff>
      <xdr:row>17</xdr:row>
      <xdr:rowOff>0</xdr:rowOff>
    </xdr:from>
    <xdr:ext cx="2212099" cy="195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5794A7-D6BC-4B2E-9254-984E07990FBC}"/>
                </a:ext>
              </a:extLst>
            </xdr:cNvPr>
            <xdr:cNvSpPr txBox="1"/>
          </xdr:nvSpPr>
          <xdr:spPr>
            <a:xfrm>
              <a:off x="799354" y="3197412"/>
              <a:ext cx="2212099" cy="19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GT" sz="1100" b="1"/>
                <a:t>Va</a:t>
              </a:r>
              <a14:m>
                <m:oMath xmlns:m="http://schemas.openxmlformats.org/officeDocument/2006/math">
                  <m:r>
                    <a:rPr lang="es-GT" sz="1100" b="1" i="1">
                      <a:latin typeface="Cambria Math" panose="02040503050406030204" pitchFamily="18" charset="0"/>
                    </a:rPr>
                    <m:t>=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𝒒𝒅𝒖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∗(</m:t>
                  </m:r>
                  <m:sSup>
                    <m:sSupPr>
                      <m:ctrlPr>
                        <a:rPr lang="es-GT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GT" sz="1100" b="1" i="1">
                          <a:latin typeface="Cambria Math" panose="02040503050406030204" pitchFamily="18" charset="0"/>
                        </a:rPr>
                        <m:t>𝑩</m:t>
                      </m:r>
                    </m:e>
                    <m:sup>
                      <m:r>
                        <a:rPr lang="es-GT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  <m:r>
                    <a:rPr lang="es-GT" sz="1100" b="1" i="1">
                      <a:latin typeface="Cambria Math" panose="02040503050406030204" pitchFamily="18" charset="0"/>
                    </a:rPr>
                    <m:t>−(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𝑪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+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𝑫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)(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𝑪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−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𝑫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s-GT" sz="11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5794A7-D6BC-4B2E-9254-984E07990FBC}"/>
                </a:ext>
              </a:extLst>
            </xdr:cNvPr>
            <xdr:cNvSpPr txBox="1"/>
          </xdr:nvSpPr>
          <xdr:spPr>
            <a:xfrm>
              <a:off x="799354" y="3197412"/>
              <a:ext cx="2212099" cy="19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GT" sz="1100" b="1"/>
                <a:t>Va</a:t>
              </a:r>
              <a:r>
                <a:rPr lang="es-GT" sz="1100" b="1" i="0">
                  <a:latin typeface="Cambria Math" panose="02040503050406030204" pitchFamily="18" charset="0"/>
                </a:rPr>
                <a:t>=𝒒𝒅𝒖∗(𝑩^𝟐−(𝑪+𝑫)(𝑪−𝑫)</a:t>
              </a:r>
              <a:endParaRPr lang="es-GT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541985</xdr:colOff>
      <xdr:row>18</xdr:row>
      <xdr:rowOff>1</xdr:rowOff>
    </xdr:from>
    <xdr:ext cx="2212099" cy="195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E9C128E-7909-D50B-0AFB-0FAF5EAB6046}"/>
                </a:ext>
              </a:extLst>
            </xdr:cNvPr>
            <xdr:cNvSpPr txBox="1"/>
          </xdr:nvSpPr>
          <xdr:spPr>
            <a:xfrm>
              <a:off x="9740414" y="3331030"/>
              <a:ext cx="2212099" cy="19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GT" sz="1100" b="1"/>
                <a:t>Va</a:t>
              </a:r>
              <a14:m>
                <m:oMath xmlns:m="http://schemas.openxmlformats.org/officeDocument/2006/math">
                  <m:r>
                    <a:rPr lang="es-GT" sz="1100" b="1" i="1">
                      <a:latin typeface="Cambria Math" panose="02040503050406030204" pitchFamily="18" charset="0"/>
                    </a:rPr>
                    <m:t>=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𝒒𝒅𝒖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∗(</m:t>
                  </m:r>
                  <m:sSup>
                    <m:sSupPr>
                      <m:ctrlPr>
                        <a:rPr lang="es-GT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GT" sz="1100" b="1" i="1">
                          <a:latin typeface="Cambria Math" panose="02040503050406030204" pitchFamily="18" charset="0"/>
                        </a:rPr>
                        <m:t>𝑩</m:t>
                      </m:r>
                    </m:e>
                    <m:sup>
                      <m:r>
                        <a:rPr lang="es-GT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  <m:r>
                    <a:rPr lang="es-GT" sz="1100" b="1" i="1">
                      <a:latin typeface="Cambria Math" panose="02040503050406030204" pitchFamily="18" charset="0"/>
                    </a:rPr>
                    <m:t>−(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𝑪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+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𝑫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)(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𝑪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−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𝑫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s-GT" sz="11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E9C128E-7909-D50B-0AFB-0FAF5EAB6046}"/>
                </a:ext>
              </a:extLst>
            </xdr:cNvPr>
            <xdr:cNvSpPr txBox="1"/>
          </xdr:nvSpPr>
          <xdr:spPr>
            <a:xfrm>
              <a:off x="9740414" y="3331030"/>
              <a:ext cx="2212099" cy="19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GT" sz="1100" b="1"/>
                <a:t>Va</a:t>
              </a:r>
              <a:r>
                <a:rPr lang="es-GT" sz="1100" b="1" i="0">
                  <a:latin typeface="Cambria Math" panose="02040503050406030204" pitchFamily="18" charset="0"/>
                </a:rPr>
                <a:t>=𝒒𝒅𝒖∗(𝑩^𝟐−(𝑪+𝑫)(𝑪−𝑫)</a:t>
              </a:r>
              <a:endParaRPr lang="es-GT" sz="1100" b="1"/>
            </a:p>
          </xdr:txBody>
        </xdr:sp>
      </mc:Fallback>
    </mc:AlternateContent>
    <xdr:clientData/>
  </xdr:oneCellAnchor>
  <xdr:oneCellAnchor>
    <xdr:from>
      <xdr:col>22</xdr:col>
      <xdr:colOff>443670</xdr:colOff>
      <xdr:row>17</xdr:row>
      <xdr:rowOff>136299</xdr:rowOff>
    </xdr:from>
    <xdr:ext cx="3010440" cy="3622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BBF4EAE-1325-0B07-872C-43FD2BEB263B}"/>
                </a:ext>
              </a:extLst>
            </xdr:cNvPr>
            <xdr:cNvSpPr txBox="1"/>
          </xdr:nvSpPr>
          <xdr:spPr>
            <a:xfrm>
              <a:off x="17468927" y="3358470"/>
              <a:ext cx="3010440" cy="362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GT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G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42.5</m:t>
                        </m:r>
                        <m:r>
                          <a:rPr lang="es-GT" sz="1100" i="1">
                            <a:latin typeface="Cambria Math" panose="02040503050406030204" pitchFamily="18" charset="0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es-GT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GT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GT" sz="1100" b="0" i="1">
                                    <a:latin typeface="Cambria Math" panose="02040503050406030204" pitchFamily="18" charset="0"/>
                                  </a:rPr>
                                  <m:t>42.5</m:t>
                                </m:r>
                              </m:e>
                              <m:sup>
                                <m:r>
                                  <a:rPr lang="es-GT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GT" sz="110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∗46447647∗94218</m:t>
                            </m:r>
                          </m:e>
                        </m:rad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572</m:t>
                        </m:r>
                      </m:num>
                      <m:den>
                        <m:r>
                          <a:rPr lang="es-GT" sz="11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∗46447647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BBF4EAE-1325-0B07-872C-43FD2BEB263B}"/>
                </a:ext>
              </a:extLst>
            </xdr:cNvPr>
            <xdr:cNvSpPr txBox="1"/>
          </xdr:nvSpPr>
          <xdr:spPr>
            <a:xfrm>
              <a:off x="17468927" y="3358470"/>
              <a:ext cx="3010440" cy="362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GT" sz="1100" i="0">
                  <a:latin typeface="Cambria Math" panose="02040503050406030204" pitchFamily="18" charset="0"/>
                </a:rPr>
                <a:t>𝑥=(−</a:t>
              </a:r>
              <a:r>
                <a:rPr lang="es-GT" sz="1100" b="0" i="0">
                  <a:latin typeface="Cambria Math" panose="02040503050406030204" pitchFamily="18" charset="0"/>
                </a:rPr>
                <a:t>42.5</a:t>
              </a:r>
              <a:r>
                <a:rPr lang="es-GT" sz="1100" i="0">
                  <a:latin typeface="Cambria Math" panose="02040503050406030204" pitchFamily="18" charset="0"/>
                </a:rPr>
                <a:t>±√(〖</a:t>
              </a:r>
              <a:r>
                <a:rPr lang="es-GT" sz="1100" b="0" i="0">
                  <a:latin typeface="Cambria Math" panose="02040503050406030204" pitchFamily="18" charset="0"/>
                </a:rPr>
                <a:t>42.5〗^</a:t>
              </a:r>
              <a:r>
                <a:rPr lang="es-GT" sz="1100" i="0">
                  <a:latin typeface="Cambria Math" panose="02040503050406030204" pitchFamily="18" charset="0"/>
                </a:rPr>
                <a:t>2−4</a:t>
              </a:r>
              <a:r>
                <a:rPr lang="es-GT" sz="1100" b="0" i="0">
                  <a:latin typeface="Cambria Math" panose="02040503050406030204" pitchFamily="18" charset="0"/>
                </a:rPr>
                <a:t>∗46447647∗94218) 572)/(</a:t>
              </a:r>
              <a:r>
                <a:rPr lang="es-GT" sz="1100" i="0">
                  <a:latin typeface="Cambria Math" panose="02040503050406030204" pitchFamily="18" charset="0"/>
                </a:rPr>
                <a:t>2</a:t>
              </a:r>
              <a:r>
                <a:rPr lang="es-GT" sz="1100" b="0" i="0">
                  <a:latin typeface="Cambria Math" panose="02040503050406030204" pitchFamily="18" charset="0"/>
                </a:rPr>
                <a:t>∗46447647)</a:t>
              </a:r>
              <a:endParaRPr lang="es-G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1A2B-1F17-4B31-8886-FFE196EDFF50}">
  <dimension ref="B1:AC33"/>
  <sheetViews>
    <sheetView view="pageLayout" topLeftCell="L10" zoomScale="70" zoomScaleNormal="85" zoomScalePageLayoutView="70" workbookViewId="0">
      <selection activeCell="W26" sqref="W26"/>
    </sheetView>
  </sheetViews>
  <sheetFormatPr baseColWidth="10" defaultRowHeight="14.5" x14ac:dyDescent="0.35"/>
  <cols>
    <col min="1" max="1" width="5.7265625" customWidth="1"/>
    <col min="2" max="2" width="9" customWidth="1"/>
    <col min="3" max="3" width="14.81640625" bestFit="1" customWidth="1"/>
    <col min="5" max="5" width="13.26953125" customWidth="1"/>
    <col min="6" max="6" width="15.26953125" bestFit="1" customWidth="1"/>
    <col min="7" max="7" width="8.7265625" customWidth="1"/>
    <col min="9" max="9" width="13.7265625" customWidth="1"/>
    <col min="15" max="15" width="8.7265625" customWidth="1"/>
    <col min="16" max="16" width="12.7265625" customWidth="1"/>
  </cols>
  <sheetData>
    <row r="1" spans="2:29" ht="39.75" customHeight="1" x14ac:dyDescent="0.35">
      <c r="D1" s="45" t="s">
        <v>95</v>
      </c>
      <c r="E1" s="45"/>
      <c r="F1" s="45"/>
      <c r="G1" s="45"/>
      <c r="H1" s="45"/>
      <c r="I1" s="17" t="s">
        <v>94</v>
      </c>
      <c r="J1" s="17"/>
    </row>
    <row r="2" spans="2:29" x14ac:dyDescent="0.35">
      <c r="D2" s="44" t="s">
        <v>0</v>
      </c>
      <c r="E2" s="44"/>
      <c r="F2" s="44"/>
      <c r="G2" s="44"/>
      <c r="M2" s="46" t="s">
        <v>44</v>
      </c>
      <c r="N2" s="46"/>
      <c r="O2" s="46"/>
      <c r="P2" s="46"/>
      <c r="Q2" s="46"/>
      <c r="Y2" s="47" t="s">
        <v>71</v>
      </c>
      <c r="Z2" s="48"/>
      <c r="AA2" s="48"/>
      <c r="AB2" s="48"/>
      <c r="AC2" s="48"/>
    </row>
    <row r="3" spans="2:29" x14ac:dyDescent="0.35">
      <c r="B3" s="30" t="s">
        <v>1</v>
      </c>
      <c r="C3" s="31"/>
      <c r="I3" s="19" t="s">
        <v>10</v>
      </c>
      <c r="J3" s="19" t="s">
        <v>11</v>
      </c>
      <c r="M3" s="44" t="s">
        <v>45</v>
      </c>
      <c r="N3" s="44"/>
      <c r="O3" s="44"/>
      <c r="P3" s="19">
        <f>(E28*J5*(((J5-J4)/2)-J9))</f>
        <v>1.652991666666668</v>
      </c>
      <c r="Q3" s="19"/>
      <c r="Y3" s="48"/>
      <c r="Z3" s="48"/>
      <c r="AA3" s="48"/>
      <c r="AB3" s="48"/>
      <c r="AC3" s="48"/>
    </row>
    <row r="4" spans="2:29" x14ac:dyDescent="0.35">
      <c r="B4" s="19" t="s">
        <v>2</v>
      </c>
      <c r="C4" s="20">
        <v>56</v>
      </c>
      <c r="E4" s="19" t="s">
        <v>6</v>
      </c>
      <c r="F4" s="21">
        <v>1.82</v>
      </c>
      <c r="H4" s="19" t="s">
        <v>9</v>
      </c>
      <c r="I4">
        <v>0.35</v>
      </c>
      <c r="J4">
        <v>0.6</v>
      </c>
      <c r="Z4" t="s">
        <v>74</v>
      </c>
      <c r="AA4">
        <f>(Q9*SQRT(Q6)*Q16*Q7)</f>
        <v>219072.16998985177</v>
      </c>
    </row>
    <row r="5" spans="2:29" x14ac:dyDescent="0.35">
      <c r="B5" s="19" t="s">
        <v>3</v>
      </c>
      <c r="C5" s="22">
        <v>0.7</v>
      </c>
      <c r="E5" s="19" t="s">
        <v>7</v>
      </c>
      <c r="F5">
        <v>2</v>
      </c>
      <c r="H5" s="19" t="s">
        <v>19</v>
      </c>
      <c r="I5" s="23">
        <v>1.5</v>
      </c>
      <c r="J5">
        <v>1.5</v>
      </c>
      <c r="M5" s="44" t="s">
        <v>48</v>
      </c>
      <c r="N5" s="44"/>
      <c r="O5" s="44"/>
      <c r="P5" s="44"/>
      <c r="Q5" s="44"/>
      <c r="S5" t="s">
        <v>57</v>
      </c>
      <c r="Y5" t="s">
        <v>66</v>
      </c>
      <c r="Z5" t="s">
        <v>75</v>
      </c>
      <c r="AA5">
        <f>(AA4/1000)</f>
        <v>219.07216998985177</v>
      </c>
    </row>
    <row r="6" spans="2:29" ht="14.5" customHeight="1" x14ac:dyDescent="0.35">
      <c r="B6" s="19" t="s">
        <v>4</v>
      </c>
      <c r="C6" s="22">
        <v>0.8</v>
      </c>
      <c r="E6" s="19" t="s">
        <v>24</v>
      </c>
      <c r="F6" s="23">
        <f>(F5-F8)</f>
        <v>1.5</v>
      </c>
      <c r="H6" s="19" t="s">
        <v>13</v>
      </c>
      <c r="I6" t="s">
        <v>15</v>
      </c>
      <c r="M6" s="47" t="s">
        <v>49</v>
      </c>
      <c r="N6" s="47"/>
      <c r="O6" s="47"/>
      <c r="P6" t="s">
        <v>50</v>
      </c>
      <c r="Q6">
        <v>281</v>
      </c>
      <c r="S6" s="24" t="str">
        <f>IF(Q12&gt;P3,"SI CUMPLE",)</f>
        <v>SI CUMPLE</v>
      </c>
    </row>
    <row r="7" spans="2:29" ht="14.5" customHeight="1" x14ac:dyDescent="0.35">
      <c r="B7" s="19" t="s">
        <v>5</v>
      </c>
      <c r="C7" s="25">
        <v>20</v>
      </c>
      <c r="E7" s="19" t="s">
        <v>8</v>
      </c>
      <c r="F7">
        <v>1.4</v>
      </c>
      <c r="H7" t="s">
        <v>14</v>
      </c>
      <c r="I7">
        <v>2.4</v>
      </c>
      <c r="M7" s="47"/>
      <c r="N7" s="47"/>
      <c r="O7" s="47"/>
      <c r="P7" t="s">
        <v>51</v>
      </c>
      <c r="Q7">
        <v>42.5</v>
      </c>
      <c r="Y7" s="46" t="s">
        <v>76</v>
      </c>
      <c r="Z7" s="49"/>
      <c r="AA7" s="49"/>
      <c r="AB7" s="49"/>
      <c r="AC7" s="49"/>
    </row>
    <row r="8" spans="2:29" x14ac:dyDescent="0.35">
      <c r="E8" s="19" t="s">
        <v>20</v>
      </c>
      <c r="F8" s="23">
        <v>0.5</v>
      </c>
      <c r="H8" t="s">
        <v>23</v>
      </c>
      <c r="P8" t="s">
        <v>35</v>
      </c>
      <c r="Q8">
        <v>425</v>
      </c>
      <c r="Y8" t="s">
        <v>77</v>
      </c>
      <c r="Z8">
        <f>((14.5*100*Q7)/F10)</f>
        <v>21.930604982206404</v>
      </c>
      <c r="AA8" t="s">
        <v>80</v>
      </c>
    </row>
    <row r="9" spans="2:29" x14ac:dyDescent="0.35">
      <c r="E9" s="19" t="s">
        <v>47</v>
      </c>
      <c r="F9" s="26">
        <v>7.4999999999999997E-2</v>
      </c>
      <c r="H9" s="44" t="s">
        <v>46</v>
      </c>
      <c r="I9" s="44"/>
      <c r="J9">
        <f>(F8-F9)</f>
        <v>0.42499999999999999</v>
      </c>
      <c r="P9" s="27" t="s">
        <v>52</v>
      </c>
      <c r="Q9">
        <v>0.75</v>
      </c>
      <c r="Y9" t="s">
        <v>79</v>
      </c>
      <c r="Z9">
        <f>((E28*((J5-J4)*(J5-J4)/4))/2)</f>
        <v>4.4630774999999998</v>
      </c>
    </row>
    <row r="10" spans="2:29" x14ac:dyDescent="0.35">
      <c r="E10" s="19" t="s">
        <v>78</v>
      </c>
      <c r="F10">
        <v>2810</v>
      </c>
      <c r="P10" s="27" t="s">
        <v>54</v>
      </c>
      <c r="Q10">
        <v>0.53</v>
      </c>
    </row>
    <row r="11" spans="2:29" x14ac:dyDescent="0.35">
      <c r="B11" s="19" t="s">
        <v>105</v>
      </c>
      <c r="C11" s="19"/>
      <c r="D11" s="3">
        <f>(C4/C7)</f>
        <v>2.8</v>
      </c>
      <c r="E11" s="44" t="s">
        <v>22</v>
      </c>
      <c r="F11" s="44"/>
      <c r="G11" s="44"/>
      <c r="N11" s="19"/>
      <c r="W11" s="50" t="s">
        <v>81</v>
      </c>
      <c r="X11" s="50"/>
      <c r="Y11" s="50"/>
      <c r="Z11" s="50"/>
      <c r="AA11" s="50"/>
      <c r="AB11" s="50"/>
      <c r="AC11" s="50"/>
    </row>
    <row r="12" spans="2:29" x14ac:dyDescent="0.35">
      <c r="B12" s="36" t="s">
        <v>21</v>
      </c>
      <c r="D12" s="11">
        <f>SQRT(D11)</f>
        <v>1.6733200530681511</v>
      </c>
      <c r="E12" s="51">
        <v>4.25</v>
      </c>
      <c r="F12" s="51"/>
      <c r="G12" s="51"/>
      <c r="N12" t="s">
        <v>53</v>
      </c>
      <c r="P12">
        <f>(Q9*Q10*SQRT(Q6)*Q7*Q8)</f>
        <v>120356.11290296125</v>
      </c>
      <c r="Q12">
        <f>(P12/1000)</f>
        <v>120.35611290296124</v>
      </c>
      <c r="W12" s="19" t="s">
        <v>82</v>
      </c>
      <c r="X12">
        <f>((F10)/1.7*Q6*100)</f>
        <v>46447647.058823533</v>
      </c>
    </row>
    <row r="13" spans="2:29" x14ac:dyDescent="0.35">
      <c r="W13" s="19" t="s">
        <v>83</v>
      </c>
      <c r="X13">
        <f>(Q7)</f>
        <v>42.5</v>
      </c>
    </row>
    <row r="14" spans="2:29" ht="18.5" x14ac:dyDescent="0.45">
      <c r="B14" s="46" t="s">
        <v>16</v>
      </c>
      <c r="C14" s="46"/>
      <c r="D14" s="46"/>
      <c r="F14" s="46" t="s">
        <v>26</v>
      </c>
      <c r="G14" s="46"/>
      <c r="H14" s="19"/>
      <c r="I14" s="46" t="s">
        <v>29</v>
      </c>
      <c r="J14" s="46"/>
      <c r="M14" s="52" t="s">
        <v>55</v>
      </c>
      <c r="N14" s="46"/>
      <c r="O14" s="46"/>
      <c r="P14" s="46"/>
      <c r="Q14" s="46"/>
      <c r="W14" s="19" t="s">
        <v>84</v>
      </c>
      <c r="X14">
        <f>(Z9*1000)/AC14*F10</f>
        <v>13934719.749999998</v>
      </c>
      <c r="AB14" t="s">
        <v>85</v>
      </c>
      <c r="AC14">
        <v>0.9</v>
      </c>
    </row>
    <row r="15" spans="2:29" x14ac:dyDescent="0.35">
      <c r="B15" s="19" t="s">
        <v>17</v>
      </c>
      <c r="C15" s="20">
        <f>(I5*J5*F8*I7)</f>
        <v>2.6999999999999997</v>
      </c>
      <c r="F15" s="19" t="s">
        <v>27</v>
      </c>
      <c r="G15">
        <f>(C5/C4)</f>
        <v>1.2499999999999999E-2</v>
      </c>
      <c r="H15" t="s">
        <v>93</v>
      </c>
      <c r="I15" s="19" t="s">
        <v>30</v>
      </c>
      <c r="J15">
        <f>(I5/6)</f>
        <v>0.25</v>
      </c>
      <c r="M15" s="19" t="s">
        <v>56</v>
      </c>
      <c r="N15">
        <v>60</v>
      </c>
      <c r="P15" s="19" t="s">
        <v>59</v>
      </c>
      <c r="Q15" t="s">
        <v>62</v>
      </c>
    </row>
    <row r="16" spans="2:29" x14ac:dyDescent="0.35">
      <c r="B16" s="19" t="s">
        <v>18</v>
      </c>
      <c r="C16" s="20">
        <f>(I5*J5*F6*F4)</f>
        <v>6.1425000000000001</v>
      </c>
      <c r="F16" s="19" t="s">
        <v>28</v>
      </c>
      <c r="G16">
        <f>(C6/C4)</f>
        <v>1.4285714285714287E-2</v>
      </c>
      <c r="H16" t="s">
        <v>93</v>
      </c>
      <c r="I16" s="19" t="s">
        <v>31</v>
      </c>
      <c r="J16">
        <f>(J5/6)</f>
        <v>0.25</v>
      </c>
      <c r="M16" s="19" t="s">
        <v>60</v>
      </c>
      <c r="N16">
        <f>(J9)*100</f>
        <v>42.5</v>
      </c>
      <c r="Q16">
        <f>(2*N15+2*N15)+4*N16</f>
        <v>410</v>
      </c>
    </row>
    <row r="17" spans="2:29" x14ac:dyDescent="0.35">
      <c r="B17" s="19" t="s">
        <v>2</v>
      </c>
      <c r="C17" s="20">
        <f>(C4)</f>
        <v>56</v>
      </c>
      <c r="M17" s="19" t="s">
        <v>58</v>
      </c>
      <c r="N17">
        <f>(J9/2)*100</f>
        <v>21.25</v>
      </c>
    </row>
    <row r="18" spans="2:29" x14ac:dyDescent="0.35">
      <c r="B18" s="19" t="s">
        <v>25</v>
      </c>
      <c r="C18" s="20">
        <f>SUM(C15:C17)</f>
        <v>64.842500000000001</v>
      </c>
      <c r="F18" s="46" t="s">
        <v>32</v>
      </c>
      <c r="G18" s="46"/>
      <c r="H18" s="46"/>
      <c r="I18" s="46"/>
    </row>
    <row r="19" spans="2:29" x14ac:dyDescent="0.35">
      <c r="F19" s="19" t="s">
        <v>33</v>
      </c>
      <c r="G19" s="50" t="str">
        <f>IF(G15&lt;J15,"&lt;",)</f>
        <v>&lt;</v>
      </c>
      <c r="H19" s="50"/>
      <c r="I19" t="str">
        <f>IF(G15&lt;J15,"si cumple",)</f>
        <v>si cumple</v>
      </c>
      <c r="M19" s="44"/>
      <c r="N19" s="44"/>
      <c r="O19" s="44"/>
      <c r="P19" s="44"/>
      <c r="Q19" s="44"/>
      <c r="R19" s="28" t="s">
        <v>65</v>
      </c>
      <c r="S19" s="19">
        <v>1</v>
      </c>
    </row>
    <row r="20" spans="2:29" x14ac:dyDescent="0.35">
      <c r="F20" s="19" t="s">
        <v>33</v>
      </c>
      <c r="G20" s="50">
        <f>IF(G16&gt;J16,"&gt;",)</f>
        <v>0</v>
      </c>
      <c r="H20" s="50"/>
      <c r="I20">
        <f>IF(G16&gt;J16,"no cumple",)</f>
        <v>0</v>
      </c>
      <c r="N20" s="19" t="s">
        <v>61</v>
      </c>
      <c r="O20">
        <f>(E28*(I5*J5-((N15/100)+N16/100)*((N15/100)+N16/100)))</f>
        <v>52.868183472222221</v>
      </c>
    </row>
    <row r="22" spans="2:29" ht="14.5" customHeight="1" x14ac:dyDescent="0.35">
      <c r="B22" s="46" t="s">
        <v>34</v>
      </c>
      <c r="C22" s="46"/>
      <c r="D22" s="46"/>
      <c r="E22" s="46"/>
      <c r="F22" s="46"/>
      <c r="M22" s="47" t="s">
        <v>63</v>
      </c>
      <c r="N22" s="47"/>
      <c r="O22" s="47"/>
      <c r="P22" s="47"/>
      <c r="Q22" s="47"/>
      <c r="AA22" s="27" t="s">
        <v>89</v>
      </c>
      <c r="AB22">
        <v>2.87</v>
      </c>
      <c r="AC22" t="s">
        <v>80</v>
      </c>
    </row>
    <row r="23" spans="2:29" ht="14.5" customHeight="1" x14ac:dyDescent="0.35">
      <c r="H23">
        <f>IF(G24&lt;C7,"SI CUMPLE",)</f>
        <v>0</v>
      </c>
      <c r="I23" s="50" t="s">
        <v>39</v>
      </c>
      <c r="J23" s="50"/>
      <c r="M23" s="47"/>
      <c r="N23" s="47"/>
      <c r="O23" s="47"/>
      <c r="P23" s="47"/>
      <c r="Q23" s="47"/>
      <c r="W23" t="s">
        <v>86</v>
      </c>
      <c r="X23">
        <v>17.260000000000002</v>
      </c>
      <c r="Y23" t="s">
        <v>80</v>
      </c>
    </row>
    <row r="24" spans="2:29" x14ac:dyDescent="0.35">
      <c r="B24" s="19" t="s">
        <v>36</v>
      </c>
      <c r="C24">
        <f>(C18/(I5*J5))</f>
        <v>28.818888888888889</v>
      </c>
      <c r="D24">
        <f>(C5/((I5*J5*J5)/6))</f>
        <v>1.2444444444444445</v>
      </c>
      <c r="E24">
        <f>(C6/((J5*I5*I5)/6))</f>
        <v>1.4222222222222223</v>
      </c>
      <c r="F24" t="s">
        <v>38</v>
      </c>
      <c r="G24">
        <f>SUM(C24:E24)</f>
        <v>31.485555555555553</v>
      </c>
      <c r="H24" t="str">
        <f>IF(G25&gt;0,"SI CUMPLE",)</f>
        <v>SI CUMPLE</v>
      </c>
      <c r="I24" s="44" t="s">
        <v>40</v>
      </c>
      <c r="J24" s="44"/>
      <c r="N24" t="s">
        <v>64</v>
      </c>
      <c r="O24">
        <f>(Q9*(2+4/S19)*0.53*(SQRT(Q6))*Q16*Q7)</f>
        <v>696649.50056772877</v>
      </c>
      <c r="W24" t="s">
        <v>87</v>
      </c>
      <c r="X24" s="29" t="s">
        <v>88</v>
      </c>
      <c r="Y24" t="s">
        <v>80</v>
      </c>
    </row>
    <row r="25" spans="2:29" x14ac:dyDescent="0.35">
      <c r="B25" s="19" t="s">
        <v>37</v>
      </c>
      <c r="C25">
        <f>(C18/(I5*J5))</f>
        <v>28.818888888888889</v>
      </c>
      <c r="D25">
        <f>(C5/((I5*J5*J5)/6))</f>
        <v>1.2444444444444445</v>
      </c>
      <c r="E25">
        <f>(C6/((J5*I5*I5)/6))</f>
        <v>1.4222222222222223</v>
      </c>
      <c r="F25" t="s">
        <v>38</v>
      </c>
      <c r="G25">
        <f>SUM(C25-D25-E25)</f>
        <v>26.152222222222225</v>
      </c>
      <c r="M25" t="s">
        <v>66</v>
      </c>
      <c r="N25" t="s">
        <v>67</v>
      </c>
      <c r="O25">
        <f>(O24/1000)</f>
        <v>696.64950056772875</v>
      </c>
    </row>
    <row r="26" spans="2:29" x14ac:dyDescent="0.35">
      <c r="W26" s="19">
        <f>(Z8/AB22)</f>
        <v>7.6413257777722663</v>
      </c>
      <c r="X26" t="s">
        <v>90</v>
      </c>
      <c r="Y26" s="19">
        <f>ROUND(W26,0)</f>
        <v>8</v>
      </c>
    </row>
    <row r="27" spans="2:29" x14ac:dyDescent="0.35">
      <c r="D27" s="46" t="s">
        <v>41</v>
      </c>
      <c r="E27" s="46"/>
      <c r="F27" s="46"/>
    </row>
    <row r="28" spans="2:29" x14ac:dyDescent="0.35">
      <c r="C28" t="s">
        <v>42</v>
      </c>
      <c r="D28" t="s">
        <v>43</v>
      </c>
      <c r="E28">
        <f>(F7*G24)</f>
        <v>44.079777777777771</v>
      </c>
      <c r="M28" t="s">
        <v>68</v>
      </c>
      <c r="N28">
        <v>40</v>
      </c>
      <c r="P28" t="s">
        <v>69</v>
      </c>
      <c r="Q28">
        <v>410</v>
      </c>
      <c r="W28" t="s">
        <v>91</v>
      </c>
      <c r="X28">
        <f>(100/Y26)</f>
        <v>12.5</v>
      </c>
      <c r="Y28">
        <f>ROUND(X28,0)</f>
        <v>13</v>
      </c>
    </row>
    <row r="30" spans="2:29" x14ac:dyDescent="0.35">
      <c r="M30" s="48" t="s">
        <v>70</v>
      </c>
      <c r="N30" s="48"/>
      <c r="O30" s="48"/>
      <c r="P30" s="48"/>
      <c r="Q30" s="48"/>
      <c r="W30" s="53" t="s">
        <v>92</v>
      </c>
      <c r="X30" s="53"/>
      <c r="Y30" s="53"/>
      <c r="Z30" s="53"/>
      <c r="AA30" s="53"/>
      <c r="AB30" s="53"/>
      <c r="AC30" s="53"/>
    </row>
    <row r="31" spans="2:29" x14ac:dyDescent="0.35">
      <c r="M31" s="48"/>
      <c r="N31" s="48"/>
      <c r="O31" s="48"/>
      <c r="P31" s="48"/>
      <c r="Q31" s="48"/>
      <c r="W31" s="53"/>
      <c r="X31" s="53"/>
      <c r="Y31" s="53"/>
      <c r="Z31" s="53"/>
      <c r="AA31" s="53"/>
      <c r="AB31" s="53"/>
      <c r="AC31" s="53"/>
    </row>
    <row r="32" spans="2:29" x14ac:dyDescent="0.35">
      <c r="N32" t="s">
        <v>72</v>
      </c>
      <c r="O32">
        <f>(Q9*0.27*((N28/Q28)+2)*SQRT(Q6)*Q16*N16)</f>
        <v>124069.65334547215</v>
      </c>
    </row>
    <row r="33" spans="13:15" x14ac:dyDescent="0.35">
      <c r="M33" t="s">
        <v>66</v>
      </c>
      <c r="N33" t="s">
        <v>73</v>
      </c>
      <c r="O33">
        <f>(O32/1000)</f>
        <v>124.06965334547215</v>
      </c>
    </row>
  </sheetData>
  <mergeCells count="27">
    <mergeCell ref="D27:F27"/>
    <mergeCell ref="M30:Q31"/>
    <mergeCell ref="W30:AC31"/>
    <mergeCell ref="G19:H19"/>
    <mergeCell ref="M19:Q19"/>
    <mergeCell ref="G20:H20"/>
    <mergeCell ref="B22:F22"/>
    <mergeCell ref="M22:Q23"/>
    <mergeCell ref="I23:J23"/>
    <mergeCell ref="B14:D14"/>
    <mergeCell ref="F14:G14"/>
    <mergeCell ref="I14:J14"/>
    <mergeCell ref="M14:Q14"/>
    <mergeCell ref="I24:J24"/>
    <mergeCell ref="F18:I18"/>
    <mergeCell ref="M6:O7"/>
    <mergeCell ref="Y7:AC7"/>
    <mergeCell ref="H9:I9"/>
    <mergeCell ref="E11:G11"/>
    <mergeCell ref="W11:AC11"/>
    <mergeCell ref="E12:G12"/>
    <mergeCell ref="M5:Q5"/>
    <mergeCell ref="D1:H1"/>
    <mergeCell ref="D2:G2"/>
    <mergeCell ref="M2:Q2"/>
    <mergeCell ref="Y2:AC3"/>
    <mergeCell ref="M3:O3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BDC41-701A-4D9B-8C3F-918749A71B44}">
  <dimension ref="B3:G28"/>
  <sheetViews>
    <sheetView showGridLines="0" tabSelected="1" view="pageLayout" topLeftCell="A13" zoomScale="85" zoomScaleNormal="100" zoomScalePageLayoutView="85" workbookViewId="0">
      <selection activeCell="L24" sqref="L24"/>
    </sheetView>
  </sheetViews>
  <sheetFormatPr baseColWidth="10" defaultRowHeight="14.5" x14ac:dyDescent="0.35"/>
  <cols>
    <col min="3" max="3" width="12.36328125" customWidth="1"/>
  </cols>
  <sheetData>
    <row r="3" spans="2:6" ht="15.5" x14ac:dyDescent="0.35">
      <c r="B3" s="40" t="s">
        <v>74</v>
      </c>
      <c r="C3">
        <v>219072.16998985177</v>
      </c>
      <c r="F3" t="s">
        <v>71</v>
      </c>
    </row>
    <row r="4" spans="2:6" ht="15.5" x14ac:dyDescent="0.35">
      <c r="B4" s="40" t="s">
        <v>75</v>
      </c>
      <c r="C4">
        <v>219.07216998985177</v>
      </c>
      <c r="D4" t="s">
        <v>121</v>
      </c>
    </row>
    <row r="6" spans="2:6" ht="15.5" x14ac:dyDescent="0.35">
      <c r="B6" s="40" t="s">
        <v>76</v>
      </c>
      <c r="C6" s="40"/>
    </row>
    <row r="7" spans="2:6" x14ac:dyDescent="0.35">
      <c r="B7" s="19" t="s">
        <v>77</v>
      </c>
      <c r="C7">
        <v>21.930604982206404</v>
      </c>
      <c r="D7" t="s">
        <v>80</v>
      </c>
    </row>
    <row r="8" spans="2:6" x14ac:dyDescent="0.35">
      <c r="B8" s="19" t="s">
        <v>79</v>
      </c>
      <c r="C8">
        <v>4.4630774999999998</v>
      </c>
    </row>
    <row r="10" spans="2:6" ht="15.5" x14ac:dyDescent="0.35">
      <c r="B10" s="40" t="s">
        <v>81</v>
      </c>
      <c r="C10" s="40"/>
      <c r="E10" s="40" t="s">
        <v>122</v>
      </c>
      <c r="F10">
        <v>0.9</v>
      </c>
    </row>
    <row r="11" spans="2:6" x14ac:dyDescent="0.35">
      <c r="B11" t="s">
        <v>82</v>
      </c>
      <c r="C11">
        <v>46447647.058823533</v>
      </c>
    </row>
    <row r="12" spans="2:6" x14ac:dyDescent="0.35">
      <c r="B12" t="s">
        <v>83</v>
      </c>
      <c r="C12">
        <v>42.5</v>
      </c>
    </row>
    <row r="13" spans="2:6" x14ac:dyDescent="0.35">
      <c r="B13" t="s">
        <v>84</v>
      </c>
      <c r="C13">
        <v>13934719.749999998</v>
      </c>
    </row>
    <row r="19" spans="2:7" ht="15.5" x14ac:dyDescent="0.35">
      <c r="B19" s="40" t="s">
        <v>86</v>
      </c>
      <c r="C19">
        <v>17.260000000000002</v>
      </c>
      <c r="D19" t="s">
        <v>80</v>
      </c>
      <c r="E19" s="19" t="s">
        <v>89</v>
      </c>
      <c r="F19">
        <v>2.77</v>
      </c>
      <c r="G19" t="s">
        <v>80</v>
      </c>
    </row>
    <row r="20" spans="2:7" ht="15.5" x14ac:dyDescent="0.35">
      <c r="B20" s="40" t="s">
        <v>87</v>
      </c>
      <c r="C20" s="29" t="s">
        <v>88</v>
      </c>
      <c r="D20" t="s">
        <v>80</v>
      </c>
    </row>
    <row r="23" spans="2:7" x14ac:dyDescent="0.35">
      <c r="B23">
        <v>6.7</v>
      </c>
      <c r="C23" t="s">
        <v>123</v>
      </c>
      <c r="D23">
        <v>7</v>
      </c>
    </row>
    <row r="25" spans="2:7" x14ac:dyDescent="0.35">
      <c r="B25" t="s">
        <v>91</v>
      </c>
      <c r="C25">
        <v>11.5</v>
      </c>
      <c r="D25">
        <v>12</v>
      </c>
    </row>
    <row r="28" spans="2:7" ht="21" x14ac:dyDescent="0.5">
      <c r="B28" s="41" t="s">
        <v>125</v>
      </c>
      <c r="C28" s="42"/>
      <c r="D28" s="42"/>
      <c r="E28" s="42"/>
      <c r="F28" s="4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479A-D6C0-4474-9323-46CF42283A10}">
  <dimension ref="B1:F33"/>
  <sheetViews>
    <sheetView showGridLines="0" view="pageLayout" topLeftCell="A13" zoomScale="70" zoomScaleNormal="100" zoomScalePageLayoutView="70" workbookViewId="0">
      <selection activeCell="B1" sqref="B1:G34"/>
    </sheetView>
  </sheetViews>
  <sheetFormatPr baseColWidth="10" defaultRowHeight="14.5" x14ac:dyDescent="0.35"/>
  <cols>
    <col min="5" max="5" width="12.54296875" customWidth="1"/>
    <col min="6" max="6" width="12.7265625" customWidth="1"/>
  </cols>
  <sheetData>
    <row r="1" spans="2:6" ht="15.5" x14ac:dyDescent="0.35">
      <c r="B1" s="40"/>
      <c r="C1" s="40" t="s">
        <v>119</v>
      </c>
      <c r="D1" s="40"/>
      <c r="E1" s="40"/>
    </row>
    <row r="2" spans="2:6" x14ac:dyDescent="0.35">
      <c r="B2" s="19" t="s">
        <v>45</v>
      </c>
      <c r="E2">
        <v>1.652991666666668</v>
      </c>
    </row>
    <row r="4" spans="2:6" ht="15.5" x14ac:dyDescent="0.35">
      <c r="B4" s="40" t="s">
        <v>120</v>
      </c>
      <c r="C4" s="31"/>
      <c r="E4" s="40" t="s">
        <v>57</v>
      </c>
    </row>
    <row r="5" spans="2:6" x14ac:dyDescent="0.35">
      <c r="B5" s="19" t="s">
        <v>50</v>
      </c>
      <c r="C5">
        <v>281</v>
      </c>
      <c r="E5" t="s">
        <v>115</v>
      </c>
    </row>
    <row r="6" spans="2:6" x14ac:dyDescent="0.35">
      <c r="B6" s="19" t="s">
        <v>51</v>
      </c>
      <c r="C6">
        <v>42.5</v>
      </c>
    </row>
    <row r="7" spans="2:6" x14ac:dyDescent="0.35">
      <c r="B7" s="19" t="s">
        <v>35</v>
      </c>
      <c r="C7">
        <v>425</v>
      </c>
    </row>
    <row r="8" spans="2:6" x14ac:dyDescent="0.35">
      <c r="B8" s="19" t="s">
        <v>52</v>
      </c>
      <c r="C8">
        <v>0.75</v>
      </c>
      <c r="E8" t="s">
        <v>116</v>
      </c>
    </row>
    <row r="9" spans="2:6" x14ac:dyDescent="0.35">
      <c r="B9" s="19" t="s">
        <v>54</v>
      </c>
      <c r="C9">
        <v>0.53</v>
      </c>
    </row>
    <row r="11" spans="2:6" x14ac:dyDescent="0.35">
      <c r="B11" s="31" t="s">
        <v>53</v>
      </c>
      <c r="C11">
        <v>120356.11290296125</v>
      </c>
      <c r="D11">
        <v>120.35611290296124</v>
      </c>
    </row>
    <row r="13" spans="2:6" ht="15.5" x14ac:dyDescent="0.35">
      <c r="B13" s="40" t="s">
        <v>55</v>
      </c>
      <c r="C13" s="40"/>
      <c r="E13" s="40" t="s">
        <v>59</v>
      </c>
      <c r="F13" t="s">
        <v>62</v>
      </c>
    </row>
    <row r="14" spans="2:6" x14ac:dyDescent="0.35">
      <c r="B14" s="19" t="s">
        <v>56</v>
      </c>
      <c r="C14">
        <v>60</v>
      </c>
      <c r="F14">
        <v>410</v>
      </c>
    </row>
    <row r="15" spans="2:6" x14ac:dyDescent="0.35">
      <c r="B15" s="19" t="s">
        <v>60</v>
      </c>
      <c r="C15">
        <v>42.5</v>
      </c>
    </row>
    <row r="16" spans="2:6" x14ac:dyDescent="0.35">
      <c r="B16" s="19" t="s">
        <v>58</v>
      </c>
      <c r="C16">
        <v>21.25</v>
      </c>
    </row>
    <row r="18" spans="2:6" ht="15.5" x14ac:dyDescent="0.35">
      <c r="E18" s="40" t="s">
        <v>117</v>
      </c>
      <c r="F18">
        <v>1</v>
      </c>
    </row>
    <row r="19" spans="2:6" x14ac:dyDescent="0.35">
      <c r="B19" s="30" t="s">
        <v>61</v>
      </c>
      <c r="C19">
        <v>52.868183472222221</v>
      </c>
    </row>
    <row r="22" spans="2:6" ht="15.5" x14ac:dyDescent="0.35">
      <c r="B22" s="40" t="s">
        <v>64</v>
      </c>
      <c r="C22">
        <v>696649.50056772877</v>
      </c>
      <c r="E22" t="s">
        <v>118</v>
      </c>
    </row>
    <row r="23" spans="2:6" ht="15.5" x14ac:dyDescent="0.35">
      <c r="B23" s="40" t="s">
        <v>67</v>
      </c>
      <c r="C23">
        <v>696.64950056772875</v>
      </c>
    </row>
    <row r="27" spans="2:6" ht="15.5" x14ac:dyDescent="0.35">
      <c r="B27" s="40" t="s">
        <v>68</v>
      </c>
      <c r="C27">
        <v>40</v>
      </c>
    </row>
    <row r="28" spans="2:6" ht="15.5" x14ac:dyDescent="0.35">
      <c r="B28" s="40" t="s">
        <v>69</v>
      </c>
      <c r="C28">
        <v>410</v>
      </c>
    </row>
    <row r="32" spans="2:6" ht="15.5" x14ac:dyDescent="0.35">
      <c r="B32" s="40" t="s">
        <v>72</v>
      </c>
      <c r="C32">
        <v>124069.65334547215</v>
      </c>
      <c r="E32" t="s">
        <v>70</v>
      </c>
    </row>
    <row r="33" spans="2:4" ht="15.5" x14ac:dyDescent="0.35">
      <c r="B33" s="40" t="s">
        <v>73</v>
      </c>
      <c r="C33">
        <v>124.06965334547215</v>
      </c>
      <c r="D33" t="s">
        <v>121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2C52-FDF6-4421-BF05-6D2B2159B263}">
  <dimension ref="A2:O42"/>
  <sheetViews>
    <sheetView showGridLines="0" view="pageLayout" topLeftCell="B36" zoomScale="70" zoomScaleNormal="100" zoomScalePageLayoutView="70" workbookViewId="0">
      <selection activeCell="H6" sqref="H6"/>
    </sheetView>
  </sheetViews>
  <sheetFormatPr baseColWidth="10" defaultRowHeight="14.5" x14ac:dyDescent="0.35"/>
  <cols>
    <col min="1" max="1" width="12.54296875" customWidth="1"/>
    <col min="2" max="2" width="13.6328125" customWidth="1"/>
    <col min="3" max="3" width="7.90625" customWidth="1"/>
    <col min="5" max="5" width="10.1796875" customWidth="1"/>
    <col min="7" max="7" width="9.1796875" customWidth="1"/>
    <col min="8" max="8" width="18.08984375" customWidth="1"/>
  </cols>
  <sheetData>
    <row r="2" spans="1:15" x14ac:dyDescent="0.35">
      <c r="K2" s="44"/>
      <c r="L2" s="44"/>
      <c r="M2" s="44"/>
      <c r="N2" s="44"/>
      <c r="O2" s="44"/>
    </row>
    <row r="3" spans="1:15" x14ac:dyDescent="0.35">
      <c r="A3" s="30" t="s">
        <v>1</v>
      </c>
      <c r="B3" s="31"/>
      <c r="D3" s="30" t="s">
        <v>104</v>
      </c>
      <c r="E3" s="34" t="s">
        <v>102</v>
      </c>
      <c r="F3" s="34" t="s">
        <v>103</v>
      </c>
      <c r="K3" s="44"/>
      <c r="L3" s="44"/>
      <c r="M3" s="44"/>
      <c r="N3" s="19"/>
      <c r="O3" s="19"/>
    </row>
    <row r="4" spans="1:15" x14ac:dyDescent="0.35">
      <c r="A4" s="19" t="s">
        <v>2</v>
      </c>
      <c r="B4" s="20">
        <v>56</v>
      </c>
      <c r="D4" s="35" t="s">
        <v>97</v>
      </c>
      <c r="E4" s="18">
        <v>0.35</v>
      </c>
      <c r="F4" s="18">
        <v>0.6</v>
      </c>
    </row>
    <row r="5" spans="1:15" x14ac:dyDescent="0.35">
      <c r="A5" s="19" t="s">
        <v>3</v>
      </c>
      <c r="B5" s="22">
        <v>0.7</v>
      </c>
      <c r="D5" s="35" t="s">
        <v>98</v>
      </c>
      <c r="E5" s="32">
        <v>1.5</v>
      </c>
      <c r="F5" s="18">
        <v>1.5</v>
      </c>
      <c r="K5" s="44"/>
      <c r="L5" s="44"/>
      <c r="M5" s="44"/>
      <c r="N5" s="44"/>
      <c r="O5" s="44"/>
    </row>
    <row r="6" spans="1:15" ht="14.5" customHeight="1" x14ac:dyDescent="0.35">
      <c r="A6" s="19" t="s">
        <v>4</v>
      </c>
      <c r="B6" s="22">
        <v>0.8</v>
      </c>
      <c r="D6" s="35" t="s">
        <v>99</v>
      </c>
      <c r="E6" s="18" t="s">
        <v>15</v>
      </c>
      <c r="F6" s="18"/>
      <c r="K6" s="47"/>
      <c r="L6" s="47"/>
      <c r="M6" s="47"/>
    </row>
    <row r="7" spans="1:15" ht="14.5" customHeight="1" x14ac:dyDescent="0.35">
      <c r="A7" s="19" t="s">
        <v>5</v>
      </c>
      <c r="B7" s="25">
        <v>20</v>
      </c>
      <c r="D7" s="35" t="s">
        <v>100</v>
      </c>
      <c r="E7" s="18">
        <v>2.4</v>
      </c>
      <c r="F7" s="18"/>
      <c r="K7" s="47"/>
      <c r="L7" s="47"/>
      <c r="M7" s="47"/>
    </row>
    <row r="8" spans="1:15" x14ac:dyDescent="0.35">
      <c r="A8" s="19" t="s">
        <v>6</v>
      </c>
      <c r="B8" s="21">
        <v>1.82</v>
      </c>
      <c r="D8" s="35" t="s">
        <v>101</v>
      </c>
      <c r="E8" s="33" t="s">
        <v>96</v>
      </c>
      <c r="F8" s="18"/>
    </row>
    <row r="9" spans="1:15" x14ac:dyDescent="0.35">
      <c r="A9" s="19" t="s">
        <v>7</v>
      </c>
      <c r="B9">
        <v>2</v>
      </c>
      <c r="N9" s="27"/>
    </row>
    <row r="10" spans="1:15" x14ac:dyDescent="0.35">
      <c r="A10" s="19" t="s">
        <v>24</v>
      </c>
      <c r="B10" s="23">
        <f>(B9-B12)</f>
        <v>1.5</v>
      </c>
      <c r="N10" s="27"/>
    </row>
    <row r="11" spans="1:15" x14ac:dyDescent="0.35">
      <c r="A11" s="19" t="s">
        <v>8</v>
      </c>
      <c r="B11">
        <v>1.4</v>
      </c>
      <c r="L11" s="19"/>
    </row>
    <row r="12" spans="1:15" x14ac:dyDescent="0.35">
      <c r="A12" s="19" t="s">
        <v>20</v>
      </c>
      <c r="B12" s="23">
        <v>0.5</v>
      </c>
    </row>
    <row r="13" spans="1:15" x14ac:dyDescent="0.35">
      <c r="A13" s="19" t="s">
        <v>47</v>
      </c>
      <c r="B13" s="26">
        <v>7.4999999999999997E-2</v>
      </c>
    </row>
    <row r="14" spans="1:15" ht="18.5" x14ac:dyDescent="0.45">
      <c r="A14" s="19" t="s">
        <v>78</v>
      </c>
      <c r="B14">
        <v>2810</v>
      </c>
      <c r="K14" s="55"/>
      <c r="L14" s="55"/>
      <c r="M14" s="55"/>
      <c r="N14" s="55"/>
      <c r="O14" s="55"/>
    </row>
    <row r="15" spans="1:15" x14ac:dyDescent="0.35">
      <c r="K15" s="19"/>
      <c r="N15" s="19"/>
    </row>
    <row r="16" spans="1:15" x14ac:dyDescent="0.35">
      <c r="K16" s="19"/>
    </row>
    <row r="17" spans="1:15" x14ac:dyDescent="0.35">
      <c r="A17" s="30" t="s">
        <v>108</v>
      </c>
      <c r="B17" s="30"/>
      <c r="C17" s="37">
        <v>2.8</v>
      </c>
      <c r="E17" s="30" t="s">
        <v>109</v>
      </c>
      <c r="F17" s="31"/>
      <c r="G17" s="31"/>
      <c r="H17">
        <v>4.25</v>
      </c>
    </row>
    <row r="18" spans="1:15" x14ac:dyDescent="0.35">
      <c r="A18" s="43" t="s">
        <v>107</v>
      </c>
      <c r="B18" s="31"/>
      <c r="C18" s="38">
        <v>1.6733200530681511</v>
      </c>
      <c r="E18" s="30" t="s">
        <v>106</v>
      </c>
      <c r="F18" s="31"/>
      <c r="G18" s="31"/>
      <c r="H18">
        <v>0.42499999999999999</v>
      </c>
    </row>
    <row r="19" spans="1:15" x14ac:dyDescent="0.35">
      <c r="K19" s="54"/>
      <c r="L19" s="54"/>
      <c r="M19" s="54"/>
      <c r="N19" s="54"/>
      <c r="O19" s="54"/>
    </row>
    <row r="21" spans="1:15" ht="15.5" x14ac:dyDescent="0.35">
      <c r="A21" s="40" t="s">
        <v>114</v>
      </c>
      <c r="B21" s="40"/>
    </row>
    <row r="22" spans="1:15" ht="14.5" customHeight="1" x14ac:dyDescent="0.35">
      <c r="A22" s="19" t="s">
        <v>17</v>
      </c>
      <c r="B22">
        <v>2.6999999999999997</v>
      </c>
      <c r="K22" s="54"/>
      <c r="L22" s="54"/>
      <c r="M22" s="54"/>
      <c r="N22" s="54"/>
      <c r="O22" s="54"/>
    </row>
    <row r="23" spans="1:15" ht="14.5" customHeight="1" x14ac:dyDescent="0.35">
      <c r="A23" s="19" t="s">
        <v>18</v>
      </c>
      <c r="B23">
        <v>6.1425000000000001</v>
      </c>
      <c r="K23" s="54"/>
      <c r="L23" s="54"/>
      <c r="M23" s="54"/>
      <c r="N23" s="54"/>
      <c r="O23" s="54"/>
    </row>
    <row r="24" spans="1:15" x14ac:dyDescent="0.35">
      <c r="A24" s="19" t="s">
        <v>2</v>
      </c>
      <c r="B24">
        <v>56</v>
      </c>
    </row>
    <row r="25" spans="1:15" x14ac:dyDescent="0.35">
      <c r="A25" s="19" t="s">
        <v>124</v>
      </c>
      <c r="B25">
        <v>64.842500000000001</v>
      </c>
    </row>
    <row r="27" spans="1:15" ht="15.5" x14ac:dyDescent="0.35">
      <c r="A27" s="40" t="s">
        <v>26</v>
      </c>
      <c r="B27" s="40"/>
      <c r="E27" s="40" t="s">
        <v>112</v>
      </c>
      <c r="F27" s="40"/>
    </row>
    <row r="28" spans="1:15" x14ac:dyDescent="0.35">
      <c r="A28" s="19" t="s">
        <v>27</v>
      </c>
      <c r="B28">
        <v>1.2499999999999999E-2</v>
      </c>
      <c r="C28" t="s">
        <v>93</v>
      </c>
      <c r="E28" s="19" t="s">
        <v>30</v>
      </c>
      <c r="F28">
        <v>0.25</v>
      </c>
    </row>
    <row r="29" spans="1:15" x14ac:dyDescent="0.35">
      <c r="A29" s="19" t="s">
        <v>28</v>
      </c>
      <c r="B29">
        <v>1.3571428571428571E-2</v>
      </c>
      <c r="C29" t="s">
        <v>93</v>
      </c>
      <c r="E29" s="19" t="s">
        <v>31</v>
      </c>
      <c r="F29">
        <v>0.25</v>
      </c>
    </row>
    <row r="30" spans="1:15" ht="14.5" customHeight="1" x14ac:dyDescent="0.35">
      <c r="K30" s="54"/>
      <c r="L30" s="54"/>
      <c r="M30" s="54"/>
      <c r="N30" s="54"/>
      <c r="O30" s="54"/>
    </row>
    <row r="31" spans="1:15" ht="14.5" customHeight="1" x14ac:dyDescent="0.35">
      <c r="A31" s="40"/>
      <c r="B31" s="40" t="s">
        <v>113</v>
      </c>
      <c r="C31" s="40"/>
      <c r="D31" s="40"/>
      <c r="K31" s="54"/>
      <c r="L31" s="54"/>
      <c r="M31" s="54"/>
      <c r="N31" s="54"/>
      <c r="O31" s="54"/>
    </row>
    <row r="32" spans="1:15" x14ac:dyDescent="0.35">
      <c r="A32" s="19" t="s">
        <v>33</v>
      </c>
      <c r="B32" s="18" t="s">
        <v>110</v>
      </c>
      <c r="D32" t="s">
        <v>111</v>
      </c>
    </row>
    <row r="33" spans="1:8" x14ac:dyDescent="0.35">
      <c r="A33" s="19" t="s">
        <v>33</v>
      </c>
      <c r="B33" s="18">
        <v>0</v>
      </c>
      <c r="D33">
        <v>0</v>
      </c>
    </row>
    <row r="35" spans="1:8" ht="14" customHeight="1" x14ac:dyDescent="0.35">
      <c r="A35" s="40"/>
      <c r="B35" s="40"/>
      <c r="C35" s="40" t="s">
        <v>34</v>
      </c>
      <c r="D35" s="40"/>
      <c r="E35" s="40"/>
      <c r="F35" s="40"/>
      <c r="G35" s="40"/>
      <c r="H35" s="40"/>
    </row>
    <row r="36" spans="1:8" ht="14" customHeight="1" x14ac:dyDescent="0.35">
      <c r="G36">
        <v>0</v>
      </c>
      <c r="H36" s="39" t="s">
        <v>39</v>
      </c>
    </row>
    <row r="37" spans="1:8" ht="14" customHeight="1" x14ac:dyDescent="0.35">
      <c r="A37" s="19" t="s">
        <v>36</v>
      </c>
      <c r="B37">
        <v>28.818888888888889</v>
      </c>
      <c r="C37">
        <v>1.2444444444444445</v>
      </c>
      <c r="D37">
        <v>1.3511111111111112</v>
      </c>
      <c r="E37" t="s">
        <v>38</v>
      </c>
      <c r="F37">
        <v>31.414444444444445</v>
      </c>
      <c r="G37" t="s">
        <v>115</v>
      </c>
      <c r="H37" t="s">
        <v>40</v>
      </c>
    </row>
    <row r="38" spans="1:8" x14ac:dyDescent="0.35">
      <c r="A38" s="19" t="s">
        <v>37</v>
      </c>
      <c r="B38">
        <v>28.818888888888889</v>
      </c>
      <c r="C38">
        <v>1.2444444444444445</v>
      </c>
      <c r="D38">
        <v>1.3511111111111112</v>
      </c>
      <c r="E38" t="s">
        <v>38</v>
      </c>
      <c r="F38">
        <v>26.223333333333333</v>
      </c>
    </row>
    <row r="41" spans="1:8" ht="15.5" x14ac:dyDescent="0.35">
      <c r="A41" s="40" t="s">
        <v>41</v>
      </c>
      <c r="B41" s="40"/>
      <c r="C41" s="40"/>
    </row>
    <row r="42" spans="1:8" x14ac:dyDescent="0.35">
      <c r="A42" s="19" t="s">
        <v>42</v>
      </c>
      <c r="B42" t="s">
        <v>43</v>
      </c>
      <c r="C42">
        <v>44.047969999999999</v>
      </c>
    </row>
  </sheetData>
  <mergeCells count="8">
    <mergeCell ref="K22:O23"/>
    <mergeCell ref="K30:O31"/>
    <mergeCell ref="K2:O2"/>
    <mergeCell ref="K3:M3"/>
    <mergeCell ref="K5:O5"/>
    <mergeCell ref="K6:M7"/>
    <mergeCell ref="K14:O14"/>
    <mergeCell ref="K19:O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33"/>
  <sheetViews>
    <sheetView view="pageLayout" zoomScale="70" zoomScaleNormal="85" zoomScalePageLayoutView="70" workbookViewId="0">
      <selection activeCell="B23" sqref="B23"/>
    </sheetView>
  </sheetViews>
  <sheetFormatPr baseColWidth="10" defaultRowHeight="14.5" x14ac:dyDescent="0.35"/>
  <cols>
    <col min="1" max="1" width="5.7265625" customWidth="1"/>
    <col min="2" max="2" width="9" customWidth="1"/>
    <col min="3" max="3" width="14.81640625" bestFit="1" customWidth="1"/>
    <col min="5" max="5" width="13.26953125" customWidth="1"/>
    <col min="6" max="6" width="15.26953125" bestFit="1" customWidth="1"/>
    <col min="7" max="7" width="8.7265625" customWidth="1"/>
    <col min="9" max="9" width="13.7265625" customWidth="1"/>
    <col min="15" max="15" width="8.7265625" customWidth="1"/>
    <col min="16" max="16" width="12.7265625" customWidth="1"/>
  </cols>
  <sheetData>
    <row r="1" spans="2:29" ht="39.75" customHeight="1" x14ac:dyDescent="0.35">
      <c r="D1" s="45" t="s">
        <v>95</v>
      </c>
      <c r="E1" s="45"/>
      <c r="F1" s="45"/>
      <c r="G1" s="45"/>
      <c r="H1" s="45"/>
      <c r="I1" s="17" t="s">
        <v>94</v>
      </c>
      <c r="J1" s="17"/>
    </row>
    <row r="2" spans="2:29" x14ac:dyDescent="0.35">
      <c r="D2" s="44" t="s">
        <v>0</v>
      </c>
      <c r="E2" s="44"/>
      <c r="F2" s="44"/>
      <c r="G2" s="44"/>
      <c r="M2" s="60" t="s">
        <v>44</v>
      </c>
      <c r="N2" s="60"/>
      <c r="O2" s="60"/>
      <c r="P2" s="60"/>
      <c r="Q2" s="60"/>
      <c r="Y2" s="58" t="s">
        <v>71</v>
      </c>
      <c r="Z2" s="57"/>
      <c r="AA2" s="57"/>
      <c r="AB2" s="57"/>
      <c r="AC2" s="57"/>
    </row>
    <row r="3" spans="2:29" x14ac:dyDescent="0.35">
      <c r="B3" s="2" t="s">
        <v>1</v>
      </c>
      <c r="C3" s="1"/>
      <c r="D3" s="1"/>
      <c r="E3" s="1"/>
      <c r="F3" s="1"/>
      <c r="H3" s="1"/>
      <c r="I3" s="2" t="s">
        <v>10</v>
      </c>
      <c r="J3" s="2" t="s">
        <v>11</v>
      </c>
      <c r="M3" s="61" t="s">
        <v>45</v>
      </c>
      <c r="N3" s="61"/>
      <c r="O3" s="61"/>
      <c r="P3" s="2">
        <f>(E28*J5*(((J5-J4)/2)-J9))</f>
        <v>1.649258333333335</v>
      </c>
      <c r="Q3" s="2"/>
      <c r="Y3" s="57"/>
      <c r="Z3" s="57"/>
      <c r="AA3" s="57"/>
      <c r="AB3" s="57"/>
      <c r="AC3" s="57"/>
    </row>
    <row r="4" spans="2:29" x14ac:dyDescent="0.35">
      <c r="B4" s="2" t="s">
        <v>2</v>
      </c>
      <c r="C4" s="9">
        <v>56</v>
      </c>
      <c r="D4" s="1"/>
      <c r="E4" s="2" t="s">
        <v>6</v>
      </c>
      <c r="F4" s="13">
        <v>1.82</v>
      </c>
      <c r="H4" s="2" t="s">
        <v>9</v>
      </c>
      <c r="I4" s="1">
        <v>0.35</v>
      </c>
      <c r="J4" s="1">
        <v>0.6</v>
      </c>
      <c r="Y4" s="1"/>
      <c r="Z4" s="1" t="s">
        <v>74</v>
      </c>
      <c r="AA4" s="1">
        <f>(Q9*SQRT(Q6)*Q16*Q7)</f>
        <v>219072.16998985177</v>
      </c>
      <c r="AB4" s="1"/>
      <c r="AC4" s="1"/>
    </row>
    <row r="5" spans="2:29" x14ac:dyDescent="0.35">
      <c r="B5" s="2" t="s">
        <v>3</v>
      </c>
      <c r="C5" s="12">
        <v>0.7</v>
      </c>
      <c r="D5" s="1"/>
      <c r="E5" s="2" t="s">
        <v>7</v>
      </c>
      <c r="F5" s="1">
        <v>2</v>
      </c>
      <c r="H5" s="2" t="s">
        <v>19</v>
      </c>
      <c r="I5" s="14">
        <v>1.5</v>
      </c>
      <c r="J5" s="1">
        <v>1.5</v>
      </c>
      <c r="M5" s="61" t="s">
        <v>48</v>
      </c>
      <c r="N5" s="61"/>
      <c r="O5" s="61"/>
      <c r="P5" s="61"/>
      <c r="Q5" s="61"/>
      <c r="S5" t="s">
        <v>57</v>
      </c>
      <c r="Y5" s="1" t="s">
        <v>66</v>
      </c>
      <c r="Z5" s="1" t="s">
        <v>75</v>
      </c>
      <c r="AA5" s="1">
        <f>(AA4/1000)</f>
        <v>219.07216998985177</v>
      </c>
      <c r="AB5" s="1"/>
      <c r="AC5" s="1"/>
    </row>
    <row r="6" spans="2:29" ht="14.5" customHeight="1" x14ac:dyDescent="0.35">
      <c r="B6" s="2" t="s">
        <v>4</v>
      </c>
      <c r="C6" s="12">
        <v>0.76</v>
      </c>
      <c r="D6" s="1"/>
      <c r="E6" s="2" t="s">
        <v>24</v>
      </c>
      <c r="F6" s="14">
        <f>(F5-F8)</f>
        <v>1.5</v>
      </c>
      <c r="H6" s="2" t="s">
        <v>13</v>
      </c>
      <c r="I6" s="1" t="s">
        <v>15</v>
      </c>
      <c r="J6" s="1"/>
      <c r="M6" s="58" t="s">
        <v>49</v>
      </c>
      <c r="N6" s="58"/>
      <c r="O6" s="58"/>
      <c r="P6" s="1" t="s">
        <v>50</v>
      </c>
      <c r="Q6" s="1">
        <v>281</v>
      </c>
      <c r="S6" s="16" t="str">
        <f>IF(Q12&gt;P3,"SI CUMPLE",)</f>
        <v>SI CUMPLE</v>
      </c>
    </row>
    <row r="7" spans="2:29" ht="14.5" customHeight="1" x14ac:dyDescent="0.35">
      <c r="B7" s="2" t="s">
        <v>5</v>
      </c>
      <c r="C7" s="10">
        <v>20</v>
      </c>
      <c r="D7" s="1"/>
      <c r="E7" s="2" t="s">
        <v>8</v>
      </c>
      <c r="F7" s="1">
        <v>1.4</v>
      </c>
      <c r="H7" s="1" t="s">
        <v>14</v>
      </c>
      <c r="I7" s="1">
        <v>2.4</v>
      </c>
      <c r="J7" s="1"/>
      <c r="M7" s="58"/>
      <c r="N7" s="58"/>
      <c r="O7" s="58"/>
      <c r="P7" s="1" t="s">
        <v>51</v>
      </c>
      <c r="Q7" s="1">
        <v>42.5</v>
      </c>
      <c r="Y7" s="46" t="s">
        <v>76</v>
      </c>
      <c r="Z7" s="49"/>
      <c r="AA7" s="49"/>
      <c r="AB7" s="49"/>
      <c r="AC7" s="49"/>
    </row>
    <row r="8" spans="2:29" x14ac:dyDescent="0.35">
      <c r="E8" s="2" t="s">
        <v>20</v>
      </c>
      <c r="F8" s="14">
        <v>0.5</v>
      </c>
      <c r="H8" s="1" t="s">
        <v>23</v>
      </c>
      <c r="I8" s="1"/>
      <c r="J8" s="1"/>
      <c r="M8" s="1"/>
      <c r="N8" s="1"/>
      <c r="O8" s="1"/>
      <c r="P8" s="1" t="s">
        <v>35</v>
      </c>
      <c r="Q8" s="1">
        <v>425</v>
      </c>
      <c r="Y8" s="1" t="s">
        <v>77</v>
      </c>
      <c r="Z8" s="1">
        <f>((14.5*100*Q7)/F10)</f>
        <v>21.930604982206404</v>
      </c>
      <c r="AA8" s="1" t="s">
        <v>80</v>
      </c>
    </row>
    <row r="9" spans="2:29" x14ac:dyDescent="0.35">
      <c r="E9" s="2" t="s">
        <v>47</v>
      </c>
      <c r="F9" s="15">
        <v>7.4999999999999997E-2</v>
      </c>
      <c r="H9" s="61" t="s">
        <v>46</v>
      </c>
      <c r="I9" s="61"/>
      <c r="J9" s="1">
        <f>(F8-F9)</f>
        <v>0.42499999999999999</v>
      </c>
      <c r="M9" s="1"/>
      <c r="N9" s="1"/>
      <c r="O9" s="1"/>
      <c r="P9" s="4" t="s">
        <v>52</v>
      </c>
      <c r="Q9" s="1">
        <v>0.75</v>
      </c>
      <c r="Y9" t="s">
        <v>79</v>
      </c>
      <c r="Z9">
        <f>((E28*((J5-J4)*(J5-J4)/4))/2)</f>
        <v>4.4529975000000004</v>
      </c>
    </row>
    <row r="10" spans="2:29" x14ac:dyDescent="0.35">
      <c r="E10" s="2" t="s">
        <v>78</v>
      </c>
      <c r="F10" s="1">
        <v>2810</v>
      </c>
      <c r="M10" s="1"/>
      <c r="N10" s="1"/>
      <c r="O10" s="1"/>
      <c r="P10" s="4" t="s">
        <v>54</v>
      </c>
      <c r="Q10" s="1">
        <v>0.53</v>
      </c>
    </row>
    <row r="11" spans="2:29" x14ac:dyDescent="0.35">
      <c r="B11" s="44" t="s">
        <v>12</v>
      </c>
      <c r="C11" s="44"/>
      <c r="D11" s="3">
        <f>(C4/C7)</f>
        <v>2.8</v>
      </c>
      <c r="E11" s="44" t="s">
        <v>22</v>
      </c>
      <c r="F11" s="44"/>
      <c r="G11" s="44"/>
      <c r="M11" s="1"/>
      <c r="N11" s="2"/>
      <c r="O11" s="1"/>
      <c r="P11" s="1"/>
      <c r="Q11" s="1"/>
      <c r="W11" s="50" t="s">
        <v>81</v>
      </c>
      <c r="X11" s="50"/>
      <c r="Y11" s="50"/>
      <c r="Z11" s="50"/>
      <c r="AA11" s="50"/>
      <c r="AB11" s="50"/>
      <c r="AC11" s="50"/>
    </row>
    <row r="12" spans="2:29" x14ac:dyDescent="0.35">
      <c r="C12" t="s">
        <v>21</v>
      </c>
      <c r="D12" s="11">
        <f>SQRT(D11)</f>
        <v>1.6733200530681511</v>
      </c>
      <c r="E12" s="51">
        <v>4.25</v>
      </c>
      <c r="F12" s="51"/>
      <c r="G12" s="51"/>
      <c r="M12" s="1"/>
      <c r="N12" s="1" t="s">
        <v>53</v>
      </c>
      <c r="O12" s="1"/>
      <c r="P12" s="1">
        <f>(Q9*Q10*SQRT(Q6)*Q7*Q8)</f>
        <v>120356.11290296125</v>
      </c>
      <c r="Q12" s="1">
        <f>(P12/1000)</f>
        <v>120.35611290296124</v>
      </c>
      <c r="W12" s="2" t="s">
        <v>82</v>
      </c>
      <c r="X12" s="1">
        <f>((F10)/1.7*Q6*100)</f>
        <v>46447647.058823533</v>
      </c>
    </row>
    <row r="13" spans="2:29" ht="15" thickBot="1" x14ac:dyDescent="0.4">
      <c r="W13" s="2" t="s">
        <v>83</v>
      </c>
      <c r="X13" s="1">
        <f>(Q7)</f>
        <v>42.5</v>
      </c>
    </row>
    <row r="14" spans="2:29" ht="19.5" thickTop="1" thickBot="1" x14ac:dyDescent="0.5">
      <c r="B14" s="60" t="s">
        <v>16</v>
      </c>
      <c r="C14" s="60"/>
      <c r="D14" s="60"/>
      <c r="F14" s="60" t="s">
        <v>26</v>
      </c>
      <c r="G14" s="60"/>
      <c r="H14" s="2"/>
      <c r="I14" s="60" t="s">
        <v>29</v>
      </c>
      <c r="J14" s="60"/>
      <c r="M14" s="62" t="s">
        <v>55</v>
      </c>
      <c r="N14" s="63"/>
      <c r="O14" s="63"/>
      <c r="P14" s="63"/>
      <c r="Q14" s="64"/>
      <c r="W14" s="2" t="s">
        <v>84</v>
      </c>
      <c r="X14" s="1">
        <f>(Z9*1000)/AC14*F10</f>
        <v>13903247.750000002</v>
      </c>
      <c r="AB14" s="1" t="s">
        <v>85</v>
      </c>
      <c r="AC14" s="1">
        <v>0.9</v>
      </c>
    </row>
    <row r="15" spans="2:29" ht="15" thickTop="1" x14ac:dyDescent="0.35">
      <c r="B15" s="2" t="s">
        <v>17</v>
      </c>
      <c r="C15" s="9">
        <f>(I5*J5*F8*I7)</f>
        <v>2.6999999999999997</v>
      </c>
      <c r="D15" s="1"/>
      <c r="F15" s="2" t="s">
        <v>27</v>
      </c>
      <c r="G15" s="1">
        <f>(C5/C4)</f>
        <v>1.2499999999999999E-2</v>
      </c>
      <c r="H15" s="1" t="s">
        <v>93</v>
      </c>
      <c r="I15" s="2" t="s">
        <v>30</v>
      </c>
      <c r="J15" s="1">
        <f>(I5/6)</f>
        <v>0.25</v>
      </c>
      <c r="M15" s="6" t="s">
        <v>56</v>
      </c>
      <c r="N15" s="7">
        <v>60</v>
      </c>
      <c r="O15" s="7"/>
      <c r="P15" s="6" t="s">
        <v>59</v>
      </c>
      <c r="Q15" s="7" t="s">
        <v>62</v>
      </c>
    </row>
    <row r="16" spans="2:29" x14ac:dyDescent="0.35">
      <c r="B16" s="2" t="s">
        <v>18</v>
      </c>
      <c r="C16" s="9">
        <f>(I5*J5*F6*F4)</f>
        <v>6.1425000000000001</v>
      </c>
      <c r="D16" s="1"/>
      <c r="F16" s="2" t="s">
        <v>28</v>
      </c>
      <c r="G16" s="1">
        <f>(C6/C4)</f>
        <v>1.3571428571428571E-2</v>
      </c>
      <c r="H16" s="1" t="s">
        <v>93</v>
      </c>
      <c r="I16" s="2" t="s">
        <v>31</v>
      </c>
      <c r="J16" s="1">
        <f>(J5/6)</f>
        <v>0.25</v>
      </c>
      <c r="M16" s="2" t="s">
        <v>60</v>
      </c>
      <c r="N16" s="1">
        <f>(J9)*100</f>
        <v>42.5</v>
      </c>
      <c r="O16" s="1"/>
      <c r="P16" s="1"/>
      <c r="Q16" s="1">
        <f>(2*N15+2*N15)+4*N16</f>
        <v>410</v>
      </c>
    </row>
    <row r="17" spans="2:29" x14ac:dyDescent="0.35">
      <c r="B17" s="2" t="s">
        <v>2</v>
      </c>
      <c r="C17" s="9">
        <f>(C4)</f>
        <v>56</v>
      </c>
      <c r="D17" s="1"/>
      <c r="M17" s="2" t="s">
        <v>58</v>
      </c>
      <c r="N17" s="1">
        <f>(J9/2)*100</f>
        <v>21.25</v>
      </c>
      <c r="O17" s="1"/>
      <c r="P17" s="1"/>
      <c r="Q17" s="1"/>
    </row>
    <row r="18" spans="2:29" x14ac:dyDescent="0.35">
      <c r="B18" s="2" t="s">
        <v>25</v>
      </c>
      <c r="C18" s="9">
        <f>SUM(C15:C17)</f>
        <v>64.842500000000001</v>
      </c>
      <c r="D18" s="1"/>
      <c r="F18" s="60" t="s">
        <v>32</v>
      </c>
      <c r="G18" s="60"/>
      <c r="H18" s="60"/>
      <c r="I18" s="60"/>
    </row>
    <row r="19" spans="2:29" x14ac:dyDescent="0.35">
      <c r="F19" s="2" t="s">
        <v>33</v>
      </c>
      <c r="G19" s="59" t="str">
        <f>IF(G15&lt;J15,"&lt;",)</f>
        <v>&lt;</v>
      </c>
      <c r="H19" s="59"/>
      <c r="I19" s="1" t="str">
        <f>IF(G15&lt;J15,"si cumple",)</f>
        <v>si cumple</v>
      </c>
      <c r="M19" s="61"/>
      <c r="N19" s="61"/>
      <c r="O19" s="61"/>
      <c r="P19" s="61"/>
      <c r="Q19" s="61"/>
      <c r="R19" s="5" t="s">
        <v>65</v>
      </c>
      <c r="S19" s="2">
        <v>1</v>
      </c>
    </row>
    <row r="20" spans="2:29" x14ac:dyDescent="0.35">
      <c r="F20" s="2" t="s">
        <v>33</v>
      </c>
      <c r="G20" s="59">
        <f>IF(G16&gt;J16,"&gt;",)</f>
        <v>0</v>
      </c>
      <c r="H20" s="59"/>
      <c r="I20" s="1">
        <f>IF(G16&gt;J16,"no cumple",)</f>
        <v>0</v>
      </c>
      <c r="M20" s="1"/>
      <c r="N20" s="2" t="s">
        <v>61</v>
      </c>
      <c r="O20" s="1">
        <f>(E28*(I5*J5-((N15/100)+N16/100)*((N15/100)+N16/100)))</f>
        <v>52.748779027777786</v>
      </c>
      <c r="P20" s="1"/>
      <c r="Q20" s="1"/>
    </row>
    <row r="22" spans="2:29" ht="14.5" customHeight="1" x14ac:dyDescent="0.35">
      <c r="B22" s="60" t="s">
        <v>34</v>
      </c>
      <c r="C22" s="60"/>
      <c r="D22" s="60"/>
      <c r="E22" s="60"/>
      <c r="F22" s="60"/>
      <c r="G22" s="1"/>
      <c r="M22" s="58" t="s">
        <v>63</v>
      </c>
      <c r="N22" s="58"/>
      <c r="O22" s="58"/>
      <c r="P22" s="58"/>
      <c r="Q22" s="58"/>
      <c r="AA22" s="4" t="s">
        <v>89</v>
      </c>
      <c r="AB22" s="1">
        <v>2.87</v>
      </c>
      <c r="AC22" t="s">
        <v>80</v>
      </c>
    </row>
    <row r="23" spans="2:29" ht="14.5" customHeight="1" x14ac:dyDescent="0.35">
      <c r="B23" s="1"/>
      <c r="C23" s="1"/>
      <c r="D23" s="1"/>
      <c r="E23" s="1"/>
      <c r="F23" s="1"/>
      <c r="G23" s="1"/>
      <c r="H23" s="1">
        <f>IF(G24&lt;C7,"SI CUMPLE",)</f>
        <v>0</v>
      </c>
      <c r="I23" s="59" t="s">
        <v>39</v>
      </c>
      <c r="J23" s="59"/>
      <c r="M23" s="58"/>
      <c r="N23" s="58"/>
      <c r="O23" s="58"/>
      <c r="P23" s="58"/>
      <c r="Q23" s="58"/>
      <c r="W23" s="1" t="s">
        <v>86</v>
      </c>
      <c r="X23" s="1">
        <v>17.260000000000002</v>
      </c>
      <c r="Y23" s="1" t="s">
        <v>80</v>
      </c>
    </row>
    <row r="24" spans="2:29" x14ac:dyDescent="0.35">
      <c r="B24" s="2" t="s">
        <v>36</v>
      </c>
      <c r="C24" s="1">
        <f>(C18/(I5*J5))</f>
        <v>28.818888888888889</v>
      </c>
      <c r="D24" s="1">
        <f>(C5/((I5*J5*J5)/6))</f>
        <v>1.2444444444444445</v>
      </c>
      <c r="E24" s="1">
        <f>(C6/((J5*I5*I5)/6))</f>
        <v>1.3511111111111112</v>
      </c>
      <c r="F24" s="1" t="s">
        <v>38</v>
      </c>
      <c r="G24" s="1">
        <f>SUM(C24:E24)</f>
        <v>31.414444444444445</v>
      </c>
      <c r="H24" s="1" t="str">
        <f>IF(G25&gt;0,"SI CUMPLE",)</f>
        <v>SI CUMPLE</v>
      </c>
      <c r="I24" s="61" t="s">
        <v>40</v>
      </c>
      <c r="J24" s="61"/>
      <c r="M24" s="1"/>
      <c r="N24" s="1" t="s">
        <v>64</v>
      </c>
      <c r="O24" s="1">
        <f>(Q9*(2+4/S19)*0.53*(SQRT(Q6))*Q16*Q7)</f>
        <v>696649.50056772877</v>
      </c>
      <c r="P24" s="1"/>
      <c r="Q24" s="1"/>
      <c r="W24" s="1" t="s">
        <v>87</v>
      </c>
      <c r="X24" s="8" t="s">
        <v>88</v>
      </c>
      <c r="Y24" s="1" t="s">
        <v>80</v>
      </c>
    </row>
    <row r="25" spans="2:29" x14ac:dyDescent="0.35">
      <c r="B25" s="2" t="s">
        <v>37</v>
      </c>
      <c r="C25" s="1">
        <f>(C18/(I5*J5))</f>
        <v>28.818888888888889</v>
      </c>
      <c r="D25" s="1">
        <f>(C5/((I5*J5*J5)/6))</f>
        <v>1.2444444444444445</v>
      </c>
      <c r="E25" s="1">
        <f>(C6/((J5*I5*I5)/6))</f>
        <v>1.3511111111111112</v>
      </c>
      <c r="F25" s="1" t="s">
        <v>38</v>
      </c>
      <c r="G25" s="1">
        <f>SUM(C25-D25-E25)</f>
        <v>26.223333333333333</v>
      </c>
      <c r="M25" s="1" t="s">
        <v>66</v>
      </c>
      <c r="N25" s="1" t="s">
        <v>67</v>
      </c>
      <c r="O25" s="1">
        <f>(O24/1000)</f>
        <v>696.64950056772875</v>
      </c>
      <c r="P25" s="1"/>
      <c r="Q25" s="1"/>
    </row>
    <row r="26" spans="2:29" x14ac:dyDescent="0.35">
      <c r="W26" s="2">
        <f>(Z8/AB22)</f>
        <v>7.6413257777722663</v>
      </c>
      <c r="X26" s="1" t="s">
        <v>90</v>
      </c>
      <c r="Y26" s="2">
        <f>ROUND(W26,0)</f>
        <v>8</v>
      </c>
    </row>
    <row r="27" spans="2:29" x14ac:dyDescent="0.35">
      <c r="C27" s="1"/>
      <c r="D27" s="60" t="s">
        <v>41</v>
      </c>
      <c r="E27" s="60"/>
      <c r="F27" s="60"/>
    </row>
    <row r="28" spans="2:29" x14ac:dyDescent="0.35">
      <c r="C28" s="1" t="s">
        <v>42</v>
      </c>
      <c r="D28" s="1" t="s">
        <v>43</v>
      </c>
      <c r="E28" s="1">
        <f>(F7*G24)</f>
        <v>43.980222222222224</v>
      </c>
      <c r="F28" s="1"/>
      <c r="M28" s="1" t="s">
        <v>68</v>
      </c>
      <c r="N28" s="1">
        <v>40</v>
      </c>
      <c r="P28" s="1" t="s">
        <v>69</v>
      </c>
      <c r="Q28" s="1">
        <v>410</v>
      </c>
      <c r="W28" s="1" t="s">
        <v>91</v>
      </c>
      <c r="X28" s="1">
        <f>(100/Y26)</f>
        <v>12.5</v>
      </c>
      <c r="Y28" s="1">
        <f>ROUND(X28,0)</f>
        <v>13</v>
      </c>
    </row>
    <row r="30" spans="2:29" x14ac:dyDescent="0.35">
      <c r="M30" s="57" t="s">
        <v>70</v>
      </c>
      <c r="N30" s="57"/>
      <c r="O30" s="57"/>
      <c r="P30" s="57"/>
      <c r="Q30" s="57"/>
      <c r="W30" s="56" t="s">
        <v>92</v>
      </c>
      <c r="X30" s="56"/>
      <c r="Y30" s="56"/>
      <c r="Z30" s="56"/>
      <c r="AA30" s="56"/>
      <c r="AB30" s="56"/>
      <c r="AC30" s="56"/>
    </row>
    <row r="31" spans="2:29" x14ac:dyDescent="0.35">
      <c r="M31" s="57"/>
      <c r="N31" s="57"/>
      <c r="O31" s="57"/>
      <c r="P31" s="57"/>
      <c r="Q31" s="57"/>
      <c r="W31" s="56"/>
      <c r="X31" s="56"/>
      <c r="Y31" s="56"/>
      <c r="Z31" s="56"/>
      <c r="AA31" s="56"/>
      <c r="AB31" s="56"/>
      <c r="AC31" s="56"/>
    </row>
    <row r="32" spans="2:29" x14ac:dyDescent="0.35">
      <c r="M32" s="1"/>
      <c r="N32" s="1" t="s">
        <v>72</v>
      </c>
      <c r="O32" s="1">
        <f>(Q9*0.27*((N28/Q28)+2)*SQRT(Q6)*Q16*N16)</f>
        <v>124069.65334547215</v>
      </c>
      <c r="P32" s="1"/>
      <c r="Q32" s="1"/>
    </row>
    <row r="33" spans="13:17" x14ac:dyDescent="0.35">
      <c r="M33" s="1" t="s">
        <v>66</v>
      </c>
      <c r="N33" s="1" t="s">
        <v>73</v>
      </c>
      <c r="O33" s="1">
        <f>(O32/1000)</f>
        <v>124.06965334547215</v>
      </c>
      <c r="P33" s="1"/>
      <c r="Q33" s="1"/>
    </row>
  </sheetData>
  <mergeCells count="28">
    <mergeCell ref="I23:J23"/>
    <mergeCell ref="I24:J24"/>
    <mergeCell ref="I14:J14"/>
    <mergeCell ref="F14:G14"/>
    <mergeCell ref="G19:H19"/>
    <mergeCell ref="F18:I18"/>
    <mergeCell ref="B11:C11"/>
    <mergeCell ref="E11:G11"/>
    <mergeCell ref="E12:G12"/>
    <mergeCell ref="B14:D14"/>
    <mergeCell ref="M19:Q19"/>
    <mergeCell ref="M14:Q14"/>
    <mergeCell ref="Y7:AC7"/>
    <mergeCell ref="W11:AC11"/>
    <mergeCell ref="W30:AC31"/>
    <mergeCell ref="D1:H1"/>
    <mergeCell ref="M30:Q31"/>
    <mergeCell ref="Y2:AC3"/>
    <mergeCell ref="G20:H20"/>
    <mergeCell ref="D2:G2"/>
    <mergeCell ref="M22:Q23"/>
    <mergeCell ref="D27:F27"/>
    <mergeCell ref="M3:O3"/>
    <mergeCell ref="M2:Q2"/>
    <mergeCell ref="H9:I9"/>
    <mergeCell ref="M5:Q5"/>
    <mergeCell ref="M6:O7"/>
    <mergeCell ref="B22:F22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 Copia</vt:lpstr>
      <vt:lpstr>EDIT 3</vt:lpstr>
      <vt:lpstr>EDIT2</vt:lpstr>
      <vt:lpstr>EDIT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HAROLDO GARCIA REYES</dc:creator>
  <cp:lastModifiedBy>Marlon Ivan Carreto Rivera</cp:lastModifiedBy>
  <cp:lastPrinted>2023-12-27T19:16:58Z</cp:lastPrinted>
  <dcterms:created xsi:type="dcterms:W3CDTF">2023-12-27T13:53:08Z</dcterms:created>
  <dcterms:modified xsi:type="dcterms:W3CDTF">2024-09-20T16:15:43Z</dcterms:modified>
</cp:coreProperties>
</file>