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Escritorio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1" l="1"/>
  <c r="F6" i="1"/>
  <c r="Y28" i="1" l="1"/>
  <c r="Y26" i="1"/>
  <c r="W26" i="1"/>
  <c r="X12" i="1"/>
  <c r="X13" i="1"/>
  <c r="Z8" i="1"/>
  <c r="AA4" i="1"/>
  <c r="AA5" i="1" s="1"/>
  <c r="O24" i="1"/>
  <c r="O25" i="1" s="1"/>
  <c r="O32" i="1"/>
  <c r="O33" i="1" s="1"/>
  <c r="Q16" i="1"/>
  <c r="N17" i="1"/>
  <c r="N16" i="1"/>
  <c r="Q12" i="1"/>
  <c r="P12" i="1"/>
  <c r="J9" i="1"/>
  <c r="E25" i="1"/>
  <c r="D25" i="1"/>
  <c r="E24" i="1"/>
  <c r="D24" i="1"/>
  <c r="J16" i="1"/>
  <c r="J15" i="1"/>
  <c r="G16" i="1"/>
  <c r="G15" i="1"/>
  <c r="C17" i="1"/>
  <c r="C16" i="1"/>
  <c r="D11" i="1"/>
  <c r="D12" i="1" s="1"/>
  <c r="G19" i="1" l="1"/>
  <c r="I20" i="1"/>
  <c r="I19" i="1"/>
  <c r="G20" i="1"/>
  <c r="C15" i="1"/>
  <c r="C18" i="1" s="1"/>
  <c r="C24" i="1" l="1"/>
  <c r="G24" i="1" s="1"/>
  <c r="E28" i="1" s="1"/>
  <c r="O20" i="1" s="1"/>
  <c r="C25" i="1"/>
  <c r="G25" i="1" s="1"/>
  <c r="H24" i="1" s="1"/>
  <c r="H23" i="1"/>
  <c r="Z9" i="1"/>
  <c r="X14" i="1" s="1"/>
  <c r="P3" i="1"/>
  <c r="S6" i="1" s="1"/>
</calcChain>
</file>

<file path=xl/sharedStrings.xml><?xml version="1.0" encoding="utf-8"?>
<sst xmlns="http://schemas.openxmlformats.org/spreadsheetml/2006/main" count="105" uniqueCount="96">
  <si>
    <t>Diseño de zapata</t>
  </si>
  <si>
    <t>DATOS:</t>
  </si>
  <si>
    <t>Pu</t>
  </si>
  <si>
    <t>Mxx</t>
  </si>
  <si>
    <t>Myy</t>
  </si>
  <si>
    <t>Vs</t>
  </si>
  <si>
    <t>Ws</t>
  </si>
  <si>
    <t>Df</t>
  </si>
  <si>
    <t>Fcu</t>
  </si>
  <si>
    <t>columna</t>
  </si>
  <si>
    <t>ancho</t>
  </si>
  <si>
    <t>alto</t>
  </si>
  <si>
    <t>Aree de la zapata</t>
  </si>
  <si>
    <t>densidades</t>
  </si>
  <si>
    <t>concreto</t>
  </si>
  <si>
    <t>ton/m3</t>
  </si>
  <si>
    <t xml:space="preserve">PESOS </t>
  </si>
  <si>
    <t>P. Zapata</t>
  </si>
  <si>
    <t>P. Suelo</t>
  </si>
  <si>
    <t>zapata</t>
  </si>
  <si>
    <t>espesor</t>
  </si>
  <si>
    <t>raiz=</t>
  </si>
  <si>
    <t>propuesta para los chequeos</t>
  </si>
  <si>
    <t>acero</t>
  </si>
  <si>
    <t>altura, suelo</t>
  </si>
  <si>
    <t>sumatoria</t>
  </si>
  <si>
    <t>Excentricidad</t>
  </si>
  <si>
    <t>EX</t>
  </si>
  <si>
    <t>EY</t>
  </si>
  <si>
    <t>excentricidad maxima</t>
  </si>
  <si>
    <t>EmaxB</t>
  </si>
  <si>
    <t>EmaxL</t>
  </si>
  <si>
    <t>comprobar si cumple</t>
  </si>
  <si>
    <t>ex,ey&lt;Emax</t>
  </si>
  <si>
    <t>Hallamos las cargas Maximas y minimas</t>
  </si>
  <si>
    <t>B</t>
  </si>
  <si>
    <t>qMax</t>
  </si>
  <si>
    <t>qMin</t>
  </si>
  <si>
    <t>=</t>
  </si>
  <si>
    <t>qmax&lt;qandmisible</t>
  </si>
  <si>
    <t>qMin&gt;0</t>
  </si>
  <si>
    <t>Presion de Diseño Ulitmo</t>
  </si>
  <si>
    <t>qdu=</t>
  </si>
  <si>
    <t>fcu*qmax</t>
  </si>
  <si>
    <t>corte simple</t>
  </si>
  <si>
    <t>Vactuante=qdu*L*((L-C)/2)-d)</t>
  </si>
  <si>
    <t>peralte =d</t>
  </si>
  <si>
    <t>recubrimiento</t>
  </si>
  <si>
    <t>corte resistente</t>
  </si>
  <si>
    <r>
      <t>Vr=</t>
    </r>
    <r>
      <rPr>
        <b/>
        <sz val="14"/>
        <color theme="1"/>
        <rFont val="Calibri"/>
        <family val="2"/>
      </rPr>
      <t>ϕ*0.53*sqrt(fç)*d*B</t>
    </r>
  </si>
  <si>
    <t>´fç</t>
  </si>
  <si>
    <t>d</t>
  </si>
  <si>
    <t>Ф</t>
  </si>
  <si>
    <t>Vr=</t>
  </si>
  <si>
    <t>constante</t>
  </si>
  <si>
    <t>Corte a Punzonamiento</t>
  </si>
  <si>
    <t>c:</t>
  </si>
  <si>
    <t>Vr&gt;Va</t>
  </si>
  <si>
    <t>d/2</t>
  </si>
  <si>
    <t>d(perimetro)=</t>
  </si>
  <si>
    <t>d:</t>
  </si>
  <si>
    <t>Va:</t>
  </si>
  <si>
    <t>2Bc+2BLc+4d</t>
  </si>
  <si>
    <r>
      <t>V1=ϕ*(2+4/</t>
    </r>
    <r>
      <rPr>
        <b/>
        <sz val="14"/>
        <color theme="1"/>
        <rFont val="Calibri"/>
        <family val="2"/>
      </rPr>
      <t>β</t>
    </r>
    <r>
      <rPr>
        <b/>
        <sz val="9.8000000000000007"/>
        <color theme="1"/>
        <rFont val="Calibri"/>
        <family val="2"/>
      </rPr>
      <t>c</t>
    </r>
    <r>
      <rPr>
        <b/>
        <sz val="14"/>
        <color theme="1"/>
        <rFont val="Calibri"/>
        <family val="2"/>
        <scheme val="minor"/>
      </rPr>
      <t>)*0.53*sqrt(fç)*d*B</t>
    </r>
  </si>
  <si>
    <t>v1:</t>
  </si>
  <si>
    <r>
      <t>β</t>
    </r>
    <r>
      <rPr>
        <b/>
        <sz val="7.7"/>
        <color theme="1"/>
        <rFont val="Calibri"/>
        <family val="2"/>
      </rPr>
      <t>c:</t>
    </r>
  </si>
  <si>
    <t>pasar a ton</t>
  </si>
  <si>
    <t>v1/1000</t>
  </si>
  <si>
    <t>as</t>
  </si>
  <si>
    <t>b3</t>
  </si>
  <si>
    <t>V2=ϕ*0.27*((as/410)+2)*sqrt(fç)*d*B</t>
  </si>
  <si>
    <t>V3=ϕ*sqrt(fç)*d*B</t>
  </si>
  <si>
    <t>v2:</t>
  </si>
  <si>
    <t>v2/1000</t>
  </si>
  <si>
    <t>v3:</t>
  </si>
  <si>
    <t>v3/1000</t>
  </si>
  <si>
    <t>Refuerzo por Flexion</t>
  </si>
  <si>
    <t>as min</t>
  </si>
  <si>
    <t>fy</t>
  </si>
  <si>
    <t>Momento</t>
  </si>
  <si>
    <t>cm2</t>
  </si>
  <si>
    <t>Formula cuadrática</t>
  </si>
  <si>
    <t>a</t>
  </si>
  <si>
    <t>b</t>
  </si>
  <si>
    <t>c</t>
  </si>
  <si>
    <r>
      <t xml:space="preserve">flexion </t>
    </r>
    <r>
      <rPr>
        <sz val="11"/>
        <color theme="1"/>
        <rFont val="Calibri"/>
        <family val="2"/>
      </rPr>
      <t>ϕ</t>
    </r>
  </si>
  <si>
    <t>x1</t>
  </si>
  <si>
    <t>x2</t>
  </si>
  <si>
    <t>4.54 ¡</t>
  </si>
  <si>
    <t>ϕ =3/4"</t>
  </si>
  <si>
    <t>redondedo =</t>
  </si>
  <si>
    <t>cantidad=</t>
  </si>
  <si>
    <t>ARMADO ϕ =3/4"  @ 13 cm en ambos sentidos</t>
  </si>
  <si>
    <t>m</t>
  </si>
  <si>
    <t>CIMENTACIONES</t>
  </si>
  <si>
    <t>ERIK HAROLDO GARCIA REYES   201431182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</si>
</sst>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\ &quot;ton&quot;"/>
    <numFmt numFmtId="165" formatCode="0.00\ &quot;ton/m2&quot;"/>
    <numFmt numFmtId="166" formatCode="0.00\ &quot;m&quot;"/>
    <numFmt numFmtId="167" formatCode="0.00\ &quot;ton-m&quot;"/>
    <numFmt numFmtId="168" formatCode="0.00\ &quot;ton/m3&quot;"/>
    <numFmt numFmtId="169" formatCode="0.000\ &quot;m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9.8000000000000007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1" fillId="0" borderId="0" xfId="0" applyNumberFormat="1" applyFont="1" applyAlignment="1">
      <alignment vertical="center"/>
    </xf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541985</xdr:colOff>
      <xdr:row>18</xdr:row>
      <xdr:rowOff>1</xdr:rowOff>
    </xdr:from>
    <xdr:ext cx="2212099" cy="195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E9C128E-7909-D50B-0AFB-0FAF5EAB6046}"/>
                </a:ext>
              </a:extLst>
            </xdr:cNvPr>
            <xdr:cNvSpPr txBox="1"/>
          </xdr:nvSpPr>
          <xdr:spPr>
            <a:xfrm>
              <a:off x="9740414" y="3331030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14:m>
                <m:oMath xmlns:m="http://schemas.openxmlformats.org/officeDocument/2006/math">
                  <m:r>
                    <a:rPr lang="es-GT" sz="1100" b="1" i="1">
                      <a:latin typeface="Cambria Math" panose="02040503050406030204" pitchFamily="18" charset="0"/>
                    </a:rPr>
                    <m:t>=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𝒒𝒅𝒖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∗(</m:t>
                  </m:r>
                  <m:sSup>
                    <m:sSupPr>
                      <m:ctrlPr>
                        <a:rPr lang="es-GT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𝑩</m:t>
                      </m:r>
                    </m:e>
                    <m:sup>
                      <m:r>
                        <a:rPr lang="es-GT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  <m:r>
                    <a:rPr lang="es-GT" sz="1100" b="1" i="1">
                      <a:latin typeface="Cambria Math" panose="02040503050406030204" pitchFamily="18" charset="0"/>
                    </a:rPr>
                    <m:t>−(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+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)(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𝑫</m:t>
                  </m:r>
                  <m:r>
                    <a:rPr lang="es-GT" sz="11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GT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E9C128E-7909-D50B-0AFB-0FAF5EAB6046}"/>
                </a:ext>
              </a:extLst>
            </xdr:cNvPr>
            <xdr:cNvSpPr txBox="1"/>
          </xdr:nvSpPr>
          <xdr:spPr>
            <a:xfrm>
              <a:off x="9740414" y="3331030"/>
              <a:ext cx="2212099" cy="195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1"/>
                <a:t>Va</a:t>
              </a:r>
              <a:r>
                <a:rPr lang="es-GT" sz="1100" b="1" i="0">
                  <a:latin typeface="Cambria Math" panose="02040503050406030204" pitchFamily="18" charset="0"/>
                </a:rPr>
                <a:t>=𝒒𝒅𝒖∗(𝑩^𝟐−(𝑪+𝑫)(𝑪−𝑫)</a:t>
              </a:r>
              <a:endParaRPr lang="es-GT" sz="1100" b="1"/>
            </a:p>
          </xdr:txBody>
        </xdr:sp>
      </mc:Fallback>
    </mc:AlternateContent>
    <xdr:clientData/>
  </xdr:oneCellAnchor>
  <xdr:oneCellAnchor>
    <xdr:from>
      <xdr:col>22</xdr:col>
      <xdr:colOff>443670</xdr:colOff>
      <xdr:row>17</xdr:row>
      <xdr:rowOff>136299</xdr:rowOff>
    </xdr:from>
    <xdr:ext cx="3010440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BF4EAE-1325-0B07-872C-43FD2BEB263B}"/>
                </a:ext>
              </a:extLst>
            </xdr:cNvPr>
            <xdr:cNvSpPr txBox="1"/>
          </xdr:nvSpPr>
          <xdr:spPr>
            <a:xfrm>
              <a:off x="17468927" y="3358470"/>
              <a:ext cx="3010440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G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42.5</m:t>
                        </m:r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s-GT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GT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GT" sz="1100" b="0" i="1">
                                    <a:latin typeface="Cambria Math" panose="02040503050406030204" pitchFamily="18" charset="0"/>
                                  </a:rPr>
                                  <m:t>42.5</m:t>
                                </m:r>
                              </m:e>
                              <m:sup>
                                <m:r>
                                  <a:rPr lang="es-GT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GT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∗46447647∗94218</m:t>
                            </m:r>
                          </m:e>
                        </m:rad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572</m:t>
                        </m:r>
                      </m:num>
                      <m:den>
                        <m:r>
                          <a:rPr lang="es-GT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∗46447647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BBF4EAE-1325-0B07-872C-43FD2BEB263B}"/>
                </a:ext>
              </a:extLst>
            </xdr:cNvPr>
            <xdr:cNvSpPr txBox="1"/>
          </xdr:nvSpPr>
          <xdr:spPr>
            <a:xfrm>
              <a:off x="17468927" y="3358470"/>
              <a:ext cx="3010440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i="0">
                  <a:latin typeface="Cambria Math" panose="02040503050406030204" pitchFamily="18" charset="0"/>
                </a:rPr>
                <a:t>𝑥=(−</a:t>
              </a:r>
              <a:r>
                <a:rPr lang="es-GT" sz="1100" b="0" i="0">
                  <a:latin typeface="Cambria Math" panose="02040503050406030204" pitchFamily="18" charset="0"/>
                </a:rPr>
                <a:t>42.5</a:t>
              </a:r>
              <a:r>
                <a:rPr lang="es-GT" sz="1100" i="0">
                  <a:latin typeface="Cambria Math" panose="02040503050406030204" pitchFamily="18" charset="0"/>
                </a:rPr>
                <a:t>±√(〖</a:t>
              </a:r>
              <a:r>
                <a:rPr lang="es-GT" sz="1100" b="0" i="0">
                  <a:latin typeface="Cambria Math" panose="02040503050406030204" pitchFamily="18" charset="0"/>
                </a:rPr>
                <a:t>42.5〗^</a:t>
              </a:r>
              <a:r>
                <a:rPr lang="es-GT" sz="1100" i="0">
                  <a:latin typeface="Cambria Math" panose="02040503050406030204" pitchFamily="18" charset="0"/>
                </a:rPr>
                <a:t>2−4</a:t>
              </a:r>
              <a:r>
                <a:rPr lang="es-GT" sz="1100" b="0" i="0">
                  <a:latin typeface="Cambria Math" panose="02040503050406030204" pitchFamily="18" charset="0"/>
                </a:rPr>
                <a:t>∗46447647∗94218) 572)/(</a:t>
              </a:r>
              <a:r>
                <a:rPr lang="es-GT" sz="1100" i="0">
                  <a:latin typeface="Cambria Math" panose="02040503050406030204" pitchFamily="18" charset="0"/>
                </a:rPr>
                <a:t>2</a:t>
              </a:r>
              <a:r>
                <a:rPr lang="es-GT" sz="1100" b="0" i="0">
                  <a:latin typeface="Cambria Math" panose="02040503050406030204" pitchFamily="18" charset="0"/>
                </a:rPr>
                <a:t>∗46447647)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3"/>
  <sheetViews>
    <sheetView tabSelected="1" zoomScale="70" zoomScaleNormal="70" workbookViewId="0">
      <selection activeCell="S13" sqref="S13"/>
    </sheetView>
  </sheetViews>
  <sheetFormatPr baseColWidth="10" defaultRowHeight="15" x14ac:dyDescent="0.25"/>
  <cols>
    <col min="1" max="1" width="5.7109375" customWidth="1"/>
    <col min="2" max="2" width="9" customWidth="1"/>
    <col min="3" max="3" width="14.85546875" bestFit="1" customWidth="1"/>
    <col min="5" max="5" width="13.28515625" customWidth="1"/>
    <col min="6" max="6" width="15.28515625" bestFit="1" customWidth="1"/>
    <col min="7" max="7" width="8.7109375" customWidth="1"/>
    <col min="9" max="9" width="13.7109375" customWidth="1"/>
    <col min="15" max="15" width="8.7109375" customWidth="1"/>
    <col min="16" max="16" width="12.7109375" customWidth="1"/>
  </cols>
  <sheetData>
    <row r="1" spans="2:29" ht="39.75" customHeight="1" x14ac:dyDescent="0.25">
      <c r="D1" s="33" t="s">
        <v>95</v>
      </c>
      <c r="E1" s="33"/>
      <c r="F1" s="33"/>
      <c r="G1" s="33"/>
      <c r="H1" s="33"/>
      <c r="I1" s="20" t="s">
        <v>94</v>
      </c>
      <c r="J1" s="20"/>
    </row>
    <row r="2" spans="2:29" x14ac:dyDescent="0.25">
      <c r="D2" s="24" t="s">
        <v>0</v>
      </c>
      <c r="E2" s="24"/>
      <c r="F2" s="24"/>
      <c r="G2" s="24"/>
      <c r="M2" s="23" t="s">
        <v>44</v>
      </c>
      <c r="N2" s="23"/>
      <c r="O2" s="23"/>
      <c r="P2" s="23"/>
      <c r="Q2" s="23"/>
      <c r="Y2" s="35" t="s">
        <v>71</v>
      </c>
      <c r="Z2" s="34"/>
      <c r="AA2" s="34"/>
      <c r="AB2" s="34"/>
      <c r="AC2" s="34"/>
    </row>
    <row r="3" spans="2:29" x14ac:dyDescent="0.25">
      <c r="B3" s="2" t="s">
        <v>1</v>
      </c>
      <c r="C3" s="1"/>
      <c r="D3" s="1"/>
      <c r="E3" s="1"/>
      <c r="F3" s="1"/>
      <c r="H3" s="1"/>
      <c r="I3" s="2" t="s">
        <v>10</v>
      </c>
      <c r="J3" s="2" t="s">
        <v>11</v>
      </c>
      <c r="M3" s="22" t="s">
        <v>45</v>
      </c>
      <c r="N3" s="22"/>
      <c r="O3" s="22"/>
      <c r="P3" s="2">
        <f>(E28*J5*(((J5-J4)/2)-J9))</f>
        <v>8.0129583333333372</v>
      </c>
      <c r="Q3" s="2"/>
      <c r="Y3" s="34"/>
      <c r="Z3" s="34"/>
      <c r="AA3" s="34"/>
      <c r="AB3" s="34"/>
      <c r="AC3" s="34"/>
    </row>
    <row r="4" spans="2:29" x14ac:dyDescent="0.25">
      <c r="B4" s="2" t="s">
        <v>2</v>
      </c>
      <c r="C4" s="12">
        <v>54</v>
      </c>
      <c r="D4" s="1"/>
      <c r="E4" s="2" t="s">
        <v>6</v>
      </c>
      <c r="F4" s="16">
        <v>1.82</v>
      </c>
      <c r="H4" s="2" t="s">
        <v>9</v>
      </c>
      <c r="I4" s="1">
        <v>0.4</v>
      </c>
      <c r="J4" s="1">
        <v>0.4</v>
      </c>
      <c r="Y4" s="1"/>
      <c r="Z4" s="1" t="s">
        <v>74</v>
      </c>
      <c r="AA4" s="1">
        <f>(Q9*SQRT(Q6)*Q16*Q7)</f>
        <v>219072.16998985177</v>
      </c>
      <c r="AB4" s="1"/>
      <c r="AC4" s="1"/>
    </row>
    <row r="5" spans="2:29" x14ac:dyDescent="0.25">
      <c r="B5" s="2" t="s">
        <v>3</v>
      </c>
      <c r="C5" s="15">
        <v>0.7</v>
      </c>
      <c r="D5" s="1"/>
      <c r="E5" s="2" t="s">
        <v>7</v>
      </c>
      <c r="F5" s="1">
        <v>2</v>
      </c>
      <c r="H5" s="2" t="s">
        <v>19</v>
      </c>
      <c r="I5" s="17">
        <v>1.5</v>
      </c>
      <c r="J5" s="1">
        <v>1.5</v>
      </c>
      <c r="M5" s="22" t="s">
        <v>48</v>
      </c>
      <c r="N5" s="22"/>
      <c r="O5" s="22"/>
      <c r="P5" s="22"/>
      <c r="Q5" s="22"/>
      <c r="S5" t="s">
        <v>57</v>
      </c>
      <c r="Y5" s="1" t="s">
        <v>66</v>
      </c>
      <c r="Z5" s="1" t="s">
        <v>75</v>
      </c>
      <c r="AA5" s="1">
        <f>(AA4/1000)</f>
        <v>219.07216998985177</v>
      </c>
      <c r="AB5" s="1"/>
      <c r="AC5" s="1"/>
    </row>
    <row r="6" spans="2:29" ht="14.45" customHeight="1" x14ac:dyDescent="0.25">
      <c r="B6" s="2" t="s">
        <v>4</v>
      </c>
      <c r="C6" s="15">
        <v>0.76</v>
      </c>
      <c r="D6" s="1"/>
      <c r="E6" s="2" t="s">
        <v>24</v>
      </c>
      <c r="F6" s="17">
        <f>(F5-F8)</f>
        <v>1.5</v>
      </c>
      <c r="H6" s="2" t="s">
        <v>13</v>
      </c>
      <c r="I6" s="1" t="s">
        <v>15</v>
      </c>
      <c r="J6" s="1"/>
      <c r="M6" s="35" t="s">
        <v>49</v>
      </c>
      <c r="N6" s="35"/>
      <c r="O6" s="35"/>
      <c r="P6" s="1" t="s">
        <v>50</v>
      </c>
      <c r="Q6" s="1">
        <v>281</v>
      </c>
      <c r="S6" s="19" t="str">
        <f>IF(Q12&gt;P3,"SI CUMPLE",)</f>
        <v>SI CUMPLE</v>
      </c>
    </row>
    <row r="7" spans="2:29" ht="14.45" customHeight="1" x14ac:dyDescent="0.25">
      <c r="B7" s="2" t="s">
        <v>5</v>
      </c>
      <c r="C7" s="13">
        <v>20</v>
      </c>
      <c r="D7" s="1"/>
      <c r="E7" s="2" t="s">
        <v>8</v>
      </c>
      <c r="F7" s="1">
        <v>1.4</v>
      </c>
      <c r="H7" s="1" t="s">
        <v>14</v>
      </c>
      <c r="I7" s="1">
        <v>2.4</v>
      </c>
      <c r="J7" s="1"/>
      <c r="M7" s="35"/>
      <c r="N7" s="35"/>
      <c r="O7" s="35"/>
      <c r="P7" s="1" t="s">
        <v>51</v>
      </c>
      <c r="Q7" s="1">
        <v>42.5</v>
      </c>
      <c r="Y7" s="29" t="s">
        <v>76</v>
      </c>
      <c r="Z7" s="30"/>
      <c r="AA7" s="30"/>
      <c r="AB7" s="30"/>
      <c r="AC7" s="30"/>
    </row>
    <row r="8" spans="2:29" x14ac:dyDescent="0.25">
      <c r="E8" s="2" t="s">
        <v>20</v>
      </c>
      <c r="F8" s="17">
        <v>0.5</v>
      </c>
      <c r="H8" s="1" t="s">
        <v>23</v>
      </c>
      <c r="I8" s="1"/>
      <c r="J8" s="1"/>
      <c r="M8" s="1"/>
      <c r="N8" s="1"/>
      <c r="O8" s="1"/>
      <c r="P8" s="1" t="s">
        <v>35</v>
      </c>
      <c r="Q8" s="1">
        <v>425</v>
      </c>
      <c r="Y8" s="1" t="s">
        <v>77</v>
      </c>
      <c r="Z8" s="1">
        <f>((14.5*100*Q7)/F10)</f>
        <v>21.930604982206404</v>
      </c>
      <c r="AA8" s="1" t="s">
        <v>80</v>
      </c>
    </row>
    <row r="9" spans="2:29" x14ac:dyDescent="0.25">
      <c r="E9" s="2" t="s">
        <v>47</v>
      </c>
      <c r="F9" s="18">
        <v>7.4999999999999997E-2</v>
      </c>
      <c r="H9" s="22" t="s">
        <v>46</v>
      </c>
      <c r="I9" s="22"/>
      <c r="J9" s="1">
        <f>(F8-F9)</f>
        <v>0.42499999999999999</v>
      </c>
      <c r="M9" s="1"/>
      <c r="N9" s="1"/>
      <c r="O9" s="1"/>
      <c r="P9" s="4" t="s">
        <v>52</v>
      </c>
      <c r="Q9" s="1">
        <v>0.75</v>
      </c>
      <c r="Y9" t="s">
        <v>79</v>
      </c>
      <c r="Z9">
        <f>((E28*((J5-J4)*(J5-J4)/4))/2)</f>
        <v>6.4637863888888898</v>
      </c>
    </row>
    <row r="10" spans="2:29" x14ac:dyDescent="0.25">
      <c r="E10" s="8" t="s">
        <v>78</v>
      </c>
      <c r="F10" s="9">
        <v>2810</v>
      </c>
      <c r="M10" s="1"/>
      <c r="N10" s="1"/>
      <c r="O10" s="1"/>
      <c r="P10" s="4" t="s">
        <v>54</v>
      </c>
      <c r="Q10" s="1">
        <v>0.53</v>
      </c>
    </row>
    <row r="11" spans="2:29" x14ac:dyDescent="0.25">
      <c r="B11" s="24" t="s">
        <v>12</v>
      </c>
      <c r="C11" s="24"/>
      <c r="D11" s="3">
        <f>(C4/C7)</f>
        <v>2.7</v>
      </c>
      <c r="E11" s="24" t="s">
        <v>22</v>
      </c>
      <c r="F11" s="24"/>
      <c r="G11" s="24"/>
      <c r="M11" s="1"/>
      <c r="N11" s="2"/>
      <c r="O11" s="1"/>
      <c r="P11" s="1"/>
      <c r="Q11" s="1"/>
      <c r="W11" s="31" t="s">
        <v>81</v>
      </c>
      <c r="X11" s="31"/>
      <c r="Y11" s="31"/>
      <c r="Z11" s="31"/>
      <c r="AA11" s="31"/>
      <c r="AB11" s="31"/>
      <c r="AC11" s="31"/>
    </row>
    <row r="12" spans="2:29" x14ac:dyDescent="0.25">
      <c r="C12" t="s">
        <v>21</v>
      </c>
      <c r="D12" s="14">
        <f>SQRT(D11)</f>
        <v>1.6431676725154984</v>
      </c>
      <c r="E12" s="25">
        <v>4.25</v>
      </c>
      <c r="F12" s="25"/>
      <c r="G12" s="25"/>
      <c r="M12" s="1"/>
      <c r="N12" s="1" t="s">
        <v>53</v>
      </c>
      <c r="O12" s="1"/>
      <c r="P12" s="1">
        <f>(Q9*Q10*SQRT(Q6)*Q7*Q8)</f>
        <v>120356.11290296125</v>
      </c>
      <c r="Q12" s="1">
        <f>(P12/1000)</f>
        <v>120.35611290296124</v>
      </c>
      <c r="W12" s="2" t="s">
        <v>82</v>
      </c>
      <c r="X12" s="1">
        <f>((F10)/1.7*Q6*100)</f>
        <v>46447647.058823533</v>
      </c>
    </row>
    <row r="13" spans="2:29" ht="15.75" thickBot="1" x14ac:dyDescent="0.3">
      <c r="W13" s="2" t="s">
        <v>83</v>
      </c>
      <c r="X13" s="1">
        <f>(Q7)</f>
        <v>42.5</v>
      </c>
    </row>
    <row r="14" spans="2:29" ht="20.25" thickTop="1" thickBot="1" x14ac:dyDescent="0.35">
      <c r="B14" s="23" t="s">
        <v>16</v>
      </c>
      <c r="C14" s="23"/>
      <c r="D14" s="23"/>
      <c r="F14" s="23" t="s">
        <v>26</v>
      </c>
      <c r="G14" s="23"/>
      <c r="H14" s="2"/>
      <c r="I14" s="23" t="s">
        <v>29</v>
      </c>
      <c r="J14" s="23"/>
      <c r="M14" s="26" t="s">
        <v>55</v>
      </c>
      <c r="N14" s="27"/>
      <c r="O14" s="27"/>
      <c r="P14" s="27"/>
      <c r="Q14" s="28"/>
      <c r="W14" s="2" t="s">
        <v>84</v>
      </c>
      <c r="X14" s="1">
        <f>(Z9*1000)/AC14*F10</f>
        <v>20181377.503086422</v>
      </c>
      <c r="AB14" s="1" t="s">
        <v>85</v>
      </c>
      <c r="AC14" s="1">
        <v>0.9</v>
      </c>
    </row>
    <row r="15" spans="2:29" ht="15.75" thickTop="1" x14ac:dyDescent="0.25">
      <c r="B15" s="2" t="s">
        <v>17</v>
      </c>
      <c r="C15" s="12">
        <f>(I5*J5*F8*I7)</f>
        <v>2.6999999999999997</v>
      </c>
      <c r="D15" s="1"/>
      <c r="F15" s="2" t="s">
        <v>27</v>
      </c>
      <c r="G15" s="11">
        <f>(C5/C4)</f>
        <v>1.2962962962962963E-2</v>
      </c>
      <c r="H15" s="11" t="s">
        <v>93</v>
      </c>
      <c r="I15" s="2" t="s">
        <v>30</v>
      </c>
      <c r="J15" s="1">
        <f>(I5/6)</f>
        <v>0.25</v>
      </c>
      <c r="M15" s="6" t="s">
        <v>56</v>
      </c>
      <c r="N15" s="7">
        <v>60</v>
      </c>
      <c r="O15" s="7"/>
      <c r="P15" s="6" t="s">
        <v>59</v>
      </c>
      <c r="Q15" s="7" t="s">
        <v>62</v>
      </c>
    </row>
    <row r="16" spans="2:29" x14ac:dyDescent="0.25">
      <c r="B16" s="2" t="s">
        <v>18</v>
      </c>
      <c r="C16" s="12">
        <f>(I5*J5*F6*F4)</f>
        <v>6.1425000000000001</v>
      </c>
      <c r="D16" s="1"/>
      <c r="F16" s="2" t="s">
        <v>28</v>
      </c>
      <c r="G16" s="11">
        <f>(C6/C4)</f>
        <v>1.4074074074074074E-2</v>
      </c>
      <c r="H16" s="11" t="s">
        <v>93</v>
      </c>
      <c r="I16" s="2" t="s">
        <v>31</v>
      </c>
      <c r="J16" s="1">
        <f>(J5/6)</f>
        <v>0.25</v>
      </c>
      <c r="M16" s="2" t="s">
        <v>60</v>
      </c>
      <c r="N16" s="1">
        <f>(J9)*100</f>
        <v>42.5</v>
      </c>
      <c r="O16" s="1"/>
      <c r="P16" s="1"/>
      <c r="Q16" s="1">
        <f>(2*N15+2*N15)+4*N16</f>
        <v>410</v>
      </c>
    </row>
    <row r="17" spans="2:29" x14ac:dyDescent="0.25">
      <c r="B17" s="2" t="s">
        <v>2</v>
      </c>
      <c r="C17" s="12">
        <f>(C4)</f>
        <v>54</v>
      </c>
      <c r="D17" s="1"/>
      <c r="M17" s="2" t="s">
        <v>58</v>
      </c>
      <c r="N17" s="1">
        <f>(J9/2)*100</f>
        <v>21.25</v>
      </c>
      <c r="O17" s="1"/>
      <c r="P17" s="1"/>
      <c r="Q17" s="1"/>
    </row>
    <row r="18" spans="2:29" x14ac:dyDescent="0.25">
      <c r="B18" s="2" t="s">
        <v>25</v>
      </c>
      <c r="C18" s="12">
        <f>SUM(C15:C17)</f>
        <v>62.842500000000001</v>
      </c>
      <c r="D18" s="1"/>
      <c r="F18" s="23" t="s">
        <v>32</v>
      </c>
      <c r="G18" s="23"/>
      <c r="H18" s="23"/>
      <c r="I18" s="23"/>
    </row>
    <row r="19" spans="2:29" x14ac:dyDescent="0.25">
      <c r="F19" s="2" t="s">
        <v>33</v>
      </c>
      <c r="G19" s="21" t="str">
        <f>IF(G15&lt;J15,"&lt;",)</f>
        <v>&lt;</v>
      </c>
      <c r="H19" s="21"/>
      <c r="I19" s="1" t="str">
        <f>IF(G15&lt;J15,"si cumple",)</f>
        <v>si cumple</v>
      </c>
      <c r="M19" s="22"/>
      <c r="N19" s="22"/>
      <c r="O19" s="22"/>
      <c r="P19" s="22"/>
      <c r="Q19" s="22"/>
      <c r="R19" s="5" t="s">
        <v>65</v>
      </c>
      <c r="S19" s="2">
        <v>1</v>
      </c>
    </row>
    <row r="20" spans="2:29" x14ac:dyDescent="0.25">
      <c r="F20" s="2" t="s">
        <v>33</v>
      </c>
      <c r="G20" s="21">
        <f>IF(G16&gt;J16,"&gt;",)</f>
        <v>0</v>
      </c>
      <c r="H20" s="21"/>
      <c r="I20" s="1">
        <f>IF(G16&gt;J16,"no cumple",)</f>
        <v>0</v>
      </c>
      <c r="M20" s="1"/>
      <c r="N20" s="2" t="s">
        <v>61</v>
      </c>
      <c r="O20" s="1">
        <f>(E28*(I5*J5-((N15/100)+N16/100)*((N15/100)+N16/100)))</f>
        <v>51.256223472222224</v>
      </c>
      <c r="P20" s="1"/>
      <c r="Q20" s="1"/>
    </row>
    <row r="22" spans="2:29" ht="14.45" customHeight="1" x14ac:dyDescent="0.25">
      <c r="B22" s="23" t="s">
        <v>34</v>
      </c>
      <c r="C22" s="23"/>
      <c r="D22" s="23"/>
      <c r="E22" s="23"/>
      <c r="F22" s="23"/>
      <c r="G22" s="1"/>
      <c r="M22" s="35" t="s">
        <v>63</v>
      </c>
      <c r="N22" s="35"/>
      <c r="O22" s="35"/>
      <c r="P22" s="35"/>
      <c r="Q22" s="35"/>
      <c r="AA22" s="4" t="s">
        <v>89</v>
      </c>
      <c r="AB22" s="1">
        <v>2.87</v>
      </c>
      <c r="AC22" t="s">
        <v>80</v>
      </c>
    </row>
    <row r="23" spans="2:29" ht="14.45" customHeight="1" x14ac:dyDescent="0.25">
      <c r="B23" s="1"/>
      <c r="C23" s="1"/>
      <c r="D23" s="1"/>
      <c r="E23" s="1"/>
      <c r="F23" s="1"/>
      <c r="G23" s="1"/>
      <c r="H23" s="1">
        <f>IF(G24&lt;C7,"SI CUMPLE",)</f>
        <v>0</v>
      </c>
      <c r="I23" s="21" t="s">
        <v>39</v>
      </c>
      <c r="J23" s="21"/>
      <c r="M23" s="35"/>
      <c r="N23" s="35"/>
      <c r="O23" s="35"/>
      <c r="P23" s="35"/>
      <c r="Q23" s="35"/>
      <c r="W23" s="1" t="s">
        <v>86</v>
      </c>
      <c r="X23" s="1">
        <v>17.260000000000002</v>
      </c>
      <c r="Y23" s="1" t="s">
        <v>80</v>
      </c>
    </row>
    <row r="24" spans="2:29" x14ac:dyDescent="0.25">
      <c r="B24" s="2" t="s">
        <v>36</v>
      </c>
      <c r="C24" s="1">
        <f>(C18/(I5*J5))</f>
        <v>27.93</v>
      </c>
      <c r="D24" s="1">
        <f>(C5/((I5*J5*J5)/6))</f>
        <v>1.2444444444444445</v>
      </c>
      <c r="E24" s="1">
        <f>(C6/((J5*I5*I5)/6))</f>
        <v>1.3511111111111112</v>
      </c>
      <c r="F24" s="1" t="s">
        <v>38</v>
      </c>
      <c r="G24" s="1">
        <f>SUM(C24:E24)</f>
        <v>30.525555555555556</v>
      </c>
      <c r="H24" s="1" t="str">
        <f>IF(G25&gt;0,"SI CUMPLE",)</f>
        <v>SI CUMPLE</v>
      </c>
      <c r="I24" s="22" t="s">
        <v>40</v>
      </c>
      <c r="J24" s="22"/>
      <c r="M24" s="1"/>
      <c r="N24" s="1" t="s">
        <v>64</v>
      </c>
      <c r="O24" s="1">
        <f>(Q9*(2+4/S19)*0.53*(SQRT(Q6))*Q16*Q7)</f>
        <v>696649.50056772877</v>
      </c>
      <c r="P24" s="1"/>
      <c r="Q24" s="1"/>
      <c r="W24" s="1" t="s">
        <v>87</v>
      </c>
      <c r="X24" s="10" t="s">
        <v>88</v>
      </c>
      <c r="Y24" s="1" t="s">
        <v>80</v>
      </c>
    </row>
    <row r="25" spans="2:29" x14ac:dyDescent="0.25">
      <c r="B25" s="2" t="s">
        <v>37</v>
      </c>
      <c r="C25" s="1">
        <f>(C18/(I5*J5))</f>
        <v>27.93</v>
      </c>
      <c r="D25" s="1">
        <f>(C5/((I5*J5*J5)/6))</f>
        <v>1.2444444444444445</v>
      </c>
      <c r="E25" s="1">
        <f>(C6/((J5*I5*I5)/6))</f>
        <v>1.3511111111111112</v>
      </c>
      <c r="F25" s="1" t="s">
        <v>38</v>
      </c>
      <c r="G25" s="1">
        <f>SUM(C25-D25-E25)</f>
        <v>25.334444444444443</v>
      </c>
      <c r="M25" s="1" t="s">
        <v>66</v>
      </c>
      <c r="N25" s="1" t="s">
        <v>67</v>
      </c>
      <c r="O25" s="1">
        <f>(O24/1000)</f>
        <v>696.64950056772875</v>
      </c>
      <c r="P25" s="1"/>
      <c r="Q25" s="1"/>
    </row>
    <row r="26" spans="2:29" x14ac:dyDescent="0.25">
      <c r="W26" s="2">
        <f>(Z8/AB22)</f>
        <v>7.6413257777722663</v>
      </c>
      <c r="X26" s="1" t="s">
        <v>90</v>
      </c>
      <c r="Y26" s="2">
        <f>ROUND(W26,0)</f>
        <v>8</v>
      </c>
    </row>
    <row r="27" spans="2:29" x14ac:dyDescent="0.25">
      <c r="C27" s="1"/>
      <c r="D27" s="23" t="s">
        <v>41</v>
      </c>
      <c r="E27" s="23"/>
      <c r="F27" s="23"/>
    </row>
    <row r="28" spans="2:29" x14ac:dyDescent="0.25">
      <c r="C28" s="1" t="s">
        <v>42</v>
      </c>
      <c r="D28" s="1" t="s">
        <v>43</v>
      </c>
      <c r="E28" s="1">
        <f>(F7*G24)</f>
        <v>42.735777777777777</v>
      </c>
      <c r="F28" s="1"/>
      <c r="M28" s="1" t="s">
        <v>68</v>
      </c>
      <c r="N28" s="1">
        <v>40</v>
      </c>
      <c r="P28" s="1" t="s">
        <v>69</v>
      </c>
      <c r="Q28" s="1">
        <v>410</v>
      </c>
      <c r="W28" s="1" t="s">
        <v>91</v>
      </c>
      <c r="X28" s="1">
        <f>(100/Y26)</f>
        <v>12.5</v>
      </c>
      <c r="Y28" s="1">
        <f>ROUND(X28,0)</f>
        <v>13</v>
      </c>
    </row>
    <row r="30" spans="2:29" x14ac:dyDescent="0.25">
      <c r="M30" s="34" t="s">
        <v>70</v>
      </c>
      <c r="N30" s="34"/>
      <c r="O30" s="34"/>
      <c r="P30" s="34"/>
      <c r="Q30" s="34"/>
      <c r="W30" s="32" t="s">
        <v>92</v>
      </c>
      <c r="X30" s="32"/>
      <c r="Y30" s="32"/>
      <c r="Z30" s="32"/>
      <c r="AA30" s="32"/>
      <c r="AB30" s="32"/>
      <c r="AC30" s="32"/>
    </row>
    <row r="31" spans="2:29" x14ac:dyDescent="0.25">
      <c r="M31" s="34"/>
      <c r="N31" s="34"/>
      <c r="O31" s="34"/>
      <c r="P31" s="34"/>
      <c r="Q31" s="34"/>
      <c r="W31" s="32"/>
      <c r="X31" s="32"/>
      <c r="Y31" s="32"/>
      <c r="Z31" s="32"/>
      <c r="AA31" s="32"/>
      <c r="AB31" s="32"/>
      <c r="AC31" s="32"/>
    </row>
    <row r="32" spans="2:29" x14ac:dyDescent="0.25">
      <c r="M32" s="1"/>
      <c r="N32" s="1" t="s">
        <v>72</v>
      </c>
      <c r="O32" s="1">
        <f>(Q9*0.27*((N28/Q28)+2)*SQRT(Q6)*Q16*N16)</f>
        <v>124069.65334547215</v>
      </c>
      <c r="P32" s="1"/>
      <c r="Q32" s="1"/>
    </row>
    <row r="33" spans="13:17" x14ac:dyDescent="0.25">
      <c r="M33" s="1" t="s">
        <v>66</v>
      </c>
      <c r="N33" s="1" t="s">
        <v>73</v>
      </c>
      <c r="O33" s="1">
        <f>(O32/1000)</f>
        <v>124.06965334547215</v>
      </c>
      <c r="P33" s="1"/>
      <c r="Q33" s="1"/>
    </row>
  </sheetData>
  <mergeCells count="28">
    <mergeCell ref="Y7:AC7"/>
    <mergeCell ref="W11:AC11"/>
    <mergeCell ref="W30:AC31"/>
    <mergeCell ref="D1:H1"/>
    <mergeCell ref="M30:Q31"/>
    <mergeCell ref="Y2:AC3"/>
    <mergeCell ref="G20:H20"/>
    <mergeCell ref="D2:G2"/>
    <mergeCell ref="M22:Q23"/>
    <mergeCell ref="D27:F27"/>
    <mergeCell ref="M3:O3"/>
    <mergeCell ref="M2:Q2"/>
    <mergeCell ref="H9:I9"/>
    <mergeCell ref="M5:Q5"/>
    <mergeCell ref="M6:O7"/>
    <mergeCell ref="B22:F22"/>
    <mergeCell ref="B11:C11"/>
    <mergeCell ref="E11:G11"/>
    <mergeCell ref="E12:G12"/>
    <mergeCell ref="B14:D14"/>
    <mergeCell ref="M19:Q19"/>
    <mergeCell ref="M14:Q14"/>
    <mergeCell ref="I23:J23"/>
    <mergeCell ref="I24:J24"/>
    <mergeCell ref="I14:J14"/>
    <mergeCell ref="F14:G14"/>
    <mergeCell ref="G19:H19"/>
    <mergeCell ref="F18:I1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HAROLDO GARCIA REYES</dc:creator>
  <cp:lastModifiedBy>DELL</cp:lastModifiedBy>
  <cp:lastPrinted>2023-12-27T19:16:58Z</cp:lastPrinted>
  <dcterms:created xsi:type="dcterms:W3CDTF">2023-12-27T13:53:08Z</dcterms:created>
  <dcterms:modified xsi:type="dcterms:W3CDTF">2024-09-20T07:17:44Z</dcterms:modified>
</cp:coreProperties>
</file>