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3040" windowHeight="907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1" l="1"/>
  <c r="C54" i="1" l="1"/>
  <c r="D54" i="1"/>
  <c r="E54" i="1"/>
  <c r="C62" i="1"/>
  <c r="D62" i="1"/>
  <c r="E62" i="1"/>
  <c r="E37" i="1"/>
  <c r="D37" i="1"/>
  <c r="C37" i="1" l="1"/>
  <c r="U91" i="1" l="1"/>
  <c r="R99" i="1"/>
  <c r="R93" i="1"/>
  <c r="R94" i="1"/>
  <c r="R95" i="1"/>
  <c r="R96" i="1"/>
  <c r="R97" i="1"/>
  <c r="R98" i="1"/>
  <c r="R92" i="1"/>
  <c r="Q88" i="1"/>
  <c r="Q87" i="1"/>
  <c r="Q86" i="1"/>
  <c r="Q84" i="1"/>
  <c r="S75" i="1"/>
  <c r="S76" i="1"/>
  <c r="S77" i="1"/>
  <c r="S78" i="1"/>
  <c r="S79" i="1"/>
  <c r="S80" i="1"/>
  <c r="S74" i="1"/>
  <c r="Q81" i="1"/>
  <c r="Q74" i="1"/>
  <c r="Q77" i="1" s="1"/>
  <c r="D56" i="1"/>
  <c r="E56" i="1"/>
  <c r="C56" i="1"/>
  <c r="D48" i="1"/>
  <c r="E48" i="1"/>
  <c r="C48" i="1"/>
  <c r="D79" i="1"/>
  <c r="E79" i="1"/>
  <c r="C79" i="1"/>
  <c r="D71" i="1"/>
  <c r="E71" i="1"/>
  <c r="C71" i="1"/>
  <c r="D64" i="1"/>
  <c r="E64" i="1"/>
  <c r="C64" i="1"/>
  <c r="D39" i="1"/>
  <c r="E39" i="1"/>
  <c r="F39" i="1"/>
  <c r="C39" i="1"/>
  <c r="D32" i="1"/>
  <c r="E32" i="1"/>
  <c r="F32" i="1"/>
  <c r="C32" i="1"/>
  <c r="J10" i="1" l="1"/>
  <c r="L76" i="1"/>
  <c r="J85" i="1" l="1"/>
  <c r="K85" i="1"/>
  <c r="L85" i="1"/>
  <c r="M85" i="1"/>
  <c r="J86" i="1"/>
  <c r="K86" i="1"/>
  <c r="L86" i="1"/>
  <c r="M86" i="1"/>
  <c r="I86" i="1"/>
  <c r="I85" i="1"/>
  <c r="J84" i="1"/>
  <c r="K84" i="1"/>
  <c r="L84" i="1"/>
  <c r="M84" i="1"/>
  <c r="I84" i="1"/>
  <c r="J81" i="1"/>
  <c r="K81" i="1"/>
  <c r="L81" i="1"/>
  <c r="M81" i="1"/>
  <c r="J82" i="1"/>
  <c r="K82" i="1"/>
  <c r="L82" i="1"/>
  <c r="M82" i="1"/>
  <c r="I82" i="1"/>
  <c r="I81" i="1"/>
  <c r="J80" i="1"/>
  <c r="K80" i="1"/>
  <c r="L80" i="1"/>
  <c r="M80" i="1"/>
  <c r="I80" i="1"/>
  <c r="J77" i="1"/>
  <c r="K77" i="1"/>
  <c r="L77" i="1"/>
  <c r="M77" i="1"/>
  <c r="J78" i="1"/>
  <c r="K78" i="1"/>
  <c r="L78" i="1"/>
  <c r="M78" i="1"/>
  <c r="I78" i="1"/>
  <c r="I77" i="1"/>
  <c r="J76" i="1"/>
  <c r="K76" i="1"/>
  <c r="M76" i="1"/>
  <c r="I76" i="1"/>
  <c r="J72" i="1"/>
  <c r="K72" i="1"/>
  <c r="L72" i="1"/>
  <c r="M72" i="1"/>
  <c r="J73" i="1"/>
  <c r="K73" i="1"/>
  <c r="L73" i="1"/>
  <c r="M73" i="1"/>
  <c r="J74" i="1"/>
  <c r="K74" i="1"/>
  <c r="L74" i="1"/>
  <c r="M74" i="1"/>
  <c r="I74" i="1"/>
  <c r="I72" i="1"/>
  <c r="I73" i="1"/>
  <c r="E69" i="1" l="1"/>
  <c r="D69" i="1"/>
  <c r="C69" i="1"/>
  <c r="J7" i="1"/>
  <c r="D21" i="1" l="1"/>
  <c r="D20" i="1"/>
  <c r="D23" i="1"/>
  <c r="G22" i="1"/>
  <c r="E57" i="1" s="1"/>
  <c r="E80" i="1"/>
  <c r="C65" i="1"/>
  <c r="D80" i="1"/>
  <c r="F40" i="1"/>
  <c r="D33" i="1"/>
  <c r="E33" i="1"/>
  <c r="C72" i="1"/>
  <c r="D22" i="1"/>
  <c r="D18" i="1"/>
  <c r="D24" i="1"/>
  <c r="D19" i="1"/>
  <c r="C40" i="1"/>
  <c r="E65" i="1" l="1"/>
  <c r="F33" i="1"/>
  <c r="D72" i="1"/>
  <c r="C49" i="1"/>
  <c r="D49" i="1"/>
  <c r="C33" i="1"/>
  <c r="E49" i="1"/>
  <c r="E72" i="1"/>
  <c r="D57" i="1"/>
  <c r="E40" i="1"/>
  <c r="D40" i="1"/>
  <c r="C80" i="1"/>
  <c r="C57" i="1"/>
  <c r="D65" i="1"/>
</calcChain>
</file>

<file path=xl/sharedStrings.xml><?xml version="1.0" encoding="utf-8"?>
<sst xmlns="http://schemas.openxmlformats.org/spreadsheetml/2006/main" count="223" uniqueCount="134">
  <si>
    <t xml:space="preserve">calculo de cargas </t>
  </si>
  <si>
    <t>D</t>
  </si>
  <si>
    <t>L</t>
  </si>
  <si>
    <t>Lr</t>
  </si>
  <si>
    <t>R</t>
  </si>
  <si>
    <t>carga (kg/m^2)</t>
  </si>
  <si>
    <t>E=0.15D</t>
  </si>
  <si>
    <t>W</t>
  </si>
  <si>
    <t xml:space="preserve">Criterios de viento </t>
  </si>
  <si>
    <t xml:space="preserve">Velocidad de viento </t>
  </si>
  <si>
    <t>100kph</t>
  </si>
  <si>
    <t>Entrepiso</t>
  </si>
  <si>
    <t>U1</t>
  </si>
  <si>
    <t>U2</t>
  </si>
  <si>
    <t>U3</t>
  </si>
  <si>
    <t>U4</t>
  </si>
  <si>
    <t>U5</t>
  </si>
  <si>
    <t>U6</t>
  </si>
  <si>
    <t>U7</t>
  </si>
  <si>
    <t>carga muerta =</t>
  </si>
  <si>
    <t xml:space="preserve">densidad del concreto * espesor de losa </t>
  </si>
  <si>
    <t>Dtotal</t>
  </si>
  <si>
    <t>Ar=S</t>
  </si>
  <si>
    <t>Critica</t>
  </si>
  <si>
    <t xml:space="preserve">Calculo de cargas distribuidas </t>
  </si>
  <si>
    <t>AB</t>
  </si>
  <si>
    <t>BC</t>
  </si>
  <si>
    <t>CD</t>
  </si>
  <si>
    <t>DE</t>
  </si>
  <si>
    <t>miembro</t>
  </si>
  <si>
    <t>Area</t>
  </si>
  <si>
    <t>Carga Dis</t>
  </si>
  <si>
    <t>Ucrit</t>
  </si>
  <si>
    <t>Eje 1 y 4</t>
  </si>
  <si>
    <t>Eje 2 y 3</t>
  </si>
  <si>
    <t>1a2</t>
  </si>
  <si>
    <t>2a3</t>
  </si>
  <si>
    <t>3a4</t>
  </si>
  <si>
    <t xml:space="preserve">Eje A </t>
  </si>
  <si>
    <t>Eje B</t>
  </si>
  <si>
    <t>Eje C</t>
  </si>
  <si>
    <t>Eje E</t>
  </si>
  <si>
    <t>Eje D</t>
  </si>
  <si>
    <t>carga dist T/m</t>
  </si>
  <si>
    <t>eje 2 y 3</t>
  </si>
  <si>
    <t>Eje A</t>
  </si>
  <si>
    <t>A</t>
  </si>
  <si>
    <t>B</t>
  </si>
  <si>
    <t>C</t>
  </si>
  <si>
    <t>E</t>
  </si>
  <si>
    <t>X</t>
  </si>
  <si>
    <t>Y</t>
  </si>
  <si>
    <t>My</t>
  </si>
  <si>
    <t>My1</t>
  </si>
  <si>
    <t>P1</t>
  </si>
  <si>
    <t>P2</t>
  </si>
  <si>
    <t>P3</t>
  </si>
  <si>
    <t>P4</t>
  </si>
  <si>
    <t>My4</t>
  </si>
  <si>
    <t>My3</t>
  </si>
  <si>
    <t>My2</t>
  </si>
  <si>
    <t>PA</t>
  </si>
  <si>
    <t>Mxa</t>
  </si>
  <si>
    <t>PB</t>
  </si>
  <si>
    <t>PC</t>
  </si>
  <si>
    <t>PD</t>
  </si>
  <si>
    <t>PE</t>
  </si>
  <si>
    <t>Mxb</t>
  </si>
  <si>
    <t>Mxc</t>
  </si>
  <si>
    <t>Mxd</t>
  </si>
  <si>
    <t>Mxe</t>
  </si>
  <si>
    <t xml:space="preserve">combinacion final </t>
  </si>
  <si>
    <t>A1</t>
  </si>
  <si>
    <t>Mx</t>
  </si>
  <si>
    <t>P</t>
  </si>
  <si>
    <t>1B</t>
  </si>
  <si>
    <t>1c</t>
  </si>
  <si>
    <t>1D</t>
  </si>
  <si>
    <t>1E</t>
  </si>
  <si>
    <t>A2</t>
  </si>
  <si>
    <t>2B</t>
  </si>
  <si>
    <t>3C</t>
  </si>
  <si>
    <t>2C</t>
  </si>
  <si>
    <t>2D</t>
  </si>
  <si>
    <t>2E</t>
  </si>
  <si>
    <t>3A</t>
  </si>
  <si>
    <t>3B</t>
  </si>
  <si>
    <t>4C</t>
  </si>
  <si>
    <t>3D</t>
  </si>
  <si>
    <t>5E</t>
  </si>
  <si>
    <t>4A</t>
  </si>
  <si>
    <t>4B</t>
  </si>
  <si>
    <t>4D</t>
  </si>
  <si>
    <t>4E</t>
  </si>
  <si>
    <t>Seccion de colimna</t>
  </si>
  <si>
    <t>Seccion de viga</t>
  </si>
  <si>
    <t>0.35*0.35</t>
  </si>
  <si>
    <t xml:space="preserve">Ejes longitudinales </t>
  </si>
  <si>
    <t xml:space="preserve">Ejes tranversales </t>
  </si>
  <si>
    <t>Longitud</t>
  </si>
  <si>
    <t xml:space="preserve">Utilizable </t>
  </si>
  <si>
    <t xml:space="preserve">Convergencia entre marcos </t>
  </si>
  <si>
    <t>Factores</t>
  </si>
  <si>
    <t>% cargas</t>
  </si>
  <si>
    <t>Total</t>
  </si>
  <si>
    <t>Promedio Aritmetico</t>
  </si>
  <si>
    <t>Parit=</t>
  </si>
  <si>
    <t>Media Aritemetica</t>
  </si>
  <si>
    <t>MAX</t>
  </si>
  <si>
    <t>MIN</t>
  </si>
  <si>
    <t>Med.Arit=</t>
  </si>
  <si>
    <t xml:space="preserve">Promedio ponderado </t>
  </si>
  <si>
    <t>FCU Critico promedio ponderado</t>
  </si>
  <si>
    <t>sumatoria</t>
  </si>
  <si>
    <t>FCU =</t>
  </si>
  <si>
    <t>Datos cargas</t>
  </si>
  <si>
    <t xml:space="preserve">Ejes transversales Ordenados </t>
  </si>
  <si>
    <t>Densidad concreto en funcion del diametro de piedrin para este caso diamtreo=0.043</t>
  </si>
  <si>
    <t xml:space="preserve">ACI 318-19 lasas no preesdforzadas en 2 direcciones espesor de losa usando un Fy=40000psi =L/36 donde L es la longitud mas critica </t>
  </si>
  <si>
    <t xml:space="preserve">Dimetro q piedrin </t>
  </si>
  <si>
    <t>1/5 del encofrado</t>
  </si>
  <si>
    <t>1/3 espesor de losa</t>
  </si>
  <si>
    <t xml:space="preserve">3/4 de separacion entre varillas </t>
  </si>
  <si>
    <t>Diagrams obtenidos en Ftools</t>
  </si>
  <si>
    <t xml:space="preserve">Para determinas Pz valores de constante obtenidos de las tablas que indica agies valores tomados a criterio </t>
  </si>
  <si>
    <t xml:space="preserve">Carga por lluvia </t>
  </si>
  <si>
    <t>Asumiendo una altura de fluido acumulado de 8cm multiplicando por la densidad para obtener la carga en kg/m^2</t>
  </si>
  <si>
    <t>Predimencionamiento</t>
  </si>
  <si>
    <t>según table por interpolacion densidad =2427.5kg/m^3</t>
  </si>
  <si>
    <t>Fy</t>
  </si>
  <si>
    <t>Fc</t>
  </si>
  <si>
    <r>
      <rPr>
        <sz val="11"/>
        <color theme="1"/>
        <rFont val="Calibri"/>
        <family val="2"/>
      </rPr>
      <t>˚</t>
    </r>
    <r>
      <rPr>
        <sz val="14.3"/>
        <color theme="1"/>
        <rFont val="Calibri"/>
        <family val="2"/>
      </rPr>
      <t>40</t>
    </r>
  </si>
  <si>
    <t>4000psi</t>
  </si>
  <si>
    <t>2427.5*0.13=315.51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</si>
</sst>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4.3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Fill="1" applyBorder="1"/>
    <xf numFmtId="0" fontId="0" fillId="0" borderId="10" xfId="0" applyBorder="1"/>
    <xf numFmtId="2" fontId="0" fillId="0" borderId="1" xfId="0" applyNumberFormat="1" applyBorder="1"/>
    <xf numFmtId="0" fontId="0" fillId="6" borderId="11" xfId="0" applyFill="1" applyBorder="1"/>
    <xf numFmtId="9" fontId="0" fillId="0" borderId="1" xfId="0" applyNumberFormat="1" applyBorder="1"/>
    <xf numFmtId="0" fontId="0" fillId="6" borderId="0" xfId="0" applyFill="1"/>
    <xf numFmtId="0" fontId="0" fillId="6" borderId="1" xfId="0" applyFill="1" applyBorder="1"/>
    <xf numFmtId="0" fontId="0" fillId="7" borderId="1" xfId="0" applyFill="1" applyBorder="1"/>
    <xf numFmtId="2" fontId="0" fillId="7" borderId="1" xfId="0" applyNumberFormat="1" applyFill="1" applyBorder="1"/>
    <xf numFmtId="0" fontId="0" fillId="3" borderId="0" xfId="0" applyFill="1"/>
    <xf numFmtId="0" fontId="0" fillId="4" borderId="12" xfId="0" applyFill="1" applyBorder="1"/>
    <xf numFmtId="0" fontId="0" fillId="3" borderId="1" xfId="0" applyFill="1" applyBorder="1"/>
    <xf numFmtId="0" fontId="1" fillId="0" borderId="1" xfId="0" applyFont="1" applyBorder="1"/>
    <xf numFmtId="0" fontId="2" fillId="0" borderId="0" xfId="0" applyFont="1"/>
    <xf numFmtId="0" fontId="0" fillId="5" borderId="1" xfId="0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jpe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504973</xdr:colOff>
      <xdr:row>2</xdr:row>
      <xdr:rowOff>187668</xdr:rowOff>
    </xdr:from>
    <xdr:to>
      <xdr:col>7</xdr:col>
      <xdr:colOff>703093</xdr:colOff>
      <xdr:row>15</xdr:row>
      <xdr:rowOff>45926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77954" y="578437"/>
          <a:ext cx="3983697" cy="2398258"/>
        </a:xfrm>
        <a:prstGeom prst="rect">
          <a:avLst/>
        </a:prstGeom>
      </xdr:spPr>
    </xdr:pic>
    <xdr:clientData/>
  </xdr:twoCellAnchor>
  <xdr:twoCellAnchor editAs="oneCell">
    <xdr:from>
      <xdr:col>10</xdr:col>
      <xdr:colOff>768024</xdr:colOff>
      <xdr:row>4</xdr:row>
      <xdr:rowOff>143296</xdr:rowOff>
    </xdr:from>
    <xdr:to>
      <xdr:col>14</xdr:col>
      <xdr:colOff>246431</xdr:colOff>
      <xdr:row>6</xdr:row>
      <xdr:rowOff>181396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38055" y="905296"/>
          <a:ext cx="2740720" cy="419100"/>
        </a:xfrm>
        <a:prstGeom prst="rect">
          <a:avLst/>
        </a:prstGeom>
      </xdr:spPr>
    </xdr:pic>
    <xdr:clientData/>
  </xdr:twoCellAnchor>
  <xdr:twoCellAnchor editAs="oneCell">
    <xdr:from>
      <xdr:col>10</xdr:col>
      <xdr:colOff>710895</xdr:colOff>
      <xdr:row>10</xdr:row>
      <xdr:rowOff>23813</xdr:rowOff>
    </xdr:from>
    <xdr:to>
      <xdr:col>15</xdr:col>
      <xdr:colOff>182772</xdr:colOff>
      <xdr:row>19</xdr:row>
      <xdr:rowOff>66106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80926" y="1928813"/>
          <a:ext cx="3496190" cy="1804418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23</xdr:row>
      <xdr:rowOff>1</xdr:rowOff>
    </xdr:from>
    <xdr:to>
      <xdr:col>15</xdr:col>
      <xdr:colOff>286872</xdr:colOff>
      <xdr:row>37</xdr:row>
      <xdr:rowOff>145641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72789" y="4542693"/>
          <a:ext cx="5147064" cy="288102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41</xdr:row>
      <xdr:rowOff>0</xdr:rowOff>
    </xdr:from>
    <xdr:to>
      <xdr:col>14</xdr:col>
      <xdr:colOff>726142</xdr:colOff>
      <xdr:row>54</xdr:row>
      <xdr:rowOff>21754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84720" y="7498080"/>
          <a:ext cx="4998720" cy="2399194"/>
        </a:xfrm>
        <a:prstGeom prst="rect">
          <a:avLst/>
        </a:prstGeom>
      </xdr:spPr>
    </xdr:pic>
    <xdr:clientData/>
  </xdr:twoCellAnchor>
  <xdr:twoCellAnchor editAs="oneCell">
    <xdr:from>
      <xdr:col>15</xdr:col>
      <xdr:colOff>609600</xdr:colOff>
      <xdr:row>22</xdr:row>
      <xdr:rowOff>1</xdr:rowOff>
    </xdr:from>
    <xdr:to>
      <xdr:col>22</xdr:col>
      <xdr:colOff>205694</xdr:colOff>
      <xdr:row>36</xdr:row>
      <xdr:rowOff>30481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694024" y="3944472"/>
          <a:ext cx="5118353" cy="2540597"/>
        </a:xfrm>
        <a:prstGeom prst="rect">
          <a:avLst/>
        </a:prstGeom>
      </xdr:spPr>
    </xdr:pic>
    <xdr:clientData/>
  </xdr:twoCellAnchor>
  <xdr:twoCellAnchor editAs="oneCell">
    <xdr:from>
      <xdr:col>16</xdr:col>
      <xdr:colOff>1</xdr:colOff>
      <xdr:row>40</xdr:row>
      <xdr:rowOff>0</xdr:rowOff>
    </xdr:from>
    <xdr:to>
      <xdr:col>22</xdr:col>
      <xdr:colOff>133351</xdr:colOff>
      <xdr:row>54</xdr:row>
      <xdr:rowOff>113335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030201" y="7620000"/>
          <a:ext cx="4933950" cy="278033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22</xdr:row>
      <xdr:rowOff>0</xdr:rowOff>
    </xdr:from>
    <xdr:to>
      <xdr:col>28</xdr:col>
      <xdr:colOff>553075</xdr:colOff>
      <xdr:row>35</xdr:row>
      <xdr:rowOff>91440</xdr:rowOff>
    </xdr:to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470880" y="4023360"/>
          <a:ext cx="4515475" cy="246888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40</xdr:row>
      <xdr:rowOff>0</xdr:rowOff>
    </xdr:from>
    <xdr:to>
      <xdr:col>28</xdr:col>
      <xdr:colOff>731520</xdr:colOff>
      <xdr:row>54</xdr:row>
      <xdr:rowOff>67236</xdr:rowOff>
    </xdr:to>
    <xdr:pic>
      <xdr:nvPicPr>
        <xdr:cNvPr id="18" name="Imagen 1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470880" y="7315200"/>
          <a:ext cx="4693920" cy="2627556"/>
        </a:xfrm>
        <a:prstGeom prst="rect">
          <a:avLst/>
        </a:prstGeom>
      </xdr:spPr>
    </xdr:pic>
    <xdr:clientData/>
  </xdr:twoCellAnchor>
  <xdr:twoCellAnchor editAs="oneCell">
    <xdr:from>
      <xdr:col>30</xdr:col>
      <xdr:colOff>1</xdr:colOff>
      <xdr:row>22</xdr:row>
      <xdr:rowOff>0</xdr:rowOff>
    </xdr:from>
    <xdr:to>
      <xdr:col>35</xdr:col>
      <xdr:colOff>666751</xdr:colOff>
      <xdr:row>35</xdr:row>
      <xdr:rowOff>1291</xdr:rowOff>
    </xdr:to>
    <xdr:pic>
      <xdr:nvPicPr>
        <xdr:cNvPr id="19" name="Imagen 1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4231601" y="4191000"/>
          <a:ext cx="4667250" cy="2474205"/>
        </a:xfrm>
        <a:prstGeom prst="rect">
          <a:avLst/>
        </a:prstGeom>
      </xdr:spPr>
    </xdr:pic>
    <xdr:clientData/>
  </xdr:twoCellAnchor>
  <xdr:twoCellAnchor>
    <xdr:from>
      <xdr:col>5</xdr:col>
      <xdr:colOff>726141</xdr:colOff>
      <xdr:row>27</xdr:row>
      <xdr:rowOff>89647</xdr:rowOff>
    </xdr:from>
    <xdr:to>
      <xdr:col>6</xdr:col>
      <xdr:colOff>555811</xdr:colOff>
      <xdr:row>32</xdr:row>
      <xdr:rowOff>107576</xdr:rowOff>
    </xdr:to>
    <xdr:cxnSp macro="">
      <xdr:nvCxnSpPr>
        <xdr:cNvPr id="21" name="Conector recto de flecha 20"/>
        <xdr:cNvCxnSpPr/>
      </xdr:nvCxnSpPr>
      <xdr:spPr>
        <a:xfrm flipH="1">
          <a:off x="4823012" y="4930588"/>
          <a:ext cx="618564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502023</xdr:colOff>
      <xdr:row>25</xdr:row>
      <xdr:rowOff>152400</xdr:rowOff>
    </xdr:from>
    <xdr:to>
      <xdr:col>8</xdr:col>
      <xdr:colOff>699247</xdr:colOff>
      <xdr:row>30</xdr:row>
      <xdr:rowOff>35858</xdr:rowOff>
    </xdr:to>
    <xdr:sp macro="" textlink="">
      <xdr:nvSpPr>
        <xdr:cNvPr id="24" name="CuadroTexto 23"/>
        <xdr:cNvSpPr txBox="1"/>
      </xdr:nvSpPr>
      <xdr:spPr>
        <a:xfrm>
          <a:off x="5387788" y="4634753"/>
          <a:ext cx="1775012" cy="7799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Carga distribuida=(Area tributaria*Carga critica)/Longitud</a:t>
          </a:r>
        </a:p>
      </xdr:txBody>
    </xdr:sp>
    <xdr:clientData/>
  </xdr:twoCellAnchor>
  <xdr:twoCellAnchor>
    <xdr:from>
      <xdr:col>10</xdr:col>
      <xdr:colOff>62753</xdr:colOff>
      <xdr:row>2</xdr:row>
      <xdr:rowOff>35859</xdr:rowOff>
    </xdr:from>
    <xdr:to>
      <xdr:col>10</xdr:col>
      <xdr:colOff>394447</xdr:colOff>
      <xdr:row>4</xdr:row>
      <xdr:rowOff>62753</xdr:rowOff>
    </xdr:to>
    <xdr:cxnSp macro="">
      <xdr:nvCxnSpPr>
        <xdr:cNvPr id="26" name="Conector recto de flecha 25"/>
        <xdr:cNvCxnSpPr/>
      </xdr:nvCxnSpPr>
      <xdr:spPr>
        <a:xfrm flipV="1">
          <a:off x="8202706" y="394447"/>
          <a:ext cx="331694" cy="38548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71718</xdr:colOff>
      <xdr:row>1</xdr:row>
      <xdr:rowOff>80682</xdr:rowOff>
    </xdr:from>
    <xdr:to>
      <xdr:col>14</xdr:col>
      <xdr:colOff>779930</xdr:colOff>
      <xdr:row>1</xdr:row>
      <xdr:rowOff>80682</xdr:rowOff>
    </xdr:to>
    <xdr:cxnSp macro="">
      <xdr:nvCxnSpPr>
        <xdr:cNvPr id="28" name="Conector recto de flecha 27"/>
        <xdr:cNvCxnSpPr/>
      </xdr:nvCxnSpPr>
      <xdr:spPr>
        <a:xfrm>
          <a:off x="11582400" y="259976"/>
          <a:ext cx="70821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107576</xdr:colOff>
      <xdr:row>3</xdr:row>
      <xdr:rowOff>26894</xdr:rowOff>
    </xdr:from>
    <xdr:to>
      <xdr:col>18</xdr:col>
      <xdr:colOff>116541</xdr:colOff>
      <xdr:row>5</xdr:row>
      <xdr:rowOff>8964</xdr:rowOff>
    </xdr:to>
    <xdr:cxnSp macro="">
      <xdr:nvCxnSpPr>
        <xdr:cNvPr id="30" name="Conector recto de flecha 29"/>
        <xdr:cNvCxnSpPr/>
      </xdr:nvCxnSpPr>
      <xdr:spPr>
        <a:xfrm>
          <a:off x="14773835" y="564776"/>
          <a:ext cx="8965" cy="34065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161365</xdr:colOff>
      <xdr:row>1</xdr:row>
      <xdr:rowOff>170330</xdr:rowOff>
    </xdr:from>
    <xdr:to>
      <xdr:col>24</xdr:col>
      <xdr:colOff>8964</xdr:colOff>
      <xdr:row>2</xdr:row>
      <xdr:rowOff>8965</xdr:rowOff>
    </xdr:to>
    <xdr:cxnSp macro="">
      <xdr:nvCxnSpPr>
        <xdr:cNvPr id="34" name="Conector recto de flecha 33"/>
        <xdr:cNvCxnSpPr/>
      </xdr:nvCxnSpPr>
      <xdr:spPr>
        <a:xfrm flipV="1">
          <a:off x="17983200" y="349624"/>
          <a:ext cx="1425388" cy="1792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93784</xdr:colOff>
      <xdr:row>8</xdr:row>
      <xdr:rowOff>52753</xdr:rowOff>
    </xdr:from>
    <xdr:to>
      <xdr:col>10</xdr:col>
      <xdr:colOff>838200</xdr:colOff>
      <xdr:row>12</xdr:row>
      <xdr:rowOff>93785</xdr:rowOff>
    </xdr:to>
    <xdr:cxnSp macro="">
      <xdr:nvCxnSpPr>
        <xdr:cNvPr id="36" name="Conector recto de flecha 35"/>
        <xdr:cNvCxnSpPr/>
      </xdr:nvCxnSpPr>
      <xdr:spPr>
        <a:xfrm flipV="1">
          <a:off x="8253046" y="1506415"/>
          <a:ext cx="744416" cy="7678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556846</xdr:colOff>
      <xdr:row>12</xdr:row>
      <xdr:rowOff>35170</xdr:rowOff>
    </xdr:from>
    <xdr:to>
      <xdr:col>16</xdr:col>
      <xdr:colOff>486507</xdr:colOff>
      <xdr:row>12</xdr:row>
      <xdr:rowOff>41031</xdr:rowOff>
    </xdr:to>
    <xdr:cxnSp macro="">
      <xdr:nvCxnSpPr>
        <xdr:cNvPr id="38" name="Conector recto de flecha 37"/>
        <xdr:cNvCxnSpPr/>
      </xdr:nvCxnSpPr>
      <xdr:spPr>
        <a:xfrm>
          <a:off x="12889523" y="2215662"/>
          <a:ext cx="720969" cy="586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6</xdr:col>
      <xdr:colOff>193431</xdr:colOff>
      <xdr:row>15</xdr:row>
      <xdr:rowOff>38100</xdr:rowOff>
    </xdr:from>
    <xdr:ext cx="65" cy="172227"/>
    <xdr:sp macro="" textlink="">
      <xdr:nvSpPr>
        <xdr:cNvPr id="39" name="CuadroTexto 38"/>
        <xdr:cNvSpPr txBox="1"/>
      </xdr:nvSpPr>
      <xdr:spPr>
        <a:xfrm>
          <a:off x="5093677" y="27637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 editAs="oneCell">
    <xdr:from>
      <xdr:col>0</xdr:col>
      <xdr:colOff>170961</xdr:colOff>
      <xdr:row>2</xdr:row>
      <xdr:rowOff>109904</xdr:rowOff>
    </xdr:from>
    <xdr:to>
      <xdr:col>2</xdr:col>
      <xdr:colOff>744904</xdr:colOff>
      <xdr:row>12</xdr:row>
      <xdr:rowOff>151569</xdr:rowOff>
    </xdr:to>
    <xdr:pic>
      <xdr:nvPicPr>
        <xdr:cNvPr id="22" name="Imagen 21" descr="C:\Users\DELL\Downloads\WhatsApp Image 2024-09-16 at 4.15.45 PM.jpeg"/>
        <xdr:cNvPicPr/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961" y="500673"/>
          <a:ext cx="2246924" cy="199551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99"/>
  <sheetViews>
    <sheetView tabSelected="1" topLeftCell="A14" zoomScale="80" zoomScaleNormal="78" workbookViewId="0">
      <selection activeCell="F37" sqref="F37"/>
    </sheetView>
  </sheetViews>
  <sheetFormatPr baseColWidth="10" defaultRowHeight="15" x14ac:dyDescent="0.25"/>
  <cols>
    <col min="2" max="2" width="13.7109375" customWidth="1"/>
    <col min="10" max="10" width="12.85546875" customWidth="1"/>
    <col min="11" max="11" width="14.7109375" customWidth="1"/>
  </cols>
  <sheetData>
    <row r="1" spans="5:26" x14ac:dyDescent="0.25">
      <c r="Y1" t="s">
        <v>119</v>
      </c>
    </row>
    <row r="2" spans="5:26" x14ac:dyDescent="0.25">
      <c r="K2" s="18" t="s">
        <v>19</v>
      </c>
      <c r="L2" s="18" t="s">
        <v>20</v>
      </c>
      <c r="M2" s="18"/>
      <c r="N2" s="18"/>
      <c r="P2" s="22" t="s">
        <v>117</v>
      </c>
      <c r="Q2" s="22"/>
      <c r="R2" s="22"/>
      <c r="S2" s="22"/>
      <c r="T2" s="22"/>
      <c r="U2" s="22"/>
      <c r="V2" s="22"/>
      <c r="Y2" t="s">
        <v>120</v>
      </c>
    </row>
    <row r="3" spans="5:26" x14ac:dyDescent="0.25">
      <c r="E3" t="s">
        <v>0</v>
      </c>
      <c r="L3" t="s">
        <v>133</v>
      </c>
      <c r="P3" s="22" t="s">
        <v>128</v>
      </c>
      <c r="Q3" s="22"/>
      <c r="R3" s="22"/>
      <c r="S3" s="22"/>
      <c r="T3" s="22"/>
      <c r="U3" s="22"/>
      <c r="V3" s="22"/>
      <c r="Y3" t="s">
        <v>121</v>
      </c>
    </row>
    <row r="4" spans="5:26" x14ac:dyDescent="0.25">
      <c r="J4" t="s">
        <v>5</v>
      </c>
      <c r="L4" t="s">
        <v>8</v>
      </c>
      <c r="Y4" t="s">
        <v>122</v>
      </c>
    </row>
    <row r="5" spans="5:26" x14ac:dyDescent="0.25">
      <c r="I5" t="s">
        <v>1</v>
      </c>
      <c r="J5">
        <v>315.51</v>
      </c>
    </row>
    <row r="6" spans="5:26" x14ac:dyDescent="0.25">
      <c r="I6" t="s">
        <v>11</v>
      </c>
      <c r="J6">
        <v>90</v>
      </c>
      <c r="Q6" s="22" t="s">
        <v>118</v>
      </c>
      <c r="R6" s="22"/>
      <c r="S6" s="22"/>
      <c r="T6" s="22"/>
      <c r="U6" s="22"/>
      <c r="V6" s="22"/>
      <c r="W6" s="22"/>
      <c r="X6" s="22"/>
      <c r="Y6" s="22"/>
      <c r="Z6" s="22"/>
    </row>
    <row r="7" spans="5:26" x14ac:dyDescent="0.25">
      <c r="I7" t="s">
        <v>21</v>
      </c>
      <c r="J7">
        <f>SUM(J5:J6)</f>
        <v>405.51</v>
      </c>
    </row>
    <row r="8" spans="5:26" x14ac:dyDescent="0.25">
      <c r="I8" t="s">
        <v>2</v>
      </c>
      <c r="J8">
        <v>250</v>
      </c>
      <c r="L8" t="s">
        <v>9</v>
      </c>
      <c r="N8" t="s">
        <v>10</v>
      </c>
    </row>
    <row r="9" spans="5:26" x14ac:dyDescent="0.25">
      <c r="I9" t="s">
        <v>3</v>
      </c>
      <c r="J9">
        <v>200</v>
      </c>
    </row>
    <row r="10" spans="5:26" x14ac:dyDescent="0.25">
      <c r="I10" t="s">
        <v>6</v>
      </c>
      <c r="J10">
        <f>0.15*J7</f>
        <v>60.826499999999996</v>
      </c>
    </row>
    <row r="11" spans="5:26" x14ac:dyDescent="0.25">
      <c r="I11" t="s">
        <v>4</v>
      </c>
      <c r="J11">
        <v>80</v>
      </c>
    </row>
    <row r="12" spans="5:26" x14ac:dyDescent="0.25">
      <c r="I12" t="s">
        <v>22</v>
      </c>
      <c r="J12">
        <v>80</v>
      </c>
      <c r="R12" s="22" t="s">
        <v>124</v>
      </c>
      <c r="S12" s="22"/>
      <c r="T12" s="22"/>
      <c r="U12" s="22"/>
      <c r="V12" s="22"/>
      <c r="W12" s="22"/>
      <c r="X12" s="22"/>
      <c r="Y12" s="22"/>
    </row>
    <row r="13" spans="5:26" x14ac:dyDescent="0.25">
      <c r="I13" t="s">
        <v>7</v>
      </c>
      <c r="J13">
        <v>48.72</v>
      </c>
    </row>
    <row r="15" spans="5:26" x14ac:dyDescent="0.25">
      <c r="Q15" s="23" t="s">
        <v>125</v>
      </c>
      <c r="R15" s="23"/>
    </row>
    <row r="16" spans="5:26" x14ac:dyDescent="0.25">
      <c r="H16" s="25"/>
      <c r="I16" s="25" t="s">
        <v>127</v>
      </c>
      <c r="J16" s="25"/>
      <c r="Q16" s="24" t="s">
        <v>126</v>
      </c>
      <c r="R16" s="24"/>
      <c r="S16" s="24"/>
      <c r="T16" s="24"/>
      <c r="U16" s="24"/>
      <c r="V16" s="24"/>
      <c r="W16" s="24"/>
      <c r="X16" s="24"/>
      <c r="Y16" s="24"/>
    </row>
    <row r="17" spans="2:31" x14ac:dyDescent="0.25">
      <c r="H17" s="2" t="s">
        <v>94</v>
      </c>
      <c r="I17" s="2"/>
      <c r="J17" s="2" t="s">
        <v>96</v>
      </c>
    </row>
    <row r="18" spans="2:31" x14ac:dyDescent="0.25">
      <c r="C18" t="s">
        <v>12</v>
      </c>
      <c r="D18">
        <f>1.4*(J7)</f>
        <v>567.71399999999994</v>
      </c>
      <c r="H18" s="2" t="s">
        <v>95</v>
      </c>
      <c r="I18" s="2"/>
      <c r="J18" s="2" t="s">
        <v>96</v>
      </c>
    </row>
    <row r="19" spans="2:31" ht="18.75" x14ac:dyDescent="0.3">
      <c r="C19" t="s">
        <v>13</v>
      </c>
      <c r="D19">
        <f>1.2*(J7)+1.6*(J8)+0.5*(J9)</f>
        <v>986.61199999999997</v>
      </c>
      <c r="H19" t="s">
        <v>129</v>
      </c>
      <c r="I19" s="26" t="s">
        <v>131</v>
      </c>
    </row>
    <row r="20" spans="2:31" x14ac:dyDescent="0.25">
      <c r="C20" s="1" t="s">
        <v>14</v>
      </c>
      <c r="D20" s="1">
        <f>1.2*(J7)+1.6*(J9)+1*(J8)</f>
        <v>1056.6120000000001</v>
      </c>
      <c r="E20" s="1" t="s">
        <v>23</v>
      </c>
      <c r="H20" t="s">
        <v>130</v>
      </c>
      <c r="I20" t="s">
        <v>132</v>
      </c>
    </row>
    <row r="21" spans="2:31" x14ac:dyDescent="0.25">
      <c r="C21" t="s">
        <v>15</v>
      </c>
      <c r="D21">
        <f>1.2*(J7)+1*(J13)+1*(J8)+0.5*(J9)</f>
        <v>885.33199999999999</v>
      </c>
      <c r="M21" s="22" t="s">
        <v>123</v>
      </c>
      <c r="N21" s="22"/>
      <c r="O21" s="22"/>
    </row>
    <row r="22" spans="2:31" x14ac:dyDescent="0.25">
      <c r="C22" t="s">
        <v>16</v>
      </c>
      <c r="D22">
        <f>1.2*(J7)+1*(J10)+1*(J8)+0.2*(J12)</f>
        <v>813.43849999999998</v>
      </c>
      <c r="F22" t="s">
        <v>32</v>
      </c>
      <c r="G22">
        <f>D20</f>
        <v>1056.6120000000001</v>
      </c>
      <c r="Q22" t="s">
        <v>45</v>
      </c>
      <c r="X22" t="s">
        <v>40</v>
      </c>
      <c r="AE22" t="s">
        <v>41</v>
      </c>
    </row>
    <row r="23" spans="2:31" x14ac:dyDescent="0.25">
      <c r="C23" t="s">
        <v>17</v>
      </c>
      <c r="D23">
        <f>0.9*(J7)+1*(J13)</f>
        <v>413.67899999999997</v>
      </c>
      <c r="K23" t="s">
        <v>33</v>
      </c>
    </row>
    <row r="24" spans="2:31" x14ac:dyDescent="0.25">
      <c r="C24" t="s">
        <v>18</v>
      </c>
      <c r="D24">
        <f>0.9*(J7)+1*(J10)</f>
        <v>425.78550000000001</v>
      </c>
    </row>
    <row r="27" spans="2:31" x14ac:dyDescent="0.25">
      <c r="B27" s="2"/>
      <c r="C27" s="2" t="s">
        <v>24</v>
      </c>
      <c r="D27" s="2"/>
      <c r="E27" s="2"/>
      <c r="F27" s="2"/>
    </row>
    <row r="28" spans="2:31" x14ac:dyDescent="0.25">
      <c r="B28" s="2"/>
      <c r="C28" s="2" t="s">
        <v>33</v>
      </c>
      <c r="D28" s="2"/>
      <c r="E28" s="2"/>
      <c r="F28" s="2"/>
    </row>
    <row r="29" spans="2:31" x14ac:dyDescent="0.25">
      <c r="B29" s="2" t="s">
        <v>29</v>
      </c>
      <c r="C29" s="2" t="s">
        <v>25</v>
      </c>
      <c r="D29" s="2" t="s">
        <v>26</v>
      </c>
      <c r="E29" s="2" t="s">
        <v>27</v>
      </c>
      <c r="F29" s="2" t="s">
        <v>28</v>
      </c>
    </row>
    <row r="30" spans="2:31" x14ac:dyDescent="0.25">
      <c r="B30" s="2" t="s">
        <v>30</v>
      </c>
      <c r="C30" s="2">
        <v>2.25</v>
      </c>
      <c r="D30" s="2">
        <v>2.25</v>
      </c>
      <c r="E30" s="2">
        <v>3.0625</v>
      </c>
      <c r="F30" s="2">
        <v>3.0625</v>
      </c>
    </row>
    <row r="31" spans="2:31" x14ac:dyDescent="0.25">
      <c r="B31" s="2" t="s">
        <v>99</v>
      </c>
      <c r="C31" s="2">
        <v>3.5</v>
      </c>
      <c r="D31" s="2">
        <v>3.5</v>
      </c>
      <c r="E31" s="2">
        <v>4.5</v>
      </c>
      <c r="F31" s="2">
        <v>5</v>
      </c>
    </row>
    <row r="32" spans="2:31" x14ac:dyDescent="0.25">
      <c r="B32" s="2" t="s">
        <v>31</v>
      </c>
      <c r="C32" s="2">
        <f>($G$22*C30)/C31</f>
        <v>679.25057142857156</v>
      </c>
      <c r="D32" s="2">
        <f t="shared" ref="D32:F32" si="0">($G$22*D30)/D31</f>
        <v>679.25057142857156</v>
      </c>
      <c r="E32" s="2">
        <f t="shared" si="0"/>
        <v>719.08316666666678</v>
      </c>
      <c r="F32" s="2">
        <f t="shared" si="0"/>
        <v>647.17485000000011</v>
      </c>
    </row>
    <row r="33" spans="2:24" x14ac:dyDescent="0.25">
      <c r="B33" s="13" t="s">
        <v>43</v>
      </c>
      <c r="C33" s="2">
        <f>C32/1000</f>
        <v>0.67925057142857159</v>
      </c>
      <c r="D33" s="2">
        <f t="shared" ref="D33:F33" si="1">D32/1000</f>
        <v>0.67925057142857159</v>
      </c>
      <c r="E33" s="2">
        <f t="shared" si="1"/>
        <v>0.71908316666666683</v>
      </c>
      <c r="F33" s="2">
        <f t="shared" si="1"/>
        <v>0.64717485000000008</v>
      </c>
    </row>
    <row r="35" spans="2:24" x14ac:dyDescent="0.25">
      <c r="B35" s="2"/>
      <c r="C35" s="2" t="s">
        <v>34</v>
      </c>
      <c r="D35" s="2"/>
      <c r="E35" s="2"/>
      <c r="F35" s="2"/>
    </row>
    <row r="36" spans="2:24" x14ac:dyDescent="0.25">
      <c r="B36" s="2" t="s">
        <v>29</v>
      </c>
      <c r="C36" s="2" t="s">
        <v>25</v>
      </c>
      <c r="D36" s="2" t="s">
        <v>26</v>
      </c>
      <c r="E36" s="2" t="s">
        <v>27</v>
      </c>
      <c r="F36" s="2" t="s">
        <v>28</v>
      </c>
    </row>
    <row r="37" spans="2:24" x14ac:dyDescent="0.25">
      <c r="B37" s="2" t="s">
        <v>30</v>
      </c>
      <c r="C37" s="2">
        <f>2*C30</f>
        <v>4.5</v>
      </c>
      <c r="D37" s="2">
        <f>2*D30</f>
        <v>4.5</v>
      </c>
      <c r="E37" s="2">
        <f>2*E30</f>
        <v>6.125</v>
      </c>
      <c r="F37" s="2">
        <f>2*F30</f>
        <v>6.125</v>
      </c>
    </row>
    <row r="38" spans="2:24" x14ac:dyDescent="0.25">
      <c r="B38" s="2" t="s">
        <v>99</v>
      </c>
      <c r="C38" s="2">
        <v>3.5</v>
      </c>
      <c r="D38" s="2">
        <v>3.5</v>
      </c>
      <c r="E38" s="2">
        <v>4.5</v>
      </c>
      <c r="F38" s="2">
        <v>5</v>
      </c>
    </row>
    <row r="39" spans="2:24" x14ac:dyDescent="0.25">
      <c r="B39" s="2" t="s">
        <v>31</v>
      </c>
      <c r="C39" s="2">
        <f>($G$22*C37)/C38</f>
        <v>1358.5011428571431</v>
      </c>
      <c r="D39" s="2">
        <f t="shared" ref="D39:F39" si="2">($G$22*D37)/D38</f>
        <v>1358.5011428571431</v>
      </c>
      <c r="E39" s="2">
        <f t="shared" si="2"/>
        <v>1438.1663333333336</v>
      </c>
      <c r="F39" s="2">
        <f t="shared" si="2"/>
        <v>1294.3497000000002</v>
      </c>
      <c r="Q39" t="s">
        <v>39</v>
      </c>
      <c r="X39" t="s">
        <v>42</v>
      </c>
    </row>
    <row r="40" spans="2:24" x14ac:dyDescent="0.25">
      <c r="B40" s="13" t="s">
        <v>43</v>
      </c>
      <c r="C40" s="2">
        <f>C39/1000</f>
        <v>1.3585011428571432</v>
      </c>
      <c r="D40" s="2">
        <f t="shared" ref="D40:F40" si="3">D39/1000</f>
        <v>1.3585011428571432</v>
      </c>
      <c r="E40" s="2">
        <f t="shared" si="3"/>
        <v>1.4381663333333337</v>
      </c>
      <c r="F40" s="2">
        <f t="shared" si="3"/>
        <v>1.2943497000000002</v>
      </c>
      <c r="J40" t="s">
        <v>44</v>
      </c>
    </row>
    <row r="43" spans="2:24" x14ac:dyDescent="0.25">
      <c r="B43" s="2"/>
      <c r="C43" s="2" t="s">
        <v>24</v>
      </c>
      <c r="D43" s="2"/>
      <c r="E43" s="2"/>
      <c r="F43" s="14"/>
    </row>
    <row r="44" spans="2:24" x14ac:dyDescent="0.25">
      <c r="B44" s="2"/>
      <c r="C44" s="2" t="s">
        <v>38</v>
      </c>
      <c r="D44" s="2"/>
      <c r="E44" s="2"/>
      <c r="F44" s="14"/>
    </row>
    <row r="45" spans="2:24" x14ac:dyDescent="0.25">
      <c r="B45" s="2" t="s">
        <v>29</v>
      </c>
      <c r="C45" s="3" t="s">
        <v>35</v>
      </c>
      <c r="D45" s="2" t="s">
        <v>36</v>
      </c>
      <c r="E45" s="2" t="s">
        <v>37</v>
      </c>
      <c r="F45" s="14"/>
    </row>
    <row r="46" spans="2:24" x14ac:dyDescent="0.25">
      <c r="B46" s="2" t="s">
        <v>30</v>
      </c>
      <c r="C46" s="2">
        <v>5.6875</v>
      </c>
      <c r="D46" s="2">
        <v>4.8125</v>
      </c>
      <c r="E46" s="2">
        <v>4.8125</v>
      </c>
      <c r="F46" s="14"/>
    </row>
    <row r="47" spans="2:24" x14ac:dyDescent="0.25">
      <c r="B47" s="2" t="s">
        <v>99</v>
      </c>
      <c r="C47" s="2">
        <v>4.5</v>
      </c>
      <c r="D47" s="2">
        <v>4.5</v>
      </c>
      <c r="E47" s="2">
        <v>4.5</v>
      </c>
    </row>
    <row r="48" spans="2:24" x14ac:dyDescent="0.25">
      <c r="B48" s="2" t="s">
        <v>31</v>
      </c>
      <c r="C48" s="2">
        <f>($G$22*C46)/C47</f>
        <v>1335.4401666666668</v>
      </c>
      <c r="D48" s="2">
        <f t="shared" ref="D48:E48" si="4">($G$22*D46)/D47</f>
        <v>1129.9878333333336</v>
      </c>
      <c r="E48" s="2">
        <f t="shared" si="4"/>
        <v>1129.9878333333336</v>
      </c>
      <c r="F48" s="14"/>
    </row>
    <row r="49" spans="2:27" x14ac:dyDescent="0.25">
      <c r="B49" s="13" t="s">
        <v>43</v>
      </c>
      <c r="C49" s="2">
        <f>C48/1000</f>
        <v>1.3354401666666667</v>
      </c>
      <c r="D49" s="2">
        <f t="shared" ref="D49:E49" si="5">D48/1000</f>
        <v>1.1299878333333335</v>
      </c>
      <c r="E49" s="2">
        <f t="shared" si="5"/>
        <v>1.1299878333333335</v>
      </c>
    </row>
    <row r="52" spans="2:27" x14ac:dyDescent="0.25">
      <c r="B52" s="2"/>
      <c r="C52" s="2" t="s">
        <v>39</v>
      </c>
      <c r="D52" s="2"/>
      <c r="E52" s="2"/>
      <c r="F52" s="14"/>
    </row>
    <row r="53" spans="2:27" x14ac:dyDescent="0.25">
      <c r="B53" s="2" t="s">
        <v>29</v>
      </c>
      <c r="C53" s="3" t="s">
        <v>35</v>
      </c>
      <c r="D53" s="2" t="s">
        <v>36</v>
      </c>
      <c r="E53" s="2" t="s">
        <v>37</v>
      </c>
      <c r="F53" s="14"/>
    </row>
    <row r="54" spans="2:27" x14ac:dyDescent="0.25">
      <c r="B54" s="2" t="s">
        <v>30</v>
      </c>
      <c r="C54" s="2">
        <f>2*5.6875</f>
        <v>11.375</v>
      </c>
      <c r="D54" s="2">
        <f>2*4.8125</f>
        <v>9.625</v>
      </c>
      <c r="E54" s="2">
        <f>2*4.8125</f>
        <v>9.625</v>
      </c>
      <c r="F54" s="14"/>
    </row>
    <row r="55" spans="2:27" x14ac:dyDescent="0.25">
      <c r="B55" s="2" t="s">
        <v>99</v>
      </c>
      <c r="C55" s="2">
        <v>3.5</v>
      </c>
      <c r="D55" s="2">
        <v>3</v>
      </c>
      <c r="E55" s="2">
        <v>3</v>
      </c>
    </row>
    <row r="56" spans="2:27" x14ac:dyDescent="0.25">
      <c r="B56" s="2" t="s">
        <v>31</v>
      </c>
      <c r="C56" s="2">
        <f>($G$22*C54)/C55</f>
        <v>3433.9890000000005</v>
      </c>
      <c r="D56" s="2">
        <f t="shared" ref="D56:E56" si="6">($G$22*D54)/D55</f>
        <v>3389.9635000000003</v>
      </c>
      <c r="E56" s="2">
        <f t="shared" si="6"/>
        <v>3389.9635000000003</v>
      </c>
      <c r="F56" s="14"/>
    </row>
    <row r="57" spans="2:27" x14ac:dyDescent="0.25">
      <c r="B57" s="13" t="s">
        <v>43</v>
      </c>
      <c r="C57" s="2">
        <f>C56/1000</f>
        <v>3.4339890000000004</v>
      </c>
      <c r="D57" s="2">
        <f t="shared" ref="D57:E57" si="7">D56/1000</f>
        <v>3.3899635000000004</v>
      </c>
      <c r="E57" s="2">
        <f t="shared" si="7"/>
        <v>3.3899635000000004</v>
      </c>
      <c r="I57" s="2"/>
      <c r="J57" s="2" t="s">
        <v>97</v>
      </c>
      <c r="K57" s="2"/>
      <c r="L57" s="2"/>
      <c r="M57" s="2"/>
      <c r="N57" s="2"/>
      <c r="P57" s="2"/>
      <c r="Q57" s="2" t="s">
        <v>50</v>
      </c>
      <c r="R57" s="2" t="s">
        <v>98</v>
      </c>
      <c r="S57" s="2"/>
      <c r="T57" s="2"/>
      <c r="V57" t="s">
        <v>116</v>
      </c>
    </row>
    <row r="58" spans="2:27" x14ac:dyDescent="0.25">
      <c r="I58" s="2"/>
      <c r="J58" s="2"/>
      <c r="K58" s="2"/>
      <c r="L58" s="2" t="s">
        <v>50</v>
      </c>
      <c r="M58" s="2"/>
      <c r="N58" s="2"/>
      <c r="P58" s="2" t="s">
        <v>51</v>
      </c>
      <c r="Q58" s="2">
        <v>1</v>
      </c>
      <c r="R58" s="2">
        <v>2</v>
      </c>
      <c r="S58" s="2">
        <v>3</v>
      </c>
      <c r="T58" s="2">
        <v>4</v>
      </c>
      <c r="V58" s="2"/>
      <c r="W58" s="2" t="s">
        <v>46</v>
      </c>
      <c r="X58" s="2" t="s">
        <v>47</v>
      </c>
      <c r="Y58" s="2" t="s">
        <v>48</v>
      </c>
      <c r="Z58" s="2" t="s">
        <v>1</v>
      </c>
      <c r="AA58" s="2" t="s">
        <v>49</v>
      </c>
    </row>
    <row r="59" spans="2:27" x14ac:dyDescent="0.25">
      <c r="I59" s="2" t="s">
        <v>51</v>
      </c>
      <c r="J59" s="2" t="s">
        <v>46</v>
      </c>
      <c r="K59" s="2" t="s">
        <v>47</v>
      </c>
      <c r="L59" s="2" t="s">
        <v>48</v>
      </c>
      <c r="M59" s="2" t="s">
        <v>1</v>
      </c>
      <c r="N59" s="2" t="s">
        <v>49</v>
      </c>
      <c r="P59" s="2" t="s">
        <v>61</v>
      </c>
      <c r="Q59" s="2">
        <v>5.7</v>
      </c>
      <c r="R59" s="2">
        <v>11.42</v>
      </c>
      <c r="S59" s="2">
        <v>10.4</v>
      </c>
      <c r="T59" s="2">
        <v>4.82</v>
      </c>
      <c r="V59" s="2">
        <v>1</v>
      </c>
      <c r="W59" s="2">
        <v>5.7</v>
      </c>
      <c r="X59" s="2">
        <v>11.4</v>
      </c>
      <c r="Y59" s="2">
        <v>11.91</v>
      </c>
      <c r="Z59" s="2">
        <v>12.41</v>
      </c>
      <c r="AA59" s="2">
        <v>6.2</v>
      </c>
    </row>
    <row r="60" spans="2:27" x14ac:dyDescent="0.25">
      <c r="B60" s="2"/>
      <c r="C60" s="2" t="s">
        <v>40</v>
      </c>
      <c r="D60" s="2"/>
      <c r="E60" s="2"/>
      <c r="F60" s="14"/>
      <c r="I60" s="2" t="s">
        <v>54</v>
      </c>
      <c r="J60" s="2">
        <v>3.07</v>
      </c>
      <c r="K60" s="2">
        <v>6.5</v>
      </c>
      <c r="L60" s="2">
        <v>8.57</v>
      </c>
      <c r="M60" s="2">
        <v>11.2</v>
      </c>
      <c r="N60" s="2">
        <v>4.9800000000000004</v>
      </c>
      <c r="P60" s="2" t="s">
        <v>62</v>
      </c>
      <c r="Q60" s="2">
        <v>0.32</v>
      </c>
      <c r="R60" s="2">
        <v>0.06</v>
      </c>
      <c r="S60" s="2">
        <v>0.05</v>
      </c>
      <c r="T60" s="2">
        <v>0.3</v>
      </c>
      <c r="V60" s="2"/>
      <c r="W60" s="2">
        <v>0.32</v>
      </c>
      <c r="X60" s="2">
        <v>0.63</v>
      </c>
      <c r="Y60" s="2">
        <v>0.66</v>
      </c>
      <c r="Z60" s="2">
        <v>0.69</v>
      </c>
      <c r="AA60" s="2">
        <v>0.34</v>
      </c>
    </row>
    <row r="61" spans="2:27" x14ac:dyDescent="0.25">
      <c r="B61" s="2" t="s">
        <v>29</v>
      </c>
      <c r="C61" s="3" t="s">
        <v>35</v>
      </c>
      <c r="D61" s="2" t="s">
        <v>36</v>
      </c>
      <c r="E61" s="2" t="s">
        <v>37</v>
      </c>
      <c r="F61" s="14"/>
      <c r="I61" s="2" t="s">
        <v>53</v>
      </c>
      <c r="J61" s="2">
        <v>0.14000000000000001</v>
      </c>
      <c r="K61" s="2">
        <v>0</v>
      </c>
      <c r="L61" s="2">
        <v>0.15</v>
      </c>
      <c r="M61" s="2">
        <v>0.03</v>
      </c>
      <c r="N61" s="2">
        <v>0.26</v>
      </c>
      <c r="P61" s="2" t="s">
        <v>63</v>
      </c>
      <c r="Q61" s="2">
        <v>11.4</v>
      </c>
      <c r="R61" s="2">
        <v>22.82</v>
      </c>
      <c r="S61" s="2">
        <v>21.08</v>
      </c>
      <c r="T61" s="2">
        <v>9.91</v>
      </c>
      <c r="V61" s="2">
        <v>2</v>
      </c>
      <c r="W61" s="2">
        <v>11.42</v>
      </c>
      <c r="X61" s="2">
        <v>22.82</v>
      </c>
      <c r="Y61" s="2">
        <v>22.63</v>
      </c>
      <c r="Z61" s="2">
        <v>24.5</v>
      </c>
      <c r="AA61" s="2">
        <v>12.24</v>
      </c>
    </row>
    <row r="62" spans="2:27" x14ac:dyDescent="0.25">
      <c r="B62" s="2" t="s">
        <v>30</v>
      </c>
      <c r="C62" s="2">
        <f>5.6875+6.1875</f>
        <v>11.875</v>
      </c>
      <c r="D62" s="2">
        <f>4.8125+5.0625</f>
        <v>9.875</v>
      </c>
      <c r="E62" s="2">
        <f>4.8125+5.0625</f>
        <v>9.875</v>
      </c>
      <c r="F62" s="14"/>
      <c r="I62" s="2" t="s">
        <v>55</v>
      </c>
      <c r="J62" s="2">
        <v>6.15</v>
      </c>
      <c r="K62" s="2">
        <v>13</v>
      </c>
      <c r="L62" s="2">
        <v>17.16</v>
      </c>
      <c r="M62" s="2">
        <v>22.4</v>
      </c>
      <c r="N62" s="2">
        <v>9.9700000000000006</v>
      </c>
      <c r="P62" s="2" t="s">
        <v>67</v>
      </c>
      <c r="Q62" s="2">
        <v>0.63</v>
      </c>
      <c r="R62" s="2">
        <v>0.12</v>
      </c>
      <c r="S62" s="2">
        <v>0.11</v>
      </c>
      <c r="T62" s="2">
        <v>0.61</v>
      </c>
      <c r="V62" s="2"/>
      <c r="W62" s="2">
        <v>0.06</v>
      </c>
      <c r="X62" s="2">
        <v>0.12</v>
      </c>
      <c r="Y62" s="2">
        <v>0.14000000000000001</v>
      </c>
      <c r="Z62" s="2">
        <v>0.15</v>
      </c>
      <c r="AA62" s="2">
        <v>0.08</v>
      </c>
    </row>
    <row r="63" spans="2:27" x14ac:dyDescent="0.25">
      <c r="B63" s="2" t="s">
        <v>99</v>
      </c>
      <c r="C63" s="2">
        <v>4.5</v>
      </c>
      <c r="D63" s="2">
        <v>4.5</v>
      </c>
      <c r="E63" s="2">
        <v>5</v>
      </c>
      <c r="I63" s="2" t="s">
        <v>60</v>
      </c>
      <c r="J63" s="2">
        <v>0.28999999999999998</v>
      </c>
      <c r="K63" s="2">
        <v>0</v>
      </c>
      <c r="L63" s="2">
        <v>0.28999999999999998</v>
      </c>
      <c r="M63" s="2">
        <v>0.06</v>
      </c>
      <c r="N63" s="2">
        <v>0.53</v>
      </c>
      <c r="P63" s="2" t="s">
        <v>64</v>
      </c>
      <c r="Q63" s="2">
        <v>11.91</v>
      </c>
      <c r="R63" s="2">
        <v>22.63</v>
      </c>
      <c r="S63" s="2">
        <v>21.29</v>
      </c>
      <c r="T63" s="2">
        <v>9.91</v>
      </c>
      <c r="V63" s="2">
        <v>3</v>
      </c>
      <c r="W63" s="2">
        <v>10.4</v>
      </c>
      <c r="X63" s="2">
        <v>21.08</v>
      </c>
      <c r="Y63" s="2">
        <v>21.29</v>
      </c>
      <c r="Z63" s="2">
        <v>21.86</v>
      </c>
      <c r="AA63" s="2">
        <v>10.92</v>
      </c>
    </row>
    <row r="64" spans="2:27" x14ac:dyDescent="0.25">
      <c r="B64" s="2" t="s">
        <v>31</v>
      </c>
      <c r="C64" s="2">
        <f>($G$22*C62)/C63</f>
        <v>2788.2816666666672</v>
      </c>
      <c r="D64" s="2">
        <f t="shared" ref="D64:E64" si="8">($G$22*D62)/D63</f>
        <v>2318.6763333333338</v>
      </c>
      <c r="E64" s="2">
        <f t="shared" si="8"/>
        <v>2086.8087000000005</v>
      </c>
      <c r="F64" s="14"/>
      <c r="I64" s="2" t="s">
        <v>56</v>
      </c>
      <c r="J64" s="2">
        <v>6.15</v>
      </c>
      <c r="K64" s="2">
        <v>13</v>
      </c>
      <c r="L64" s="2">
        <v>17.16</v>
      </c>
      <c r="M64" s="2">
        <v>22.4</v>
      </c>
      <c r="N64" s="2">
        <v>9.9700000000000006</v>
      </c>
      <c r="P64" s="2" t="s">
        <v>68</v>
      </c>
      <c r="Q64" s="2">
        <v>0.66</v>
      </c>
      <c r="R64" s="2">
        <v>0.14000000000000001</v>
      </c>
      <c r="S64" s="2">
        <v>0.09</v>
      </c>
      <c r="T64" s="2">
        <v>0.61</v>
      </c>
      <c r="V64" s="2"/>
      <c r="W64" s="2">
        <v>0.05</v>
      </c>
      <c r="X64" s="2">
        <v>0.11</v>
      </c>
      <c r="Y64" s="2">
        <v>0.09</v>
      </c>
      <c r="Z64" s="2">
        <v>0.09</v>
      </c>
      <c r="AA64" s="2">
        <v>0.05</v>
      </c>
    </row>
    <row r="65" spans="2:27" x14ac:dyDescent="0.25">
      <c r="B65" s="13" t="s">
        <v>43</v>
      </c>
      <c r="C65" s="2">
        <f>C64/1000</f>
        <v>2.7882816666666672</v>
      </c>
      <c r="D65" s="2">
        <f t="shared" ref="D65:E65" si="9">D64/1000</f>
        <v>2.3186763333333338</v>
      </c>
      <c r="E65" s="2">
        <f t="shared" si="9"/>
        <v>2.0868087000000006</v>
      </c>
      <c r="I65" s="2" t="s">
        <v>59</v>
      </c>
      <c r="J65" s="2">
        <v>0.28999999999999998</v>
      </c>
      <c r="K65" s="2">
        <v>0</v>
      </c>
      <c r="L65" s="2">
        <v>0.28999999999999998</v>
      </c>
      <c r="M65" s="2">
        <v>0.06</v>
      </c>
      <c r="N65" s="2">
        <v>0.53</v>
      </c>
      <c r="P65" s="2" t="s">
        <v>65</v>
      </c>
      <c r="Q65" s="2">
        <v>12.41</v>
      </c>
      <c r="R65" s="2">
        <v>24.5</v>
      </c>
      <c r="S65" s="2">
        <v>21.86</v>
      </c>
      <c r="T65" s="2">
        <v>10.16</v>
      </c>
      <c r="V65" s="2">
        <v>4</v>
      </c>
      <c r="W65" s="2">
        <v>4.82</v>
      </c>
      <c r="X65" s="2">
        <v>9.91</v>
      </c>
      <c r="Y65" s="2">
        <v>9.91</v>
      </c>
      <c r="Z65" s="2">
        <v>10.16</v>
      </c>
      <c r="AA65" s="2">
        <v>5.08</v>
      </c>
    </row>
    <row r="66" spans="2:27" x14ac:dyDescent="0.25">
      <c r="I66" s="2" t="s">
        <v>57</v>
      </c>
      <c r="J66" s="2">
        <v>3.07</v>
      </c>
      <c r="K66" s="2">
        <v>6.5</v>
      </c>
      <c r="L66" s="2">
        <v>8.57</v>
      </c>
      <c r="M66" s="2">
        <v>11.2</v>
      </c>
      <c r="N66" s="2">
        <v>4.9800000000000004</v>
      </c>
      <c r="P66" s="2" t="s">
        <v>69</v>
      </c>
      <c r="Q66" s="2">
        <v>0.69</v>
      </c>
      <c r="R66" s="2">
        <v>0.15</v>
      </c>
      <c r="S66" s="2">
        <v>0.09</v>
      </c>
      <c r="T66" s="2">
        <v>0.63</v>
      </c>
      <c r="V66" s="2"/>
      <c r="W66" s="2">
        <v>0.3</v>
      </c>
      <c r="X66" s="2">
        <v>0.61</v>
      </c>
      <c r="Y66" s="2">
        <v>0.61</v>
      </c>
      <c r="Z66" s="2">
        <v>0.63</v>
      </c>
      <c r="AA66" s="2">
        <v>0.31</v>
      </c>
    </row>
    <row r="67" spans="2:27" x14ac:dyDescent="0.25">
      <c r="B67" s="2"/>
      <c r="C67" s="2" t="s">
        <v>42</v>
      </c>
      <c r="D67" s="2"/>
      <c r="E67" s="2"/>
      <c r="F67" s="14"/>
      <c r="I67" s="2" t="s">
        <v>58</v>
      </c>
      <c r="J67" s="2">
        <v>0.14000000000000001</v>
      </c>
      <c r="K67" s="2">
        <v>0</v>
      </c>
      <c r="L67" s="2">
        <v>0.15</v>
      </c>
      <c r="M67" s="2">
        <v>0.03</v>
      </c>
      <c r="N67" s="2">
        <v>0.26</v>
      </c>
      <c r="P67" s="2" t="s">
        <v>66</v>
      </c>
      <c r="Q67" s="2">
        <v>6.2</v>
      </c>
      <c r="R67" s="2">
        <v>12.24</v>
      </c>
      <c r="S67" s="2">
        <v>10.92</v>
      </c>
      <c r="T67" s="2">
        <v>5.08</v>
      </c>
    </row>
    <row r="68" spans="2:27" x14ac:dyDescent="0.25">
      <c r="B68" s="2" t="s">
        <v>29</v>
      </c>
      <c r="C68" s="3" t="s">
        <v>35</v>
      </c>
      <c r="D68" s="2" t="s">
        <v>36</v>
      </c>
      <c r="E68" s="2" t="s">
        <v>37</v>
      </c>
      <c r="F68" s="14"/>
      <c r="P68" s="2" t="s">
        <v>70</v>
      </c>
      <c r="Q68" s="2">
        <v>0.34</v>
      </c>
      <c r="R68" s="2">
        <v>0.08</v>
      </c>
      <c r="S68" s="2">
        <v>0.05</v>
      </c>
      <c r="T68" s="2">
        <v>0.31</v>
      </c>
    </row>
    <row r="69" spans="2:27" x14ac:dyDescent="0.25">
      <c r="B69" s="2" t="s">
        <v>30</v>
      </c>
      <c r="C69" s="2">
        <f>2*6.1875</f>
        <v>12.375</v>
      </c>
      <c r="D69" s="2">
        <f>2*5.0625</f>
        <v>10.125</v>
      </c>
      <c r="E69" s="2">
        <f>2*5.0625</f>
        <v>10.125</v>
      </c>
      <c r="F69" s="14"/>
      <c r="I69" s="18" t="s">
        <v>100</v>
      </c>
      <c r="J69" s="18" t="s">
        <v>101</v>
      </c>
      <c r="K69" s="18"/>
    </row>
    <row r="70" spans="2:27" x14ac:dyDescent="0.25">
      <c r="B70" s="2" t="s">
        <v>99</v>
      </c>
      <c r="C70" s="2">
        <v>4.5</v>
      </c>
      <c r="D70" s="2">
        <v>4.5</v>
      </c>
      <c r="E70" s="2">
        <v>5</v>
      </c>
      <c r="H70" s="4"/>
      <c r="I70" s="5" t="s">
        <v>71</v>
      </c>
      <c r="J70" s="5"/>
      <c r="K70" s="5"/>
      <c r="L70" s="5"/>
      <c r="M70" s="6"/>
      <c r="P70" s="18" t="s">
        <v>115</v>
      </c>
    </row>
    <row r="71" spans="2:27" x14ac:dyDescent="0.25">
      <c r="B71" s="2" t="s">
        <v>31</v>
      </c>
      <c r="C71" s="2">
        <f>($G$22*C69)/C70</f>
        <v>2905.683</v>
      </c>
      <c r="D71" s="2">
        <f t="shared" ref="D71:E71" si="10">($G$22*D69)/D70</f>
        <v>2377.377</v>
      </c>
      <c r="E71" s="2">
        <f t="shared" si="10"/>
        <v>2139.6392999999998</v>
      </c>
      <c r="F71" s="14"/>
      <c r="H71" s="7"/>
      <c r="I71" s="8" t="s">
        <v>72</v>
      </c>
      <c r="J71" s="8" t="s">
        <v>75</v>
      </c>
      <c r="K71" s="8" t="s">
        <v>76</v>
      </c>
      <c r="L71" s="8" t="s">
        <v>77</v>
      </c>
      <c r="M71" s="9" t="s">
        <v>78</v>
      </c>
      <c r="P71" s="2"/>
      <c r="Q71" s="2" t="s">
        <v>5</v>
      </c>
      <c r="R71" s="2"/>
      <c r="S71" s="2"/>
      <c r="T71" s="2"/>
    </row>
    <row r="72" spans="2:27" x14ac:dyDescent="0.25">
      <c r="B72" s="13" t="s">
        <v>43</v>
      </c>
      <c r="C72" s="2">
        <f>C71/1000</f>
        <v>2.9056829999999998</v>
      </c>
      <c r="D72" s="2">
        <f t="shared" ref="D72:E72" si="11">D71/1000</f>
        <v>2.3773770000000001</v>
      </c>
      <c r="E72" s="2">
        <f t="shared" si="11"/>
        <v>2.1396392999999998</v>
      </c>
      <c r="H72" s="7" t="s">
        <v>74</v>
      </c>
      <c r="I72" s="8">
        <f>J60+W59</f>
        <v>8.77</v>
      </c>
      <c r="J72" s="8">
        <f t="shared" ref="J72:M72" si="12">K60+X59</f>
        <v>17.899999999999999</v>
      </c>
      <c r="K72" s="8">
        <f t="shared" si="12"/>
        <v>20.48</v>
      </c>
      <c r="L72" s="8">
        <f t="shared" si="12"/>
        <v>23.61</v>
      </c>
      <c r="M72" s="9">
        <f t="shared" si="12"/>
        <v>11.18</v>
      </c>
      <c r="P72" s="2" t="s">
        <v>1</v>
      </c>
      <c r="Q72" s="2">
        <v>315.51</v>
      </c>
      <c r="R72" s="2"/>
      <c r="S72" s="2"/>
      <c r="T72" s="2"/>
    </row>
    <row r="73" spans="2:27" x14ac:dyDescent="0.25">
      <c r="H73" s="7" t="s">
        <v>52</v>
      </c>
      <c r="I73" s="8">
        <f>J61</f>
        <v>0.14000000000000001</v>
      </c>
      <c r="J73" s="8">
        <f t="shared" ref="J73:M73" si="13">K61</f>
        <v>0</v>
      </c>
      <c r="K73" s="8">
        <f t="shared" si="13"/>
        <v>0.15</v>
      </c>
      <c r="L73" s="8">
        <f t="shared" si="13"/>
        <v>0.03</v>
      </c>
      <c r="M73" s="9">
        <f t="shared" si="13"/>
        <v>0.26</v>
      </c>
      <c r="P73" s="2" t="s">
        <v>11</v>
      </c>
      <c r="Q73" s="2">
        <v>90</v>
      </c>
      <c r="R73" s="2"/>
      <c r="S73" s="2" t="s">
        <v>103</v>
      </c>
      <c r="T73" s="2" t="s">
        <v>102</v>
      </c>
    </row>
    <row r="74" spans="2:27" x14ac:dyDescent="0.25">
      <c r="H74" s="7" t="s">
        <v>73</v>
      </c>
      <c r="I74" s="8">
        <f>W60</f>
        <v>0.32</v>
      </c>
      <c r="J74" s="8">
        <f t="shared" ref="J74:M74" si="14">X60</f>
        <v>0.63</v>
      </c>
      <c r="K74" s="8">
        <f t="shared" si="14"/>
        <v>0.66</v>
      </c>
      <c r="L74" s="8">
        <f t="shared" si="14"/>
        <v>0.69</v>
      </c>
      <c r="M74" s="9">
        <f t="shared" si="14"/>
        <v>0.34</v>
      </c>
      <c r="P74" s="2" t="s">
        <v>21</v>
      </c>
      <c r="Q74" s="2">
        <f>SUM(Q72:Q73)</f>
        <v>405.51</v>
      </c>
      <c r="R74" s="2" t="s">
        <v>21</v>
      </c>
      <c r="S74" s="15">
        <f>(Q74/$Q$81)*100</f>
        <v>36.043523147504146</v>
      </c>
      <c r="T74" s="2">
        <v>1.2</v>
      </c>
    </row>
    <row r="75" spans="2:27" x14ac:dyDescent="0.25">
      <c r="B75" s="2"/>
      <c r="C75" s="2" t="s">
        <v>41</v>
      </c>
      <c r="D75" s="2"/>
      <c r="E75" s="2"/>
      <c r="H75" s="7"/>
      <c r="I75" s="8" t="s">
        <v>79</v>
      </c>
      <c r="J75" s="8" t="s">
        <v>80</v>
      </c>
      <c r="K75" s="8" t="s">
        <v>82</v>
      </c>
      <c r="L75" s="8" t="s">
        <v>83</v>
      </c>
      <c r="M75" s="9" t="s">
        <v>84</v>
      </c>
      <c r="P75" s="2" t="s">
        <v>2</v>
      </c>
      <c r="Q75" s="2">
        <v>250</v>
      </c>
      <c r="R75" s="2" t="s">
        <v>2</v>
      </c>
      <c r="S75" s="15">
        <f t="shared" ref="S75:S80" si="15">(Q75/$Q$81)*100</f>
        <v>22.221106228887173</v>
      </c>
      <c r="T75" s="2">
        <v>1.6</v>
      </c>
    </row>
    <row r="76" spans="2:27" x14ac:dyDescent="0.25">
      <c r="B76" s="2" t="s">
        <v>29</v>
      </c>
      <c r="C76" s="3" t="s">
        <v>35</v>
      </c>
      <c r="D76" s="2" t="s">
        <v>36</v>
      </c>
      <c r="E76" s="2" t="s">
        <v>37</v>
      </c>
      <c r="H76" s="7" t="s">
        <v>74</v>
      </c>
      <c r="I76" s="8">
        <f>J62+W61</f>
        <v>17.57</v>
      </c>
      <c r="J76" s="8">
        <f t="shared" ref="J76:M76" si="16">K62+X61</f>
        <v>35.82</v>
      </c>
      <c r="K76" s="8">
        <f t="shared" si="16"/>
        <v>39.79</v>
      </c>
      <c r="L76" s="8">
        <f>M62+Z61</f>
        <v>46.9</v>
      </c>
      <c r="M76" s="9">
        <f t="shared" si="16"/>
        <v>22.21</v>
      </c>
      <c r="P76" s="2" t="s">
        <v>3</v>
      </c>
      <c r="Q76" s="2">
        <v>200</v>
      </c>
      <c r="R76" s="2" t="s">
        <v>3</v>
      </c>
      <c r="S76" s="15">
        <f t="shared" si="15"/>
        <v>17.776884983109738</v>
      </c>
      <c r="T76" s="2">
        <v>1</v>
      </c>
    </row>
    <row r="77" spans="2:27" x14ac:dyDescent="0.25">
      <c r="B77" s="2" t="s">
        <v>30</v>
      </c>
      <c r="C77" s="2">
        <v>6.1875</v>
      </c>
      <c r="D77" s="2">
        <v>5.0625</v>
      </c>
      <c r="E77" s="2">
        <v>5.0625</v>
      </c>
      <c r="H77" s="7" t="s">
        <v>52</v>
      </c>
      <c r="I77" s="8">
        <f>J63</f>
        <v>0.28999999999999998</v>
      </c>
      <c r="J77" s="8">
        <f t="shared" ref="J77:M77" si="17">K63</f>
        <v>0</v>
      </c>
      <c r="K77" s="8">
        <f t="shared" si="17"/>
        <v>0.28999999999999998</v>
      </c>
      <c r="L77" s="8">
        <f t="shared" si="17"/>
        <v>0.06</v>
      </c>
      <c r="M77" s="9">
        <f t="shared" si="17"/>
        <v>0.53</v>
      </c>
      <c r="P77" s="2" t="s">
        <v>6</v>
      </c>
      <c r="Q77" s="2">
        <f>0.15*Q74</f>
        <v>60.826499999999996</v>
      </c>
      <c r="R77" s="2" t="s">
        <v>6</v>
      </c>
      <c r="S77" s="15">
        <f t="shared" si="15"/>
        <v>5.4065284721256219</v>
      </c>
      <c r="T77" s="2">
        <v>1</v>
      </c>
    </row>
    <row r="78" spans="2:27" x14ac:dyDescent="0.25">
      <c r="B78" s="2" t="s">
        <v>99</v>
      </c>
      <c r="C78" s="2">
        <v>4.5</v>
      </c>
      <c r="D78" s="2">
        <v>4.5</v>
      </c>
      <c r="E78" s="2">
        <v>5</v>
      </c>
      <c r="H78" s="7" t="s">
        <v>73</v>
      </c>
      <c r="I78" s="8">
        <f>W62</f>
        <v>0.06</v>
      </c>
      <c r="J78" s="8">
        <f t="shared" ref="J78:M78" si="18">X62</f>
        <v>0.12</v>
      </c>
      <c r="K78" s="8">
        <f t="shared" si="18"/>
        <v>0.14000000000000001</v>
      </c>
      <c r="L78" s="8">
        <f t="shared" si="18"/>
        <v>0.15</v>
      </c>
      <c r="M78" s="9">
        <f t="shared" si="18"/>
        <v>0.08</v>
      </c>
      <c r="P78" s="2" t="s">
        <v>4</v>
      </c>
      <c r="Q78" s="2">
        <v>80</v>
      </c>
      <c r="R78" s="2" t="s">
        <v>4</v>
      </c>
      <c r="S78" s="15">
        <f t="shared" si="15"/>
        <v>7.1107539932438959</v>
      </c>
      <c r="T78" s="2">
        <v>0.5</v>
      </c>
    </row>
    <row r="79" spans="2:27" x14ac:dyDescent="0.25">
      <c r="B79" s="2" t="s">
        <v>31</v>
      </c>
      <c r="C79" s="2">
        <f>($G$22*C77)/C78</f>
        <v>1452.8415</v>
      </c>
      <c r="D79" s="2">
        <f t="shared" ref="D79:E79" si="19">($G$22*D77)/D78</f>
        <v>1188.6885</v>
      </c>
      <c r="E79" s="2">
        <f t="shared" si="19"/>
        <v>1069.8196499999999</v>
      </c>
      <c r="H79" s="7"/>
      <c r="I79" s="8" t="s">
        <v>85</v>
      </c>
      <c r="J79" s="8" t="s">
        <v>86</v>
      </c>
      <c r="K79" s="8" t="s">
        <v>81</v>
      </c>
      <c r="L79" s="8" t="s">
        <v>88</v>
      </c>
      <c r="M79" s="9" t="s">
        <v>89</v>
      </c>
      <c r="P79" s="2" t="s">
        <v>22</v>
      </c>
      <c r="Q79" s="2">
        <v>80</v>
      </c>
      <c r="R79" s="2" t="s">
        <v>22</v>
      </c>
      <c r="S79" s="15">
        <f t="shared" si="15"/>
        <v>7.1107539932438959</v>
      </c>
      <c r="T79" s="2">
        <v>0.5</v>
      </c>
    </row>
    <row r="80" spans="2:27" x14ac:dyDescent="0.25">
      <c r="B80" s="13" t="s">
        <v>43</v>
      </c>
      <c r="C80" s="2">
        <f>C79/1000</f>
        <v>1.4528414999999999</v>
      </c>
      <c r="D80" s="2">
        <f t="shared" ref="D80:E80" si="20">D79/1000</f>
        <v>1.1886885</v>
      </c>
      <c r="E80" s="2">
        <f t="shared" si="20"/>
        <v>1.0698196499999999</v>
      </c>
      <c r="H80" s="7" t="s">
        <v>74</v>
      </c>
      <c r="I80" s="8">
        <f>J64+W63</f>
        <v>16.55</v>
      </c>
      <c r="J80" s="8">
        <f t="shared" ref="J80:M80" si="21">K64+X63</f>
        <v>34.08</v>
      </c>
      <c r="K80" s="8">
        <f t="shared" si="21"/>
        <v>38.450000000000003</v>
      </c>
      <c r="L80" s="8">
        <f t="shared" si="21"/>
        <v>44.26</v>
      </c>
      <c r="M80" s="9">
        <f t="shared" si="21"/>
        <v>20.89</v>
      </c>
      <c r="P80" s="2" t="s">
        <v>7</v>
      </c>
      <c r="Q80" s="2">
        <v>48.72</v>
      </c>
      <c r="R80" s="2" t="s">
        <v>7</v>
      </c>
      <c r="S80" s="15">
        <f t="shared" si="15"/>
        <v>4.3304491818855322</v>
      </c>
      <c r="T80" s="2">
        <v>1</v>
      </c>
    </row>
    <row r="81" spans="8:22" x14ac:dyDescent="0.25">
      <c r="H81" s="7" t="s">
        <v>52</v>
      </c>
      <c r="I81" s="8">
        <f>J65</f>
        <v>0.28999999999999998</v>
      </c>
      <c r="J81" s="8">
        <f t="shared" ref="J81:M81" si="22">K65</f>
        <v>0</v>
      </c>
      <c r="K81" s="8">
        <f t="shared" si="22"/>
        <v>0.28999999999999998</v>
      </c>
      <c r="L81" s="8">
        <f t="shared" si="22"/>
        <v>0.06</v>
      </c>
      <c r="M81" s="9">
        <f t="shared" si="22"/>
        <v>0.53</v>
      </c>
      <c r="P81" s="2" t="s">
        <v>104</v>
      </c>
      <c r="Q81" s="2">
        <f>SUM(Q74:Q80)</f>
        <v>1125.0564999999999</v>
      </c>
      <c r="R81" s="2"/>
      <c r="S81" s="17">
        <v>1</v>
      </c>
      <c r="T81" s="2"/>
    </row>
    <row r="82" spans="8:22" x14ac:dyDescent="0.25">
      <c r="H82" s="7" t="s">
        <v>73</v>
      </c>
      <c r="I82" s="8">
        <f>W64</f>
        <v>0.05</v>
      </c>
      <c r="J82" s="8">
        <f t="shared" ref="J82:M82" si="23">X64</f>
        <v>0.11</v>
      </c>
      <c r="K82" s="8">
        <f t="shared" si="23"/>
        <v>0.09</v>
      </c>
      <c r="L82" s="8">
        <f t="shared" si="23"/>
        <v>0.09</v>
      </c>
      <c r="M82" s="9">
        <f t="shared" si="23"/>
        <v>0.05</v>
      </c>
    </row>
    <row r="83" spans="8:22" x14ac:dyDescent="0.25">
      <c r="H83" s="7"/>
      <c r="I83" s="8" t="s">
        <v>90</v>
      </c>
      <c r="J83" s="8" t="s">
        <v>91</v>
      </c>
      <c r="K83" s="8" t="s">
        <v>87</v>
      </c>
      <c r="L83" s="8" t="s">
        <v>92</v>
      </c>
      <c r="M83" s="9" t="s">
        <v>93</v>
      </c>
      <c r="P83" s="19" t="s">
        <v>105</v>
      </c>
      <c r="Q83" s="19"/>
    </row>
    <row r="84" spans="8:22" x14ac:dyDescent="0.25">
      <c r="H84" s="7" t="s">
        <v>74</v>
      </c>
      <c r="I84" s="8">
        <f>J66+W65</f>
        <v>7.8900000000000006</v>
      </c>
      <c r="J84" s="8">
        <f t="shared" ref="J84:M84" si="24">K66+X65</f>
        <v>16.41</v>
      </c>
      <c r="K84" s="8">
        <f t="shared" si="24"/>
        <v>18.48</v>
      </c>
      <c r="L84" s="8">
        <f t="shared" si="24"/>
        <v>21.36</v>
      </c>
      <c r="M84" s="9">
        <f t="shared" si="24"/>
        <v>10.06</v>
      </c>
      <c r="P84" s="20" t="s">
        <v>106</v>
      </c>
      <c r="Q84" s="21">
        <f>AVERAGE(T74:T80)</f>
        <v>0.97142857142857142</v>
      </c>
    </row>
    <row r="85" spans="8:22" x14ac:dyDescent="0.25">
      <c r="H85" s="7" t="s">
        <v>52</v>
      </c>
      <c r="I85" s="8">
        <f>J67</f>
        <v>0.14000000000000001</v>
      </c>
      <c r="J85" s="8">
        <f t="shared" ref="J85:M85" si="25">K67</f>
        <v>0</v>
      </c>
      <c r="K85" s="8">
        <f t="shared" si="25"/>
        <v>0.15</v>
      </c>
      <c r="L85" s="8">
        <f t="shared" si="25"/>
        <v>0.03</v>
      </c>
      <c r="M85" s="9">
        <f t="shared" si="25"/>
        <v>0.26</v>
      </c>
      <c r="P85" s="19" t="s">
        <v>107</v>
      </c>
      <c r="Q85" s="19"/>
    </row>
    <row r="86" spans="8:22" x14ac:dyDescent="0.25">
      <c r="H86" s="10" t="s">
        <v>73</v>
      </c>
      <c r="I86" s="11">
        <f>W66</f>
        <v>0.3</v>
      </c>
      <c r="J86" s="11">
        <f t="shared" ref="J86:M86" si="26">X66</f>
        <v>0.61</v>
      </c>
      <c r="K86" s="11">
        <f t="shared" si="26"/>
        <v>0.61</v>
      </c>
      <c r="L86" s="11">
        <f t="shared" si="26"/>
        <v>0.63</v>
      </c>
      <c r="M86" s="12">
        <f t="shared" si="26"/>
        <v>0.31</v>
      </c>
      <c r="P86" s="2" t="s">
        <v>108</v>
      </c>
      <c r="Q86" s="2">
        <f>MAX(T74:T80)</f>
        <v>1.6</v>
      </c>
    </row>
    <row r="87" spans="8:22" x14ac:dyDescent="0.25">
      <c r="P87" s="2" t="s">
        <v>109</v>
      </c>
      <c r="Q87" s="2">
        <f>MIN(T74:T80)</f>
        <v>0.5</v>
      </c>
    </row>
    <row r="88" spans="8:22" x14ac:dyDescent="0.25">
      <c r="P88" s="20" t="s">
        <v>110</v>
      </c>
      <c r="Q88" s="20">
        <f>AVERAGE(Q86:Q87)</f>
        <v>1.05</v>
      </c>
    </row>
    <row r="90" spans="8:22" x14ac:dyDescent="0.25">
      <c r="P90" s="19" t="s">
        <v>111</v>
      </c>
      <c r="Q90" s="19"/>
      <c r="T90" s="27" t="s">
        <v>112</v>
      </c>
      <c r="U90" s="27"/>
      <c r="V90" s="27"/>
    </row>
    <row r="91" spans="8:22" x14ac:dyDescent="0.25">
      <c r="P91" s="19" t="s">
        <v>102</v>
      </c>
      <c r="Q91" s="19" t="s">
        <v>103</v>
      </c>
      <c r="T91" s="16" t="s">
        <v>114</v>
      </c>
      <c r="U91" s="28">
        <f>R99</f>
        <v>1.1343061437358923</v>
      </c>
      <c r="V91" s="28"/>
    </row>
    <row r="92" spans="8:22" x14ac:dyDescent="0.25">
      <c r="P92" s="2">
        <v>1.2</v>
      </c>
      <c r="Q92" s="15">
        <v>36.043523147504146</v>
      </c>
      <c r="R92" s="15">
        <f>(P92*Q92)/100</f>
        <v>0.43252227777004976</v>
      </c>
    </row>
    <row r="93" spans="8:22" x14ac:dyDescent="0.25">
      <c r="P93" s="2">
        <v>1.6</v>
      </c>
      <c r="Q93" s="15">
        <v>22.221106228887173</v>
      </c>
      <c r="R93" s="15">
        <f t="shared" ref="R93:R98" si="27">(P93*Q93)/100</f>
        <v>0.35553769966219478</v>
      </c>
    </row>
    <row r="94" spans="8:22" x14ac:dyDescent="0.25">
      <c r="P94" s="2">
        <v>1</v>
      </c>
      <c r="Q94" s="15">
        <v>17.776884983109738</v>
      </c>
      <c r="R94" s="15">
        <f t="shared" si="27"/>
        <v>0.17776884983109739</v>
      </c>
    </row>
    <row r="95" spans="8:22" x14ac:dyDescent="0.25">
      <c r="P95" s="2">
        <v>1</v>
      </c>
      <c r="Q95" s="15">
        <v>5.4065284721256219</v>
      </c>
      <c r="R95" s="15">
        <f t="shared" si="27"/>
        <v>5.406528472125622E-2</v>
      </c>
    </row>
    <row r="96" spans="8:22" x14ac:dyDescent="0.25">
      <c r="P96" s="2">
        <v>0.5</v>
      </c>
      <c r="Q96" s="15">
        <v>7.1107539932438959</v>
      </c>
      <c r="R96" s="15">
        <f t="shared" si="27"/>
        <v>3.5553769966219478E-2</v>
      </c>
    </row>
    <row r="97" spans="16:18" x14ac:dyDescent="0.25">
      <c r="P97" s="2">
        <v>0.5</v>
      </c>
      <c r="Q97" s="15">
        <v>7.1107539932438959</v>
      </c>
      <c r="R97" s="15">
        <f t="shared" si="27"/>
        <v>3.5553769966219478E-2</v>
      </c>
    </row>
    <row r="98" spans="16:18" x14ac:dyDescent="0.25">
      <c r="P98" s="2">
        <v>1</v>
      </c>
      <c r="Q98" s="15">
        <v>4.3304491818855322</v>
      </c>
      <c r="R98" s="15">
        <f t="shared" si="27"/>
        <v>4.3304491818855324E-2</v>
      </c>
    </row>
    <row r="99" spans="16:18" x14ac:dyDescent="0.25">
      <c r="P99" s="2" t="s">
        <v>113</v>
      </c>
      <c r="Q99" s="17">
        <v>1</v>
      </c>
      <c r="R99" s="21">
        <f>SUM(R92:R98)</f>
        <v>1.1343061437358923</v>
      </c>
    </row>
  </sheetData>
  <mergeCells count="2">
    <mergeCell ref="T90:V90"/>
    <mergeCell ref="U91:V9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2024-09-12T18:41:13Z</dcterms:created>
  <dcterms:modified xsi:type="dcterms:W3CDTF">2024-09-19T19:55:11Z</dcterms:modified>
</cp:coreProperties>
</file>