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showInkAnnotation="0"/>
  <xr:revisionPtr revIDLastSave="0" documentId="13_ncr:1_{34B02B5D-CE0C-48AC-B04F-292D67D91C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álculo de población" sheetId="9" r:id="rId1"/>
    <sheet name="1 tramo" sheetId="6" r:id="rId2"/>
    <sheet name="2 tramo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6" l="1"/>
  <c r="M10" i="6" s="1"/>
  <c r="O10" i="6"/>
  <c r="P10" i="6"/>
  <c r="H11" i="6"/>
  <c r="P11" i="6" s="1"/>
  <c r="O11" i="6"/>
  <c r="H12" i="6"/>
  <c r="Q12" i="6" s="1"/>
  <c r="R12" i="6" s="1"/>
  <c r="M12" i="6"/>
  <c r="O12" i="6"/>
  <c r="P12" i="6"/>
  <c r="H13" i="6"/>
  <c r="M13" i="6" s="1"/>
  <c r="O13" i="6"/>
  <c r="P13" i="6"/>
  <c r="Q13" i="6"/>
  <c r="R13" i="6" s="1"/>
  <c r="H14" i="6"/>
  <c r="M14" i="6" s="1"/>
  <c r="O14" i="6"/>
  <c r="P14" i="6"/>
  <c r="Q14" i="6"/>
  <c r="R14" i="6"/>
  <c r="H15" i="6"/>
  <c r="P15" i="6" s="1"/>
  <c r="M15" i="6"/>
  <c r="O15" i="6"/>
  <c r="H16" i="6"/>
  <c r="Q16" i="6" s="1"/>
  <c r="R16" i="6" s="1"/>
  <c r="O16" i="6"/>
  <c r="P16" i="6"/>
  <c r="H17" i="6"/>
  <c r="P17" i="6" s="1"/>
  <c r="M17" i="6"/>
  <c r="O17" i="6"/>
  <c r="C26" i="9"/>
  <c r="D25" i="9"/>
  <c r="D34" i="9"/>
  <c r="D35" i="9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6" i="9"/>
  <c r="D26" i="9" s="1"/>
  <c r="I14" i="1"/>
  <c r="I15" i="1"/>
  <c r="B14" i="1"/>
  <c r="I13" i="1"/>
  <c r="P13" i="1" s="1"/>
  <c r="B13" i="1"/>
  <c r="AA15" i="1"/>
  <c r="W15" i="1"/>
  <c r="S15" i="1"/>
  <c r="F15" i="1"/>
  <c r="AE15" i="1" s="1"/>
  <c r="C15" i="1"/>
  <c r="AA14" i="1"/>
  <c r="W14" i="1"/>
  <c r="F14" i="1"/>
  <c r="AE14" i="1" s="1"/>
  <c r="C14" i="1"/>
  <c r="AA13" i="1"/>
  <c r="W13" i="1"/>
  <c r="F13" i="1"/>
  <c r="AE13" i="1" s="1"/>
  <c r="C13" i="1"/>
  <c r="Q10" i="6" l="1"/>
  <c r="R10" i="6" s="1"/>
  <c r="M11" i="6"/>
  <c r="M16" i="6"/>
  <c r="Q17" i="6"/>
  <c r="R17" i="6" s="1"/>
  <c r="Q15" i="6"/>
  <c r="R15" i="6" s="1"/>
  <c r="Q11" i="6"/>
  <c r="R11" i="6" s="1"/>
  <c r="F19" i="9"/>
  <c r="G19" i="9" s="1"/>
  <c r="F11" i="9"/>
  <c r="G11" i="9" s="1"/>
  <c r="F18" i="9"/>
  <c r="G18" i="9" s="1"/>
  <c r="F10" i="9"/>
  <c r="G10" i="9" s="1"/>
  <c r="F6" i="9"/>
  <c r="F17" i="9"/>
  <c r="G17" i="9" s="1"/>
  <c r="F9" i="9"/>
  <c r="G9" i="9" s="1"/>
  <c r="F24" i="9"/>
  <c r="G24" i="9" s="1"/>
  <c r="F16" i="9"/>
  <c r="G16" i="9" s="1"/>
  <c r="F8" i="9"/>
  <c r="G8" i="9" s="1"/>
  <c r="F23" i="9"/>
  <c r="G23" i="9" s="1"/>
  <c r="F15" i="9"/>
  <c r="G15" i="9" s="1"/>
  <c r="F7" i="9"/>
  <c r="G7" i="9" s="1"/>
  <c r="F22" i="9"/>
  <c r="G22" i="9" s="1"/>
  <c r="F14" i="9"/>
  <c r="G14" i="9" s="1"/>
  <c r="E10" i="9"/>
  <c r="J10" i="9" s="1"/>
  <c r="E18" i="9"/>
  <c r="J18" i="9" s="1"/>
  <c r="E6" i="9"/>
  <c r="E11" i="9"/>
  <c r="J11" i="9" s="1"/>
  <c r="E19" i="9"/>
  <c r="J19" i="9" s="1"/>
  <c r="E12" i="9"/>
  <c r="J12" i="9" s="1"/>
  <c r="E20" i="9"/>
  <c r="J20" i="9" s="1"/>
  <c r="F21" i="9"/>
  <c r="G21" i="9" s="1"/>
  <c r="E13" i="9"/>
  <c r="J13" i="9" s="1"/>
  <c r="E21" i="9"/>
  <c r="J21" i="9" s="1"/>
  <c r="E25" i="9"/>
  <c r="J25" i="9" s="1"/>
  <c r="E14" i="9"/>
  <c r="J14" i="9" s="1"/>
  <c r="E22" i="9"/>
  <c r="J22" i="9" s="1"/>
  <c r="E9" i="9"/>
  <c r="J9" i="9" s="1"/>
  <c r="E7" i="9"/>
  <c r="J7" i="9" s="1"/>
  <c r="E15" i="9"/>
  <c r="J15" i="9" s="1"/>
  <c r="E23" i="9"/>
  <c r="J23" i="9" s="1"/>
  <c r="E17" i="9"/>
  <c r="J17" i="9" s="1"/>
  <c r="E8" i="9"/>
  <c r="J8" i="9" s="1"/>
  <c r="E16" i="9"/>
  <c r="J16" i="9" s="1"/>
  <c r="E24" i="9"/>
  <c r="J24" i="9" s="1"/>
  <c r="F13" i="9"/>
  <c r="G13" i="9" s="1"/>
  <c r="F25" i="9"/>
  <c r="G25" i="9" s="1"/>
  <c r="F20" i="9"/>
  <c r="G20" i="9" s="1"/>
  <c r="F12" i="9"/>
  <c r="G12" i="9" s="1"/>
  <c r="S13" i="1"/>
  <c r="X13" i="1" s="1"/>
  <c r="L13" i="1"/>
  <c r="P15" i="1"/>
  <c r="L15" i="1"/>
  <c r="M15" i="1" s="1"/>
  <c r="L14" i="1"/>
  <c r="M14" i="1"/>
  <c r="P14" i="1"/>
  <c r="S14" i="1"/>
  <c r="M13" i="1"/>
  <c r="H12" i="9" l="1"/>
  <c r="I12" i="9"/>
  <c r="H21" i="9"/>
  <c r="I21" i="9"/>
  <c r="H14" i="9"/>
  <c r="I14" i="9"/>
  <c r="I9" i="9"/>
  <c r="H9" i="9"/>
  <c r="H20" i="9"/>
  <c r="I20" i="9"/>
  <c r="H13" i="9"/>
  <c r="I13" i="9"/>
  <c r="I15" i="9"/>
  <c r="H15" i="9"/>
  <c r="I10" i="9"/>
  <c r="H10" i="9"/>
  <c r="H24" i="9"/>
  <c r="I24" i="9"/>
  <c r="H7" i="9"/>
  <c r="I7" i="9"/>
  <c r="H23" i="9"/>
  <c r="I23" i="9"/>
  <c r="I18" i="9"/>
  <c r="H18" i="9"/>
  <c r="I25" i="9"/>
  <c r="H25" i="9"/>
  <c r="I17" i="9"/>
  <c r="H17" i="9"/>
  <c r="J6" i="9"/>
  <c r="E26" i="9"/>
  <c r="I8" i="9"/>
  <c r="H8" i="9"/>
  <c r="I11" i="9"/>
  <c r="H11" i="9"/>
  <c r="H22" i="9"/>
  <c r="I22" i="9"/>
  <c r="G6" i="9"/>
  <c r="F26" i="9"/>
  <c r="H16" i="9"/>
  <c r="I16" i="9"/>
  <c r="I19" i="9"/>
  <c r="H19" i="9"/>
  <c r="X14" i="1"/>
  <c r="Y14" i="1" s="1"/>
  <c r="X15" i="1"/>
  <c r="T15" i="1" s="1"/>
  <c r="V15" i="1" s="1"/>
  <c r="T13" i="1"/>
  <c r="Y13" i="1"/>
  <c r="Z13" i="1"/>
  <c r="I6" i="9" l="1"/>
  <c r="H6" i="9"/>
  <c r="H26" i="9" s="1"/>
  <c r="G26" i="9"/>
  <c r="U15" i="1"/>
  <c r="Y15" i="1"/>
  <c r="Z14" i="1"/>
  <c r="T14" i="1"/>
  <c r="U14" i="1" s="1"/>
  <c r="Z15" i="1"/>
  <c r="AB15" i="1" s="1"/>
  <c r="AC15" i="1"/>
  <c r="V13" i="1"/>
  <c r="U13" i="1"/>
  <c r="E40" i="9" l="1"/>
  <c r="E39" i="9"/>
  <c r="V14" i="1"/>
  <c r="AB14" i="1" s="1"/>
  <c r="AD15" i="1"/>
  <c r="AF15" i="1" s="1"/>
  <c r="AB13" i="1"/>
  <c r="AC13" i="1"/>
  <c r="AD13" i="1" s="1"/>
  <c r="AF13" i="1" s="1"/>
  <c r="AC14" i="1" l="1"/>
  <c r="AD14" i="1" s="1"/>
  <c r="AF14" i="1" s="1"/>
  <c r="H9" i="6" l="1"/>
  <c r="M9" i="6" l="1"/>
  <c r="Q9" i="6"/>
  <c r="R9" i="6" s="1"/>
  <c r="I12" i="1" l="1"/>
  <c r="F12" i="1"/>
  <c r="C12" i="1" l="1"/>
  <c r="AE12" i="1"/>
  <c r="AA12" i="1"/>
  <c r="W12" i="1"/>
  <c r="L12" i="1" l="1"/>
  <c r="P12" i="1" l="1"/>
  <c r="M12" i="1" l="1"/>
  <c r="S12" i="1"/>
  <c r="X12" i="1" s="1"/>
  <c r="Z12" i="1" l="1"/>
  <c r="T12" i="1"/>
  <c r="Y12" i="1"/>
  <c r="P9" i="6"/>
  <c r="O9" i="6"/>
  <c r="U12" i="1" l="1"/>
  <c r="V12" i="1"/>
  <c r="AC12" i="1" l="1"/>
  <c r="AD12" i="1" s="1"/>
  <c r="AB12" i="1"/>
  <c r="AF12" i="1" l="1"/>
</calcChain>
</file>

<file path=xl/sharedStrings.xml><?xml version="1.0" encoding="utf-8"?>
<sst xmlns="http://schemas.openxmlformats.org/spreadsheetml/2006/main" count="125" uniqueCount="92">
  <si>
    <t>A</t>
  </si>
  <si>
    <t>Conducción General</t>
  </si>
  <si>
    <t>Datos</t>
  </si>
  <si>
    <t>Diámetro teórico</t>
  </si>
  <si>
    <t>Proceso</t>
  </si>
  <si>
    <t>Respuestas</t>
  </si>
  <si>
    <t>DE</t>
  </si>
  <si>
    <t>Cota real de salida</t>
  </si>
  <si>
    <t>Cota de llegada</t>
  </si>
  <si>
    <t>Cota real de llegada</t>
  </si>
  <si>
    <t>Longitud</t>
  </si>
  <si>
    <t>Incremento</t>
  </si>
  <si>
    <t>Longitud de diseño</t>
  </si>
  <si>
    <t>Q</t>
  </si>
  <si>
    <t>Coeficiente de rugosidad</t>
  </si>
  <si>
    <t>Perdida de carga</t>
  </si>
  <si>
    <t>Diametro mayor en pulgadas</t>
  </si>
  <si>
    <t>Perdida de carga teoríca Diam. mayor</t>
  </si>
  <si>
    <t>Diametro menor en pulgadas</t>
  </si>
  <si>
    <t>Perdida de carga teoríca Diam. menor</t>
  </si>
  <si>
    <t>Diametro mayor</t>
  </si>
  <si>
    <t>Diametro menor</t>
  </si>
  <si>
    <t>Perdida de Carga Total</t>
  </si>
  <si>
    <t>Cota piezométrica Diam. Mayor</t>
  </si>
  <si>
    <t>Cota piezométrica Diam. Menor</t>
  </si>
  <si>
    <t>metros</t>
  </si>
  <si>
    <t>%</t>
  </si>
  <si>
    <t>l/s</t>
  </si>
  <si>
    <t>Pulgadas</t>
  </si>
  <si>
    <t>Diametro nominal</t>
  </si>
  <si>
    <t>Diametro real</t>
  </si>
  <si>
    <t>Longitud real de tuberia</t>
  </si>
  <si>
    <t>Perdida de carga real</t>
  </si>
  <si>
    <t>Velocidad  m/seg.</t>
  </si>
  <si>
    <t>PVC</t>
  </si>
  <si>
    <t>N</t>
  </si>
  <si>
    <t>R</t>
  </si>
  <si>
    <t>Factor de crecimiento</t>
  </si>
  <si>
    <t>Densidad de vivienda</t>
  </si>
  <si>
    <t>Dotación</t>
  </si>
  <si>
    <t>PC</t>
  </si>
  <si>
    <t>Presión diámetro tanque de distribución</t>
  </si>
  <si>
    <t>E-1</t>
  </si>
  <si>
    <t>DISEÑO HIDRAULICO:</t>
  </si>
  <si>
    <t>Tramo</t>
  </si>
  <si>
    <t>tipo de tubería</t>
  </si>
  <si>
    <t>longit.</t>
  </si>
  <si>
    <t>Long (3%)</t>
  </si>
  <si>
    <t>Caudal</t>
  </si>
  <si>
    <t>Cota de Terreno</t>
  </si>
  <si>
    <t xml:space="preserve">D. Nom </t>
  </si>
  <si>
    <t>Diam real</t>
  </si>
  <si>
    <t>Vel.</t>
  </si>
  <si>
    <t>HF</t>
  </si>
  <si>
    <t>Observaciones</t>
  </si>
  <si>
    <t>mater.</t>
  </si>
  <si>
    <t>presión</t>
  </si>
  <si>
    <t>(mts.)</t>
  </si>
  <si>
    <t>(l/s)</t>
  </si>
  <si>
    <t>Inicial</t>
  </si>
  <si>
    <t>Final</t>
  </si>
  <si>
    <t>(pulg.)</t>
  </si>
  <si>
    <t>(m/s)</t>
  </si>
  <si>
    <t>Longitud real</t>
  </si>
  <si>
    <t>Cota de terreno {salida)</t>
  </si>
  <si>
    <t>CRP 1</t>
  </si>
  <si>
    <t>CRP 2</t>
  </si>
  <si>
    <t>CRP 3</t>
  </si>
  <si>
    <t>P. C.</t>
  </si>
  <si>
    <t>Viviendas actuales</t>
  </si>
  <si>
    <t>Poblacion actual</t>
  </si>
  <si>
    <t>Viviendas futuras</t>
  </si>
  <si>
    <t>Población futura</t>
  </si>
  <si>
    <t>Caudal medio</t>
  </si>
  <si>
    <t>Caudal de día máximo</t>
  </si>
  <si>
    <t>Caudal de hora máxima</t>
  </si>
  <si>
    <t>Caudal de consumo simultaneo</t>
  </si>
  <si>
    <t>Criterios de diseño</t>
  </si>
  <si>
    <t>años</t>
  </si>
  <si>
    <t>Habit. / Viv.</t>
  </si>
  <si>
    <t>Sumatoria</t>
  </si>
  <si>
    <t>l / hab / día</t>
  </si>
  <si>
    <t>Factor de día máximo</t>
  </si>
  <si>
    <t>Factor de hora máxima</t>
  </si>
  <si>
    <t>Volumen del tanque de dist.</t>
  </si>
  <si>
    <t>Volumen asumido</t>
  </si>
  <si>
    <t>m3</t>
  </si>
  <si>
    <t>coeficiente</t>
  </si>
  <si>
    <t>Perdida de carga propuesta</t>
  </si>
  <si>
    <t>A estación</t>
  </si>
  <si>
    <t>(m)</t>
  </si>
  <si>
    <t>De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</si>
</sst>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E-&quot;\ 0"/>
    <numFmt numFmtId="165" formatCode="0.000"/>
    <numFmt numFmtId="166" formatCode="0.0"/>
    <numFmt numFmtId="175" formatCode="#,##0.0000_ ;\-#,##0.0000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Batang"/>
      <family val="1"/>
    </font>
    <font>
      <sz val="11"/>
      <color theme="1"/>
      <name val="Batang"/>
      <family val="1"/>
    </font>
    <font>
      <sz val="10"/>
      <name val="Arial"/>
      <family val="2"/>
    </font>
    <font>
      <b/>
      <sz val="25"/>
      <color theme="1"/>
      <name val="Batang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20"/>
      <name val="Arial"/>
      <family val="2"/>
    </font>
    <font>
      <sz val="15"/>
      <name val="Arial"/>
      <family val="2"/>
    </font>
    <font>
      <b/>
      <sz val="11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1" applyFill="1" applyAlignment="1">
      <alignment horizontal="center"/>
    </xf>
    <xf numFmtId="0" fontId="3" fillId="4" borderId="2" xfId="1" applyFill="1" applyBorder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 wrapText="1"/>
    </xf>
    <xf numFmtId="0" fontId="3" fillId="5" borderId="0" xfId="1" applyFill="1" applyAlignment="1">
      <alignment horizontal="center" vertical="center" wrapText="1"/>
    </xf>
    <xf numFmtId="0" fontId="3" fillId="3" borderId="7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4" fontId="3" fillId="0" borderId="1" xfId="1" applyNumberFormat="1" applyBorder="1" applyAlignment="1">
      <alignment horizontal="center" vertical="center" wrapText="1"/>
    </xf>
    <xf numFmtId="4" fontId="3" fillId="0" borderId="7" xfId="1" applyNumberFormat="1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2" fontId="3" fillId="0" borderId="7" xfId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3" fillId="0" borderId="0" xfId="1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3" fillId="0" borderId="1" xfId="1" applyNumberFormat="1" applyBorder="1" applyAlignment="1">
      <alignment horizontal="center" vertical="center" wrapText="1"/>
    </xf>
    <xf numFmtId="4" fontId="3" fillId="0" borderId="0" xfId="1" applyNumberFormat="1" applyAlignment="1">
      <alignment vertical="center" wrapText="1"/>
    </xf>
    <xf numFmtId="164" fontId="3" fillId="0" borderId="0" xfId="1" applyNumberFormat="1" applyAlignment="1">
      <alignment vertical="center" wrapText="1"/>
    </xf>
    <xf numFmtId="0" fontId="3" fillId="0" borderId="0" xfId="1"/>
    <xf numFmtId="0" fontId="7" fillId="0" borderId="0" xfId="1" applyFont="1"/>
    <xf numFmtId="2" fontId="3" fillId="0" borderId="0" xfId="1" applyNumberFormat="1"/>
    <xf numFmtId="0" fontId="3" fillId="0" borderId="1" xfId="1" applyBorder="1" applyAlignment="1">
      <alignment horizontal="center"/>
    </xf>
    <xf numFmtId="2" fontId="3" fillId="0" borderId="1" xfId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ill="1" applyBorder="1" applyAlignment="1">
      <alignment horizontal="center"/>
    </xf>
    <xf numFmtId="0" fontId="3" fillId="3" borderId="2" xfId="1" applyFill="1" applyBorder="1" applyAlignment="1">
      <alignment horizontal="center" vertical="center"/>
    </xf>
    <xf numFmtId="0" fontId="3" fillId="3" borderId="3" xfId="1" applyFill="1" applyBorder="1" applyAlignment="1">
      <alignment horizontal="center" vertical="center"/>
    </xf>
    <xf numFmtId="0" fontId="3" fillId="4" borderId="4" xfId="1" applyFill="1" applyBorder="1" applyAlignment="1">
      <alignment horizontal="center" vertical="center" wrapText="1"/>
    </xf>
    <xf numFmtId="0" fontId="3" fillId="4" borderId="6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3" fillId="4" borderId="5" xfId="1" applyFill="1" applyBorder="1" applyAlignment="1">
      <alignment horizontal="center" vertical="center"/>
    </xf>
    <xf numFmtId="0" fontId="3" fillId="5" borderId="2" xfId="1" applyFill="1" applyBorder="1" applyAlignment="1">
      <alignment horizontal="center" vertical="center"/>
    </xf>
    <xf numFmtId="0" fontId="3" fillId="5" borderId="3" xfId="1" applyFill="1" applyBorder="1" applyAlignment="1">
      <alignment horizontal="center" vertical="center"/>
    </xf>
    <xf numFmtId="0" fontId="3" fillId="5" borderId="5" xfId="1" applyFill="1" applyBorder="1" applyAlignment="1">
      <alignment horizontal="center" vertical="center"/>
    </xf>
    <xf numFmtId="0" fontId="3" fillId="3" borderId="4" xfId="1" applyFill="1" applyBorder="1" applyAlignment="1">
      <alignment horizontal="center" vertical="center"/>
    </xf>
    <xf numFmtId="0" fontId="3" fillId="3" borderId="7" xfId="1" applyFill="1" applyBorder="1" applyAlignment="1">
      <alignment horizontal="center" vertical="center"/>
    </xf>
    <xf numFmtId="0" fontId="3" fillId="5" borderId="4" xfId="1" applyFill="1" applyBorder="1" applyAlignment="1">
      <alignment horizontal="center" vertical="center" wrapText="1"/>
    </xf>
    <xf numFmtId="0" fontId="3" fillId="5" borderId="7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3" borderId="7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1" applyFill="1" applyBorder="1" applyAlignment="1">
      <alignment horizontal="center" vertical="center" wrapText="1"/>
    </xf>
    <xf numFmtId="2" fontId="8" fillId="0" borderId="0" xfId="1" applyNumberFormat="1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Border="1" applyAlignment="1"/>
    <xf numFmtId="165" fontId="3" fillId="7" borderId="7" xfId="1" applyNumberFormat="1" applyFill="1" applyBorder="1" applyAlignment="1">
      <alignment horizontal="center" vertical="center"/>
    </xf>
    <xf numFmtId="0" fontId="3" fillId="8" borderId="7" xfId="1" applyFill="1" applyBorder="1" applyAlignment="1">
      <alignment horizontal="center" vertical="center"/>
    </xf>
    <xf numFmtId="1" fontId="3" fillId="8" borderId="7" xfId="1" applyNumberFormat="1" applyFill="1" applyBorder="1" applyAlignment="1">
      <alignment horizontal="center" vertical="center"/>
    </xf>
    <xf numFmtId="165" fontId="3" fillId="8" borderId="7" xfId="1" applyNumberFormat="1" applyFill="1" applyBorder="1" applyAlignment="1">
      <alignment horizontal="center" vertical="center"/>
    </xf>
    <xf numFmtId="4" fontId="3" fillId="8" borderId="7" xfId="1" applyNumberFormat="1" applyFill="1" applyBorder="1" applyAlignment="1">
      <alignment horizontal="center" vertical="center" wrapText="1"/>
    </xf>
    <xf numFmtId="4" fontId="3" fillId="8" borderId="0" xfId="1" applyNumberFormat="1" applyFill="1" applyAlignment="1">
      <alignment horizontal="center" vertical="center" wrapText="1"/>
    </xf>
    <xf numFmtId="4" fontId="0" fillId="8" borderId="1" xfId="0" applyNumberFormat="1" applyFill="1" applyBorder="1" applyAlignment="1">
      <alignment horizontal="center" vertical="center"/>
    </xf>
    <xf numFmtId="2" fontId="3" fillId="8" borderId="1" xfId="1" applyNumberFormat="1" applyFill="1" applyBorder="1" applyAlignment="1">
      <alignment horizontal="center" vertical="center"/>
    </xf>
    <xf numFmtId="2" fontId="3" fillId="8" borderId="5" xfId="1" applyNumberFormat="1" applyFill="1" applyBorder="1" applyAlignment="1">
      <alignment horizontal="center" vertical="center"/>
    </xf>
    <xf numFmtId="2" fontId="3" fillId="8" borderId="7" xfId="1" applyNumberFormat="1" applyFill="1" applyBorder="1" applyAlignment="1">
      <alignment horizontal="center" vertical="center"/>
    </xf>
    <xf numFmtId="4" fontId="3" fillId="8" borderId="1" xfId="1" applyNumberFormat="1" applyFill="1" applyBorder="1" applyAlignment="1">
      <alignment horizontal="center" vertical="center" wrapText="1"/>
    </xf>
    <xf numFmtId="4" fontId="3" fillId="8" borderId="7" xfId="1" applyNumberFormat="1" applyFill="1" applyBorder="1" applyAlignment="1">
      <alignment horizontal="center" vertical="center"/>
    </xf>
    <xf numFmtId="2" fontId="3" fillId="7" borderId="1" xfId="1" applyNumberFormat="1" applyFill="1" applyBorder="1" applyAlignment="1">
      <alignment horizontal="center" vertical="center"/>
    </xf>
    <xf numFmtId="4" fontId="3" fillId="7" borderId="7" xfId="1" applyNumberForma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0" fontId="0" fillId="0" borderId="1" xfId="0" applyBorder="1" applyAlignment="1">
      <alignment horizontal="left"/>
    </xf>
    <xf numFmtId="10" fontId="0" fillId="0" borderId="1" xfId="3" applyNumberFormat="1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75" fontId="0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9" fontId="0" fillId="0" borderId="1" xfId="3" applyFont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2" fontId="3" fillId="0" borderId="1" xfId="1" applyNumberFormat="1" applyBorder="1" applyAlignment="1">
      <alignment horizontal="center"/>
    </xf>
    <xf numFmtId="2" fontId="3" fillId="0" borderId="1" xfId="1" applyNumberFormat="1" applyBorder="1" applyAlignment="1">
      <alignment horizontal="center" wrapText="1"/>
    </xf>
    <xf numFmtId="0" fontId="3" fillId="0" borderId="1" xfId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6" fontId="3" fillId="0" borderId="1" xfId="1" applyNumberForma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1" applyNumberFormat="1" applyFill="1" applyBorder="1" applyAlignment="1">
      <alignment horizontal="center"/>
    </xf>
    <xf numFmtId="0" fontId="3" fillId="0" borderId="0" xfId="1" applyFill="1"/>
    <xf numFmtId="0" fontId="3" fillId="0" borderId="0" xfId="1" applyFill="1" applyAlignment="1">
      <alignment vertical="center"/>
    </xf>
    <xf numFmtId="0" fontId="0" fillId="0" borderId="0" xfId="0" applyFill="1"/>
    <xf numFmtId="2" fontId="3" fillId="8" borderId="1" xfId="1" applyNumberFormat="1" applyFill="1" applyBorder="1" applyAlignment="1">
      <alignment horizontal="center"/>
    </xf>
    <xf numFmtId="0" fontId="3" fillId="8" borderId="1" xfId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174-5576-4ADD-B26F-73B43CAA10E9}">
  <sheetPr>
    <tabColor rgb="FFFF0000"/>
  </sheetPr>
  <dimension ref="B5:K41"/>
  <sheetViews>
    <sheetView workbookViewId="0">
      <selection activeCell="H36" sqref="H36"/>
    </sheetView>
  </sheetViews>
  <sheetFormatPr baseColWidth="10" defaultRowHeight="14.4" x14ac:dyDescent="0.3"/>
  <cols>
    <col min="2" max="2" width="13.21875" customWidth="1"/>
    <col min="3" max="3" width="14.6640625" customWidth="1"/>
    <col min="4" max="4" width="14" customWidth="1"/>
    <col min="5" max="5" width="13.6640625" customWidth="1"/>
    <col min="6" max="6" width="13.5546875" customWidth="1"/>
    <col min="7" max="7" width="13.109375" customWidth="1"/>
    <col min="8" max="8" width="14.33203125" customWidth="1"/>
    <col min="9" max="9" width="13.6640625" customWidth="1"/>
    <col min="10" max="10" width="15.21875" customWidth="1"/>
    <col min="11" max="11" width="36.77734375" customWidth="1"/>
  </cols>
  <sheetData>
    <row r="5" spans="2:11" ht="43.2" x14ac:dyDescent="0.3">
      <c r="B5" s="81" t="s">
        <v>68</v>
      </c>
      <c r="C5" s="81" t="s">
        <v>69</v>
      </c>
      <c r="D5" s="81" t="s">
        <v>70</v>
      </c>
      <c r="E5" s="81" t="s">
        <v>71</v>
      </c>
      <c r="F5" s="81" t="s">
        <v>72</v>
      </c>
      <c r="G5" s="81" t="s">
        <v>73</v>
      </c>
      <c r="H5" s="81" t="s">
        <v>74</v>
      </c>
      <c r="I5" s="81" t="s">
        <v>75</v>
      </c>
      <c r="J5" s="81" t="s">
        <v>76</v>
      </c>
      <c r="K5" s="81" t="s">
        <v>54</v>
      </c>
    </row>
    <row r="6" spans="2:11" x14ac:dyDescent="0.3">
      <c r="B6" s="19">
        <v>1</v>
      </c>
      <c r="C6" s="19">
        <v>56</v>
      </c>
      <c r="D6" s="19">
        <f>C6*$D$33</f>
        <v>336</v>
      </c>
      <c r="E6" s="24">
        <f>C6*$D$35</f>
        <v>94.359813335027212</v>
      </c>
      <c r="F6" s="24">
        <f>D6*$D$35</f>
        <v>566.15888001016333</v>
      </c>
      <c r="G6" s="33">
        <f>F6*$D$36/86400</f>
        <v>0.65527648149324458</v>
      </c>
      <c r="H6" s="33">
        <f>G6*$D$37</f>
        <v>0.78633177779189345</v>
      </c>
      <c r="I6" s="33">
        <f>G6*$D$38</f>
        <v>1.3105529629864892</v>
      </c>
      <c r="J6" s="33">
        <f>0.2*SQRT(E6-1)</f>
        <v>1.9324576407779521</v>
      </c>
      <c r="K6" s="21"/>
    </row>
    <row r="7" spans="2:11" x14ac:dyDescent="0.3">
      <c r="B7" s="19">
        <v>2</v>
      </c>
      <c r="C7" s="19">
        <v>45</v>
      </c>
      <c r="D7" s="19">
        <f t="shared" ref="D7:D25" si="0">C7*$D$33</f>
        <v>270</v>
      </c>
      <c r="E7" s="24">
        <f t="shared" ref="E7:E25" si="1">C7*$D$35</f>
        <v>75.824850001361156</v>
      </c>
      <c r="F7" s="24">
        <f t="shared" ref="F7:F25" si="2">D7*$D$35</f>
        <v>454.94910000816691</v>
      </c>
      <c r="G7" s="33">
        <f t="shared" ref="G7:G25" si="3">F7*$D$36/86400</f>
        <v>0.52656145834278578</v>
      </c>
      <c r="H7" s="33">
        <f t="shared" ref="H7:H25" si="4">G7*$D$37</f>
        <v>0.63187375001134294</v>
      </c>
      <c r="I7" s="33">
        <f t="shared" ref="I7:I25" si="5">G7*$D$38</f>
        <v>1.0531229166855716</v>
      </c>
      <c r="J7" s="33">
        <f t="shared" ref="J7:J25" si="6">0.2*SQRT(E7-1)</f>
        <v>1.7300271674324792</v>
      </c>
      <c r="K7" s="21"/>
    </row>
    <row r="8" spans="2:11" x14ac:dyDescent="0.3">
      <c r="B8" s="19">
        <v>3</v>
      </c>
      <c r="C8" s="19">
        <v>75</v>
      </c>
      <c r="D8" s="19">
        <f t="shared" si="0"/>
        <v>450</v>
      </c>
      <c r="E8" s="24">
        <f t="shared" si="1"/>
        <v>126.37475000226858</v>
      </c>
      <c r="F8" s="24">
        <f t="shared" si="2"/>
        <v>758.24850001361153</v>
      </c>
      <c r="G8" s="33">
        <f t="shared" si="3"/>
        <v>0.8776024305713096</v>
      </c>
      <c r="H8" s="33">
        <f t="shared" si="4"/>
        <v>1.0531229166855716</v>
      </c>
      <c r="I8" s="33">
        <f t="shared" si="5"/>
        <v>1.7552048611426192</v>
      </c>
      <c r="J8" s="33">
        <f t="shared" si="6"/>
        <v>2.2394173349536133</v>
      </c>
      <c r="K8" s="21"/>
    </row>
    <row r="9" spans="2:11" x14ac:dyDescent="0.3">
      <c r="B9" s="19">
        <v>4</v>
      </c>
      <c r="C9" s="19">
        <v>85</v>
      </c>
      <c r="D9" s="19">
        <f t="shared" si="0"/>
        <v>510</v>
      </c>
      <c r="E9" s="24">
        <f t="shared" si="1"/>
        <v>143.22471666923772</v>
      </c>
      <c r="F9" s="24">
        <f t="shared" si="2"/>
        <v>859.34830001542639</v>
      </c>
      <c r="G9" s="33">
        <f t="shared" si="3"/>
        <v>0.99461608798081758</v>
      </c>
      <c r="H9" s="33">
        <f t="shared" si="4"/>
        <v>1.193539305576981</v>
      </c>
      <c r="I9" s="33">
        <f t="shared" si="5"/>
        <v>1.9892321759616352</v>
      </c>
      <c r="J9" s="33">
        <f t="shared" si="6"/>
        <v>2.385160092482161</v>
      </c>
      <c r="K9" s="21"/>
    </row>
    <row r="10" spans="2:11" x14ac:dyDescent="0.3">
      <c r="B10" s="19">
        <v>5</v>
      </c>
      <c r="C10" s="19">
        <v>52</v>
      </c>
      <c r="D10" s="19">
        <f t="shared" si="0"/>
        <v>312</v>
      </c>
      <c r="E10" s="24">
        <f t="shared" si="1"/>
        <v>87.619826668239554</v>
      </c>
      <c r="F10" s="24">
        <f t="shared" si="2"/>
        <v>525.7189600094373</v>
      </c>
      <c r="G10" s="33">
        <f t="shared" si="3"/>
        <v>0.6084710185294413</v>
      </c>
      <c r="H10" s="33">
        <f t="shared" si="4"/>
        <v>0.73016522223532954</v>
      </c>
      <c r="I10" s="33">
        <f t="shared" si="5"/>
        <v>1.2169420370588826</v>
      </c>
      <c r="J10" s="33">
        <f t="shared" si="6"/>
        <v>1.8613954622082816</v>
      </c>
      <c r="K10" s="21"/>
    </row>
    <row r="11" spans="2:11" x14ac:dyDescent="0.3">
      <c r="B11" s="19">
        <v>6</v>
      </c>
      <c r="C11" s="19">
        <v>25</v>
      </c>
      <c r="D11" s="19">
        <f t="shared" si="0"/>
        <v>150</v>
      </c>
      <c r="E11" s="24">
        <f t="shared" si="1"/>
        <v>42.124916667422866</v>
      </c>
      <c r="F11" s="24">
        <f t="shared" si="2"/>
        <v>252.74950000453717</v>
      </c>
      <c r="G11" s="33">
        <f t="shared" si="3"/>
        <v>0.29253414352376989</v>
      </c>
      <c r="H11" s="33">
        <f t="shared" si="4"/>
        <v>0.35104097222852387</v>
      </c>
      <c r="I11" s="33">
        <f t="shared" si="5"/>
        <v>0.58506828704753977</v>
      </c>
      <c r="J11" s="33">
        <f t="shared" si="6"/>
        <v>1.2825742343805737</v>
      </c>
      <c r="K11" s="21"/>
    </row>
    <row r="12" spans="2:11" x14ac:dyDescent="0.3">
      <c r="B12" s="19">
        <v>7</v>
      </c>
      <c r="C12" s="19">
        <v>46</v>
      </c>
      <c r="D12" s="19">
        <f t="shared" si="0"/>
        <v>276</v>
      </c>
      <c r="E12" s="24">
        <f t="shared" si="1"/>
        <v>77.50984666805806</v>
      </c>
      <c r="F12" s="24">
        <f t="shared" si="2"/>
        <v>465.05908000834842</v>
      </c>
      <c r="G12" s="33">
        <f t="shared" si="3"/>
        <v>0.5382628240837366</v>
      </c>
      <c r="H12" s="33">
        <f t="shared" si="4"/>
        <v>0.64591538890048394</v>
      </c>
      <c r="I12" s="33">
        <f t="shared" si="5"/>
        <v>1.0765256481674732</v>
      </c>
      <c r="J12" s="33">
        <f t="shared" si="6"/>
        <v>1.749398144140528</v>
      </c>
      <c r="K12" s="21"/>
    </row>
    <row r="13" spans="2:11" x14ac:dyDescent="0.3">
      <c r="B13" s="19">
        <v>8</v>
      </c>
      <c r="C13" s="19">
        <v>45</v>
      </c>
      <c r="D13" s="19">
        <f t="shared" si="0"/>
        <v>270</v>
      </c>
      <c r="E13" s="24">
        <f t="shared" si="1"/>
        <v>75.824850001361156</v>
      </c>
      <c r="F13" s="24">
        <f t="shared" si="2"/>
        <v>454.94910000816691</v>
      </c>
      <c r="G13" s="33">
        <f t="shared" si="3"/>
        <v>0.52656145834278578</v>
      </c>
      <c r="H13" s="33">
        <f t="shared" si="4"/>
        <v>0.63187375001134294</v>
      </c>
      <c r="I13" s="33">
        <f t="shared" si="5"/>
        <v>1.0531229166855716</v>
      </c>
      <c r="J13" s="33">
        <f t="shared" si="6"/>
        <v>1.7300271674324792</v>
      </c>
      <c r="K13" s="21"/>
    </row>
    <row r="14" spans="2:11" x14ac:dyDescent="0.3">
      <c r="B14" s="19">
        <v>9</v>
      </c>
      <c r="C14" s="19">
        <v>52</v>
      </c>
      <c r="D14" s="19">
        <f t="shared" si="0"/>
        <v>312</v>
      </c>
      <c r="E14" s="24">
        <f t="shared" si="1"/>
        <v>87.619826668239554</v>
      </c>
      <c r="F14" s="24">
        <f t="shared" si="2"/>
        <v>525.7189600094373</v>
      </c>
      <c r="G14" s="33">
        <f t="shared" si="3"/>
        <v>0.6084710185294413</v>
      </c>
      <c r="H14" s="33">
        <f t="shared" si="4"/>
        <v>0.73016522223532954</v>
      </c>
      <c r="I14" s="33">
        <f t="shared" si="5"/>
        <v>1.2169420370588826</v>
      </c>
      <c r="J14" s="33">
        <f t="shared" si="6"/>
        <v>1.8613954622082816</v>
      </c>
      <c r="K14" s="21"/>
    </row>
    <row r="15" spans="2:11" x14ac:dyDescent="0.3">
      <c r="B15" s="19">
        <v>10</v>
      </c>
      <c r="C15" s="19">
        <v>45</v>
      </c>
      <c r="D15" s="19">
        <f t="shared" si="0"/>
        <v>270</v>
      </c>
      <c r="E15" s="24">
        <f t="shared" si="1"/>
        <v>75.824850001361156</v>
      </c>
      <c r="F15" s="24">
        <f t="shared" si="2"/>
        <v>454.94910000816691</v>
      </c>
      <c r="G15" s="33">
        <f t="shared" si="3"/>
        <v>0.52656145834278578</v>
      </c>
      <c r="H15" s="33">
        <f t="shared" si="4"/>
        <v>0.63187375001134294</v>
      </c>
      <c r="I15" s="33">
        <f t="shared" si="5"/>
        <v>1.0531229166855716</v>
      </c>
      <c r="J15" s="33">
        <f t="shared" si="6"/>
        <v>1.7300271674324792</v>
      </c>
      <c r="K15" s="21"/>
    </row>
    <row r="16" spans="2:11" x14ac:dyDescent="0.3">
      <c r="B16" s="19">
        <v>11</v>
      </c>
      <c r="C16" s="19">
        <v>78</v>
      </c>
      <c r="D16" s="19">
        <f t="shared" si="0"/>
        <v>468</v>
      </c>
      <c r="E16" s="24">
        <f t="shared" si="1"/>
        <v>131.42974000235932</v>
      </c>
      <c r="F16" s="24">
        <f t="shared" si="2"/>
        <v>788.57844001415594</v>
      </c>
      <c r="G16" s="33">
        <f t="shared" si="3"/>
        <v>0.91270652779416195</v>
      </c>
      <c r="H16" s="33">
        <f t="shared" si="4"/>
        <v>1.0952478333529942</v>
      </c>
      <c r="I16" s="33">
        <f t="shared" si="5"/>
        <v>1.8254130555883239</v>
      </c>
      <c r="J16" s="33">
        <f t="shared" si="6"/>
        <v>2.2841168096431437</v>
      </c>
      <c r="K16" s="21"/>
    </row>
    <row r="17" spans="2:11" x14ac:dyDescent="0.3">
      <c r="B17" s="19">
        <v>12</v>
      </c>
      <c r="C17" s="19">
        <v>20</v>
      </c>
      <c r="D17" s="19">
        <f t="shared" si="0"/>
        <v>120</v>
      </c>
      <c r="E17" s="24">
        <f t="shared" si="1"/>
        <v>33.69993333393829</v>
      </c>
      <c r="F17" s="24">
        <f t="shared" si="2"/>
        <v>202.19960000362974</v>
      </c>
      <c r="G17" s="33">
        <f t="shared" si="3"/>
        <v>0.23402731481901592</v>
      </c>
      <c r="H17" s="33">
        <f t="shared" si="4"/>
        <v>0.28083277778281912</v>
      </c>
      <c r="I17" s="33">
        <f t="shared" si="5"/>
        <v>0.46805462963803185</v>
      </c>
      <c r="J17" s="33">
        <f t="shared" si="6"/>
        <v>1.1436771106206207</v>
      </c>
      <c r="K17" s="21"/>
    </row>
    <row r="18" spans="2:11" x14ac:dyDescent="0.3">
      <c r="B18" s="19">
        <v>13</v>
      </c>
      <c r="C18" s="19">
        <v>42</v>
      </c>
      <c r="D18" s="19">
        <f t="shared" si="0"/>
        <v>252</v>
      </c>
      <c r="E18" s="24">
        <f t="shared" si="1"/>
        <v>70.769860001270416</v>
      </c>
      <c r="F18" s="24">
        <f t="shared" si="2"/>
        <v>424.61916000762244</v>
      </c>
      <c r="G18" s="33">
        <f t="shared" si="3"/>
        <v>0.49145736111993332</v>
      </c>
      <c r="H18" s="33">
        <f t="shared" si="4"/>
        <v>0.58974883334391992</v>
      </c>
      <c r="I18" s="33">
        <f t="shared" si="5"/>
        <v>0.98291472223986665</v>
      </c>
      <c r="J18" s="33">
        <f t="shared" si="6"/>
        <v>1.670567089359424</v>
      </c>
      <c r="K18" s="21"/>
    </row>
    <row r="19" spans="2:11" x14ac:dyDescent="0.3">
      <c r="B19" s="19">
        <v>14</v>
      </c>
      <c r="C19" s="19">
        <v>41</v>
      </c>
      <c r="D19" s="19">
        <f t="shared" si="0"/>
        <v>246</v>
      </c>
      <c r="E19" s="24">
        <f t="shared" si="1"/>
        <v>69.084863334573498</v>
      </c>
      <c r="F19" s="24">
        <f t="shared" si="2"/>
        <v>414.50918000744099</v>
      </c>
      <c r="G19" s="33">
        <f t="shared" si="3"/>
        <v>0.47975599537898261</v>
      </c>
      <c r="H19" s="33">
        <f t="shared" si="4"/>
        <v>0.57570719445477914</v>
      </c>
      <c r="I19" s="33">
        <f t="shared" si="5"/>
        <v>0.95951199075796523</v>
      </c>
      <c r="J19" s="33">
        <f t="shared" si="6"/>
        <v>1.6502710484592946</v>
      </c>
      <c r="K19" s="21"/>
    </row>
    <row r="20" spans="2:11" x14ac:dyDescent="0.3">
      <c r="B20" s="19">
        <v>15</v>
      </c>
      <c r="C20" s="19">
        <v>25</v>
      </c>
      <c r="D20" s="19">
        <f t="shared" si="0"/>
        <v>150</v>
      </c>
      <c r="E20" s="24">
        <f t="shared" si="1"/>
        <v>42.124916667422866</v>
      </c>
      <c r="F20" s="24">
        <f t="shared" si="2"/>
        <v>252.74950000453717</v>
      </c>
      <c r="G20" s="33">
        <f t="shared" si="3"/>
        <v>0.29253414352376989</v>
      </c>
      <c r="H20" s="33">
        <f t="shared" si="4"/>
        <v>0.35104097222852387</v>
      </c>
      <c r="I20" s="33">
        <f t="shared" si="5"/>
        <v>0.58506828704753977</v>
      </c>
      <c r="J20" s="33">
        <f t="shared" si="6"/>
        <v>1.2825742343805737</v>
      </c>
      <c r="K20" s="21"/>
    </row>
    <row r="21" spans="2:11" x14ac:dyDescent="0.3">
      <c r="B21" s="19">
        <v>16</v>
      </c>
      <c r="C21" s="19">
        <v>65</v>
      </c>
      <c r="D21" s="19">
        <f t="shared" si="0"/>
        <v>390</v>
      </c>
      <c r="E21" s="24">
        <f t="shared" si="1"/>
        <v>109.52478333529945</v>
      </c>
      <c r="F21" s="24">
        <f t="shared" si="2"/>
        <v>657.14870001179668</v>
      </c>
      <c r="G21" s="33">
        <f t="shared" si="3"/>
        <v>0.76058877316180162</v>
      </c>
      <c r="H21" s="33">
        <f t="shared" si="4"/>
        <v>0.91270652779416195</v>
      </c>
      <c r="I21" s="33">
        <f t="shared" si="5"/>
        <v>1.5211775463236032</v>
      </c>
      <c r="J21" s="33">
        <f t="shared" si="6"/>
        <v>2.0835045796474692</v>
      </c>
      <c r="K21" s="21"/>
    </row>
    <row r="22" spans="2:11" x14ac:dyDescent="0.3">
      <c r="B22" s="19">
        <v>17</v>
      </c>
      <c r="C22" s="19">
        <v>68</v>
      </c>
      <c r="D22" s="19">
        <f t="shared" si="0"/>
        <v>408</v>
      </c>
      <c r="E22" s="24">
        <f t="shared" si="1"/>
        <v>114.57977333539019</v>
      </c>
      <c r="F22" s="24">
        <f t="shared" si="2"/>
        <v>687.47864001234109</v>
      </c>
      <c r="G22" s="33">
        <f t="shared" si="3"/>
        <v>0.79569287038465397</v>
      </c>
      <c r="H22" s="33">
        <f t="shared" si="4"/>
        <v>0.95483144446158474</v>
      </c>
      <c r="I22" s="33">
        <f t="shared" si="5"/>
        <v>1.5913857407693079</v>
      </c>
      <c r="J22" s="33">
        <f t="shared" si="6"/>
        <v>2.131476233368697</v>
      </c>
      <c r="K22" s="21"/>
    </row>
    <row r="23" spans="2:11" x14ac:dyDescent="0.3">
      <c r="B23" s="19">
        <v>18</v>
      </c>
      <c r="C23" s="19">
        <v>68</v>
      </c>
      <c r="D23" s="19">
        <f t="shared" si="0"/>
        <v>408</v>
      </c>
      <c r="E23" s="24">
        <f t="shared" si="1"/>
        <v>114.57977333539019</v>
      </c>
      <c r="F23" s="24">
        <f t="shared" si="2"/>
        <v>687.47864001234109</v>
      </c>
      <c r="G23" s="33">
        <f t="shared" si="3"/>
        <v>0.79569287038465397</v>
      </c>
      <c r="H23" s="33">
        <f t="shared" si="4"/>
        <v>0.95483144446158474</v>
      </c>
      <c r="I23" s="33">
        <f t="shared" si="5"/>
        <v>1.5913857407693079</v>
      </c>
      <c r="J23" s="33">
        <f t="shared" si="6"/>
        <v>2.131476233368697</v>
      </c>
      <c r="K23" s="21"/>
    </row>
    <row r="24" spans="2:11" x14ac:dyDescent="0.3">
      <c r="B24" s="19">
        <v>19</v>
      </c>
      <c r="C24" s="19">
        <v>87</v>
      </c>
      <c r="D24" s="19">
        <f t="shared" si="0"/>
        <v>522</v>
      </c>
      <c r="E24" s="24">
        <f t="shared" si="1"/>
        <v>146.59471000263156</v>
      </c>
      <c r="F24" s="24">
        <f t="shared" si="2"/>
        <v>879.56826001578941</v>
      </c>
      <c r="G24" s="33">
        <f t="shared" si="3"/>
        <v>1.0180188194627193</v>
      </c>
      <c r="H24" s="33">
        <f t="shared" si="4"/>
        <v>1.2216225833552632</v>
      </c>
      <c r="I24" s="33">
        <f t="shared" si="5"/>
        <v>2.0360376389254387</v>
      </c>
      <c r="J24" s="33">
        <f t="shared" si="6"/>
        <v>2.4132526598152264</v>
      </c>
      <c r="K24" s="21"/>
    </row>
    <row r="25" spans="2:11" x14ac:dyDescent="0.3">
      <c r="B25" s="19">
        <v>20</v>
      </c>
      <c r="C25" s="19">
        <v>74</v>
      </c>
      <c r="D25" s="19">
        <f t="shared" si="0"/>
        <v>444</v>
      </c>
      <c r="E25" s="24">
        <f t="shared" si="1"/>
        <v>124.68975333557168</v>
      </c>
      <c r="F25" s="24">
        <f t="shared" si="2"/>
        <v>748.13852001343002</v>
      </c>
      <c r="G25" s="33">
        <f t="shared" si="3"/>
        <v>0.86590106483035889</v>
      </c>
      <c r="H25" s="33">
        <f t="shared" si="4"/>
        <v>1.0390812777964307</v>
      </c>
      <c r="I25" s="33">
        <f t="shared" si="5"/>
        <v>1.7318021296607178</v>
      </c>
      <c r="J25" s="33">
        <f t="shared" si="6"/>
        <v>2.2243179029587625</v>
      </c>
      <c r="K25" s="21"/>
    </row>
    <row r="26" spans="2:11" x14ac:dyDescent="0.3">
      <c r="B26" s="84" t="s">
        <v>80</v>
      </c>
      <c r="C26" s="85">
        <f>SUM(C6:C25)</f>
        <v>1094</v>
      </c>
      <c r="D26" s="85">
        <f t="shared" ref="D26:F26" si="7">SUM(D6:D25)</f>
        <v>6564</v>
      </c>
      <c r="E26" s="85">
        <f t="shared" si="7"/>
        <v>1843.3863533664244</v>
      </c>
      <c r="F26" s="85">
        <f t="shared" si="7"/>
        <v>11060.318120198546</v>
      </c>
      <c r="G26" s="86">
        <f>SUM(G6:G25)</f>
        <v>12.80129412060017</v>
      </c>
      <c r="H26" s="86">
        <f>SUM(H6:H25)</f>
        <v>15.361552944720204</v>
      </c>
      <c r="I26" s="86"/>
      <c r="J26" s="87"/>
      <c r="K26" s="87"/>
    </row>
    <row r="27" spans="2:11" x14ac:dyDescent="0.3">
      <c r="C27" s="82"/>
    </row>
    <row r="28" spans="2:11" x14ac:dyDescent="0.3">
      <c r="C28" s="82"/>
    </row>
    <row r="30" spans="2:11" ht="15.6" x14ac:dyDescent="0.3">
      <c r="B30" s="96" t="s">
        <v>77</v>
      </c>
      <c r="C30" s="96"/>
      <c r="D30" s="96"/>
      <c r="E30" s="96"/>
    </row>
    <row r="31" spans="2:11" x14ac:dyDescent="0.3">
      <c r="B31" s="88" t="s">
        <v>36</v>
      </c>
      <c r="C31" s="88"/>
      <c r="D31" s="89">
        <v>2.4E-2</v>
      </c>
      <c r="E31" s="19" t="s">
        <v>26</v>
      </c>
    </row>
    <row r="32" spans="2:11" x14ac:dyDescent="0.3">
      <c r="B32" s="88" t="s">
        <v>35</v>
      </c>
      <c r="C32" s="88"/>
      <c r="D32" s="19">
        <v>22</v>
      </c>
      <c r="E32" s="19" t="s">
        <v>78</v>
      </c>
    </row>
    <row r="33" spans="2:5" x14ac:dyDescent="0.3">
      <c r="B33" s="90" t="s">
        <v>38</v>
      </c>
      <c r="C33" s="90"/>
      <c r="D33" s="23">
        <v>6</v>
      </c>
      <c r="E33" s="23" t="s">
        <v>79</v>
      </c>
    </row>
    <row r="34" spans="2:5" hidden="1" x14ac:dyDescent="0.3">
      <c r="B34" s="21"/>
      <c r="C34" s="22"/>
      <c r="D34" s="91">
        <f>(D31+1)</f>
        <v>1.024</v>
      </c>
      <c r="E34" s="19"/>
    </row>
    <row r="35" spans="2:5" x14ac:dyDescent="0.3">
      <c r="B35" s="22" t="s">
        <v>37</v>
      </c>
      <c r="C35" s="22"/>
      <c r="D35" s="83">
        <f>POWER(D34,D32)</f>
        <v>1.6849966666969145</v>
      </c>
      <c r="E35" s="19"/>
    </row>
    <row r="36" spans="2:5" x14ac:dyDescent="0.3">
      <c r="B36" s="88" t="s">
        <v>39</v>
      </c>
      <c r="C36" s="88"/>
      <c r="D36" s="19">
        <v>100</v>
      </c>
      <c r="E36" s="19" t="s">
        <v>81</v>
      </c>
    </row>
    <row r="37" spans="2:5" x14ac:dyDescent="0.3">
      <c r="B37" s="21" t="s">
        <v>82</v>
      </c>
      <c r="C37" s="21"/>
      <c r="D37" s="19">
        <v>1.2</v>
      </c>
      <c r="E37" s="19"/>
    </row>
    <row r="38" spans="2:5" x14ac:dyDescent="0.3">
      <c r="B38" s="21" t="s">
        <v>83</v>
      </c>
      <c r="C38" s="21"/>
      <c r="D38" s="19">
        <v>2</v>
      </c>
      <c r="E38" s="19"/>
    </row>
    <row r="39" spans="2:5" x14ac:dyDescent="0.3">
      <c r="B39" s="92" t="s">
        <v>84</v>
      </c>
      <c r="C39" s="92"/>
      <c r="D39" s="93">
        <v>0.25</v>
      </c>
      <c r="E39" s="33">
        <f>G26*86.4*D39</f>
        <v>276.50795300496367</v>
      </c>
    </row>
    <row r="40" spans="2:5" x14ac:dyDescent="0.3">
      <c r="B40" s="92"/>
      <c r="C40" s="92"/>
      <c r="D40" s="93">
        <v>0.4</v>
      </c>
      <c r="E40" s="33">
        <f>G26*86.4*D40</f>
        <v>442.41272480794191</v>
      </c>
    </row>
    <row r="41" spans="2:5" x14ac:dyDescent="0.3">
      <c r="B41" s="94" t="s">
        <v>85</v>
      </c>
      <c r="C41" s="94"/>
      <c r="D41" s="95">
        <v>400</v>
      </c>
      <c r="E41" s="95" t="s">
        <v>86</v>
      </c>
    </row>
  </sheetData>
  <mergeCells count="6">
    <mergeCell ref="B39:C40"/>
    <mergeCell ref="B36:C36"/>
    <mergeCell ref="B33:C33"/>
    <mergeCell ref="B32:C32"/>
    <mergeCell ref="B31:C31"/>
    <mergeCell ref="B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5:R19"/>
  <sheetViews>
    <sheetView topLeftCell="A4" zoomScale="120" zoomScaleNormal="120" workbookViewId="0">
      <selection activeCell="E22" sqref="E22"/>
    </sheetView>
  </sheetViews>
  <sheetFormatPr baseColWidth="10" defaultRowHeight="14.4" x14ac:dyDescent="0.3"/>
  <cols>
    <col min="1" max="1" width="7" customWidth="1"/>
    <col min="2" max="2" width="12.77734375" customWidth="1"/>
    <col min="3" max="3" width="14.5546875" customWidth="1"/>
    <col min="4" max="7" width="11.44140625" customWidth="1"/>
    <col min="12" max="12" width="15.88671875" customWidth="1"/>
    <col min="13" max="13" width="11.6640625" bestFit="1" customWidth="1"/>
    <col min="14" max="14" width="13" customWidth="1"/>
    <col min="15" max="16" width="11.44140625" customWidth="1"/>
    <col min="17" max="17" width="11.44140625" hidden="1" customWidth="1"/>
    <col min="18" max="18" width="11.44140625" customWidth="1"/>
  </cols>
  <sheetData>
    <row r="5" spans="1:18" s="28" customFormat="1" ht="24.6" x14ac:dyDescent="0.4">
      <c r="B5" s="29" t="s">
        <v>43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spans="1:18" s="28" customFormat="1" ht="13.2" x14ac:dyDescent="0.25">
      <c r="H6" s="30"/>
      <c r="I6" s="30"/>
      <c r="J6" s="30"/>
      <c r="K6" s="30"/>
      <c r="L6" s="30"/>
      <c r="M6" s="20"/>
      <c r="N6" s="20"/>
      <c r="O6" s="30"/>
      <c r="P6" s="30"/>
      <c r="Q6" s="30"/>
      <c r="R6" s="30"/>
    </row>
    <row r="7" spans="1:18" s="28" customFormat="1" ht="14.4" customHeight="1" x14ac:dyDescent="0.25">
      <c r="A7" s="97" t="s">
        <v>40</v>
      </c>
      <c r="B7" s="98" t="s">
        <v>44</v>
      </c>
      <c r="C7" s="98"/>
      <c r="D7" s="98" t="s">
        <v>45</v>
      </c>
      <c r="E7" s="98"/>
      <c r="F7" s="99" t="s">
        <v>87</v>
      </c>
      <c r="G7" s="32" t="s">
        <v>46</v>
      </c>
      <c r="H7" s="32" t="s">
        <v>47</v>
      </c>
      <c r="I7" s="31" t="s">
        <v>48</v>
      </c>
      <c r="J7" s="100" t="s">
        <v>49</v>
      </c>
      <c r="K7" s="100"/>
      <c r="L7" s="101" t="s">
        <v>88</v>
      </c>
      <c r="M7" s="32" t="s">
        <v>50</v>
      </c>
      <c r="N7" s="32" t="s">
        <v>51</v>
      </c>
      <c r="O7" s="32" t="s">
        <v>52</v>
      </c>
      <c r="P7" s="32" t="s">
        <v>53</v>
      </c>
      <c r="Q7" s="32" t="s">
        <v>63</v>
      </c>
      <c r="R7" s="32" t="s">
        <v>63</v>
      </c>
    </row>
    <row r="8" spans="1:18" s="28" customFormat="1" ht="15" customHeight="1" x14ac:dyDescent="0.25">
      <c r="A8" s="97"/>
      <c r="B8" s="31" t="s">
        <v>91</v>
      </c>
      <c r="C8" s="31" t="s">
        <v>89</v>
      </c>
      <c r="D8" s="31" t="s">
        <v>55</v>
      </c>
      <c r="E8" s="31" t="s">
        <v>56</v>
      </c>
      <c r="F8" s="99"/>
      <c r="G8" s="32" t="s">
        <v>57</v>
      </c>
      <c r="H8" s="32" t="s">
        <v>57</v>
      </c>
      <c r="I8" s="31" t="s">
        <v>58</v>
      </c>
      <c r="J8" s="32" t="s">
        <v>59</v>
      </c>
      <c r="K8" s="32" t="s">
        <v>60</v>
      </c>
      <c r="L8" s="101"/>
      <c r="M8" s="32" t="s">
        <v>61</v>
      </c>
      <c r="N8" s="32" t="s">
        <v>61</v>
      </c>
      <c r="O8" s="32" t="s">
        <v>62</v>
      </c>
      <c r="P8" s="32" t="s">
        <v>57</v>
      </c>
      <c r="Q8" s="32" t="s">
        <v>90</v>
      </c>
      <c r="R8" s="32" t="s">
        <v>90</v>
      </c>
    </row>
    <row r="9" spans="1:18" s="108" customFormat="1" ht="13.2" x14ac:dyDescent="0.25">
      <c r="A9" s="102">
        <v>1</v>
      </c>
      <c r="B9" s="103">
        <v>125</v>
      </c>
      <c r="C9" s="103">
        <v>140</v>
      </c>
      <c r="D9" s="112" t="s">
        <v>34</v>
      </c>
      <c r="E9" s="112">
        <v>160</v>
      </c>
      <c r="F9" s="112">
        <v>140</v>
      </c>
      <c r="G9" s="104">
        <v>458</v>
      </c>
      <c r="H9" s="105">
        <f>G9*1.03</f>
        <v>471.74</v>
      </c>
      <c r="I9" s="106">
        <v>7.2</v>
      </c>
      <c r="J9" s="106">
        <v>828</v>
      </c>
      <c r="K9" s="106">
        <v>800</v>
      </c>
      <c r="L9" s="106">
        <v>10</v>
      </c>
      <c r="M9" s="74">
        <f>POWER(((1743.811*(POWER(I9,1.852))*H9))/((POWER(F9,1.852))*(L9)),(1/4.87))</f>
        <v>3.3049808547604536</v>
      </c>
      <c r="N9" s="107">
        <v>4</v>
      </c>
      <c r="O9" s="111">
        <f>4*I9/PI()/(0.0254*N9)^2/1000</f>
        <v>0.88808635862549334</v>
      </c>
      <c r="P9" s="111">
        <f>(1733000/(F9^1.85*N9^4.87))*H9*I9^1.85/1000</f>
        <v>3.9463659932031154</v>
      </c>
      <c r="Q9" s="111">
        <f>ROUND((H9/6),0)</f>
        <v>79</v>
      </c>
      <c r="R9" s="111">
        <f>Q9*6</f>
        <v>474</v>
      </c>
    </row>
    <row r="10" spans="1:18" s="108" customFormat="1" ht="13.2" x14ac:dyDescent="0.25">
      <c r="A10" s="102">
        <v>2</v>
      </c>
      <c r="B10" s="103">
        <v>140</v>
      </c>
      <c r="C10" s="103">
        <v>175</v>
      </c>
      <c r="D10" s="112" t="s">
        <v>34</v>
      </c>
      <c r="E10" s="112">
        <v>160</v>
      </c>
      <c r="F10" s="112">
        <v>140</v>
      </c>
      <c r="G10" s="104">
        <v>620</v>
      </c>
      <c r="H10" s="105">
        <f t="shared" ref="H10:H17" si="0">G10*1.03</f>
        <v>638.6</v>
      </c>
      <c r="I10" s="106">
        <v>6.5</v>
      </c>
      <c r="J10" s="106">
        <v>800</v>
      </c>
      <c r="K10" s="106">
        <v>790</v>
      </c>
      <c r="L10" s="106">
        <v>5</v>
      </c>
      <c r="M10" s="74">
        <f t="shared" ref="M10:M17" si="1">POWER(((1743.811*(POWER(I10,1.852))*H10))/((POWER(F10,1.852))*(L10)),(1/4.87))</f>
        <v>3.9002952308130792</v>
      </c>
      <c r="N10" s="107">
        <v>4</v>
      </c>
      <c r="O10" s="111">
        <f t="shared" ref="O10:O17" si="2">4*I10/PI()/(0.0254*N10)^2/1000</f>
        <v>0.80174462931468138</v>
      </c>
      <c r="P10" s="111">
        <f t="shared" ref="P10:P17" si="3">(1733000/(F10^1.85*N10^4.87))*H10*I10^1.85/1000</f>
        <v>4.4212814583915216</v>
      </c>
      <c r="Q10" s="111">
        <f t="shared" ref="Q10:Q17" si="4">ROUND((H10/6),0)</f>
        <v>106</v>
      </c>
      <c r="R10" s="111">
        <f t="shared" ref="R10:R17" si="5">Q10*6</f>
        <v>636</v>
      </c>
    </row>
    <row r="11" spans="1:18" s="108" customFormat="1" ht="13.2" x14ac:dyDescent="0.25">
      <c r="A11" s="102">
        <v>3</v>
      </c>
      <c r="B11" s="103">
        <v>175</v>
      </c>
      <c r="C11" s="103">
        <v>200</v>
      </c>
      <c r="D11" s="112" t="s">
        <v>34</v>
      </c>
      <c r="E11" s="112">
        <v>160</v>
      </c>
      <c r="F11" s="112">
        <v>140</v>
      </c>
      <c r="G11" s="104">
        <v>580</v>
      </c>
      <c r="H11" s="105">
        <f t="shared" si="0"/>
        <v>597.4</v>
      </c>
      <c r="I11" s="106">
        <v>1.8</v>
      </c>
      <c r="J11" s="106">
        <v>790</v>
      </c>
      <c r="K11" s="106">
        <v>780</v>
      </c>
      <c r="L11" s="106">
        <v>5</v>
      </c>
      <c r="M11" s="74">
        <f t="shared" si="1"/>
        <v>2.360947229644788</v>
      </c>
      <c r="N11" s="107">
        <v>2.5</v>
      </c>
      <c r="O11" s="111">
        <f t="shared" si="2"/>
        <v>0.5683752695203157</v>
      </c>
      <c r="P11" s="111">
        <f t="shared" si="3"/>
        <v>3.7932652037139722</v>
      </c>
      <c r="Q11" s="111">
        <f t="shared" si="4"/>
        <v>100</v>
      </c>
      <c r="R11" s="111">
        <f t="shared" si="5"/>
        <v>600</v>
      </c>
    </row>
    <row r="12" spans="1:18" s="109" customFormat="1" ht="13.2" x14ac:dyDescent="0.25">
      <c r="A12" s="102">
        <v>4</v>
      </c>
      <c r="B12" s="103"/>
      <c r="C12" s="103"/>
      <c r="D12" s="112" t="s">
        <v>34</v>
      </c>
      <c r="E12" s="112">
        <v>160</v>
      </c>
      <c r="F12" s="112">
        <v>140</v>
      </c>
      <c r="G12" s="104"/>
      <c r="H12" s="105">
        <f t="shared" si="0"/>
        <v>0</v>
      </c>
      <c r="I12" s="106"/>
      <c r="J12" s="106"/>
      <c r="K12" s="106"/>
      <c r="L12" s="106"/>
      <c r="M12" s="74" t="e">
        <f t="shared" si="1"/>
        <v>#DIV/0!</v>
      </c>
      <c r="N12" s="107">
        <v>7</v>
      </c>
      <c r="O12" s="111">
        <f t="shared" si="2"/>
        <v>0</v>
      </c>
      <c r="P12" s="111">
        <f t="shared" si="3"/>
        <v>0</v>
      </c>
      <c r="Q12" s="111">
        <f t="shared" si="4"/>
        <v>0</v>
      </c>
      <c r="R12" s="111">
        <f t="shared" si="5"/>
        <v>0</v>
      </c>
    </row>
    <row r="13" spans="1:18" s="108" customFormat="1" ht="13.2" x14ac:dyDescent="0.25">
      <c r="A13" s="102">
        <v>5</v>
      </c>
      <c r="B13" s="103"/>
      <c r="C13" s="103"/>
      <c r="D13" s="112" t="s">
        <v>34</v>
      </c>
      <c r="E13" s="112">
        <v>160</v>
      </c>
      <c r="F13" s="112">
        <v>140</v>
      </c>
      <c r="G13" s="104"/>
      <c r="H13" s="105">
        <f t="shared" si="0"/>
        <v>0</v>
      </c>
      <c r="I13" s="106"/>
      <c r="J13" s="106"/>
      <c r="K13" s="106"/>
      <c r="L13" s="106"/>
      <c r="M13" s="74" t="e">
        <f t="shared" si="1"/>
        <v>#DIV/0!</v>
      </c>
      <c r="N13" s="107">
        <v>8</v>
      </c>
      <c r="O13" s="111">
        <f t="shared" si="2"/>
        <v>0</v>
      </c>
      <c r="P13" s="111">
        <f t="shared" si="3"/>
        <v>0</v>
      </c>
      <c r="Q13" s="111">
        <f t="shared" si="4"/>
        <v>0</v>
      </c>
      <c r="R13" s="111">
        <f t="shared" si="5"/>
        <v>0</v>
      </c>
    </row>
    <row r="14" spans="1:18" s="109" customFormat="1" ht="13.2" x14ac:dyDescent="0.25">
      <c r="A14" s="102">
        <v>6</v>
      </c>
      <c r="B14" s="103"/>
      <c r="C14" s="103"/>
      <c r="D14" s="112" t="s">
        <v>34</v>
      </c>
      <c r="E14" s="112">
        <v>160</v>
      </c>
      <c r="F14" s="112">
        <v>140</v>
      </c>
      <c r="G14" s="104"/>
      <c r="H14" s="105">
        <f t="shared" si="0"/>
        <v>0</v>
      </c>
      <c r="I14" s="106"/>
      <c r="J14" s="106"/>
      <c r="K14" s="106"/>
      <c r="L14" s="106"/>
      <c r="M14" s="74" t="e">
        <f t="shared" si="1"/>
        <v>#DIV/0!</v>
      </c>
      <c r="N14" s="107">
        <v>9</v>
      </c>
      <c r="O14" s="111">
        <f t="shared" si="2"/>
        <v>0</v>
      </c>
      <c r="P14" s="111">
        <f t="shared" si="3"/>
        <v>0</v>
      </c>
      <c r="Q14" s="111">
        <f t="shared" si="4"/>
        <v>0</v>
      </c>
      <c r="R14" s="111">
        <f t="shared" si="5"/>
        <v>0</v>
      </c>
    </row>
    <row r="15" spans="1:18" s="109" customFormat="1" ht="13.2" x14ac:dyDescent="0.25">
      <c r="A15" s="102">
        <v>7</v>
      </c>
      <c r="B15" s="103"/>
      <c r="C15" s="103"/>
      <c r="D15" s="112" t="s">
        <v>34</v>
      </c>
      <c r="E15" s="112">
        <v>160</v>
      </c>
      <c r="F15" s="112">
        <v>140</v>
      </c>
      <c r="G15" s="104"/>
      <c r="H15" s="105">
        <f t="shared" si="0"/>
        <v>0</v>
      </c>
      <c r="I15" s="106"/>
      <c r="J15" s="106"/>
      <c r="K15" s="106"/>
      <c r="L15" s="106"/>
      <c r="M15" s="74" t="e">
        <f t="shared" si="1"/>
        <v>#DIV/0!</v>
      </c>
      <c r="N15" s="107">
        <v>10</v>
      </c>
      <c r="O15" s="111">
        <f t="shared" si="2"/>
        <v>0</v>
      </c>
      <c r="P15" s="111">
        <f t="shared" si="3"/>
        <v>0</v>
      </c>
      <c r="Q15" s="111">
        <f t="shared" si="4"/>
        <v>0</v>
      </c>
      <c r="R15" s="111">
        <f t="shared" si="5"/>
        <v>0</v>
      </c>
    </row>
    <row r="16" spans="1:18" s="109" customFormat="1" ht="13.2" x14ac:dyDescent="0.25">
      <c r="A16" s="102">
        <v>8</v>
      </c>
      <c r="B16" s="103"/>
      <c r="C16" s="103"/>
      <c r="D16" s="112" t="s">
        <v>34</v>
      </c>
      <c r="E16" s="112">
        <v>160</v>
      </c>
      <c r="F16" s="112">
        <v>140</v>
      </c>
      <c r="G16" s="104"/>
      <c r="H16" s="105">
        <f t="shared" si="0"/>
        <v>0</v>
      </c>
      <c r="I16" s="106"/>
      <c r="J16" s="106"/>
      <c r="K16" s="106"/>
      <c r="L16" s="106"/>
      <c r="M16" s="74" t="e">
        <f t="shared" si="1"/>
        <v>#DIV/0!</v>
      </c>
      <c r="N16" s="107">
        <v>11</v>
      </c>
      <c r="O16" s="111">
        <f t="shared" si="2"/>
        <v>0</v>
      </c>
      <c r="P16" s="111">
        <f t="shared" si="3"/>
        <v>0</v>
      </c>
      <c r="Q16" s="111">
        <f t="shared" si="4"/>
        <v>0</v>
      </c>
      <c r="R16" s="111">
        <f t="shared" si="5"/>
        <v>0</v>
      </c>
    </row>
    <row r="17" spans="1:18" s="109" customFormat="1" ht="13.2" x14ac:dyDescent="0.25">
      <c r="A17" s="102">
        <v>9</v>
      </c>
      <c r="B17" s="103"/>
      <c r="C17" s="103"/>
      <c r="D17" s="112" t="s">
        <v>34</v>
      </c>
      <c r="E17" s="112">
        <v>160</v>
      </c>
      <c r="F17" s="112">
        <v>140</v>
      </c>
      <c r="G17" s="104"/>
      <c r="H17" s="105">
        <f t="shared" si="0"/>
        <v>0</v>
      </c>
      <c r="I17" s="106"/>
      <c r="J17" s="106"/>
      <c r="K17" s="106"/>
      <c r="L17" s="106"/>
      <c r="M17" s="74" t="e">
        <f t="shared" si="1"/>
        <v>#DIV/0!</v>
      </c>
      <c r="N17" s="107">
        <v>12</v>
      </c>
      <c r="O17" s="111">
        <f t="shared" si="2"/>
        <v>0</v>
      </c>
      <c r="P17" s="111">
        <f t="shared" si="3"/>
        <v>0</v>
      </c>
      <c r="Q17" s="111">
        <f t="shared" si="4"/>
        <v>0</v>
      </c>
      <c r="R17" s="111">
        <f t="shared" si="5"/>
        <v>0</v>
      </c>
    </row>
    <row r="18" spans="1:18" s="110" customFormat="1" x14ac:dyDescent="0.3"/>
    <row r="19" spans="1:18" s="110" customFormat="1" x14ac:dyDescent="0.3"/>
  </sheetData>
  <dataConsolidate/>
  <mergeCells count="7">
    <mergeCell ref="D5:R5"/>
    <mergeCell ref="A7:A8"/>
    <mergeCell ref="B7:C7"/>
    <mergeCell ref="D7:E7"/>
    <mergeCell ref="F7:F8"/>
    <mergeCell ref="J7:K7"/>
    <mergeCell ref="L7:L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AF35"/>
  <sheetViews>
    <sheetView tabSelected="1" topLeftCell="H5" zoomScaleNormal="100" workbookViewId="0">
      <selection activeCell="P12" sqref="P12"/>
    </sheetView>
  </sheetViews>
  <sheetFormatPr baseColWidth="10" defaultRowHeight="14.4" x14ac:dyDescent="0.3"/>
  <cols>
    <col min="1" max="1" width="14.88671875" bestFit="1" customWidth="1"/>
    <col min="4" max="4" width="20.33203125" bestFit="1" customWidth="1"/>
    <col min="6" max="6" width="20.44140625" customWidth="1"/>
    <col min="11" max="11" width="25.77734375" customWidth="1"/>
    <col min="12" max="12" width="16.33203125" customWidth="1"/>
    <col min="13" max="13" width="13" customWidth="1"/>
    <col min="14" max="15" width="13.109375" customWidth="1"/>
    <col min="16" max="16" width="15.88671875" customWidth="1"/>
    <col min="17" max="17" width="14.6640625" customWidth="1"/>
    <col min="19" max="19" width="15.88671875" customWidth="1"/>
    <col min="20" max="21" width="9.6640625" customWidth="1"/>
    <col min="22" max="23" width="12.44140625" customWidth="1"/>
    <col min="26" max="27" width="12.88671875" customWidth="1"/>
    <col min="28" max="28" width="13.109375" customWidth="1"/>
    <col min="29" max="29" width="13.5546875" customWidth="1"/>
    <col min="30" max="30" width="13.44140625" customWidth="1"/>
    <col min="31" max="31" width="13.44140625" hidden="1" customWidth="1"/>
  </cols>
  <sheetData>
    <row r="2" spans="1:32" x14ac:dyDescent="0.3">
      <c r="O2" s="1"/>
      <c r="AD2" s="1"/>
      <c r="AE2" s="1"/>
    </row>
    <row r="3" spans="1:32" ht="29.4" x14ac:dyDescent="0.35">
      <c r="A3" s="57">
        <v>43746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3"/>
    </row>
    <row r="4" spans="1:32" ht="29.4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2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2"/>
    </row>
    <row r="6" spans="1:32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1"/>
    </row>
    <row r="8" spans="1:32" x14ac:dyDescent="0.3">
      <c r="A8" s="35" t="s">
        <v>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 t="s">
        <v>1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5"/>
    </row>
    <row r="9" spans="1:32" x14ac:dyDescent="0.3">
      <c r="A9" s="36" t="s">
        <v>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 t="s">
        <v>3</v>
      </c>
      <c r="N9" s="40" t="s">
        <v>4</v>
      </c>
      <c r="O9" s="41"/>
      <c r="P9" s="41"/>
      <c r="Q9" s="41"/>
      <c r="R9" s="42"/>
      <c r="S9" s="6" t="s">
        <v>4</v>
      </c>
      <c r="T9" s="43" t="s">
        <v>5</v>
      </c>
      <c r="U9" s="44"/>
      <c r="V9" s="44"/>
      <c r="W9" s="44"/>
      <c r="X9" s="44"/>
      <c r="Y9" s="44"/>
      <c r="Z9" s="44"/>
      <c r="AA9" s="44"/>
      <c r="AB9" s="44"/>
      <c r="AC9" s="44"/>
      <c r="AD9" s="45"/>
      <c r="AE9" s="7"/>
    </row>
    <row r="10" spans="1:32" ht="47.25" customHeight="1" x14ac:dyDescent="0.3">
      <c r="A10" s="46" t="s">
        <v>6</v>
      </c>
      <c r="B10" s="8" t="s">
        <v>64</v>
      </c>
      <c r="C10" s="8" t="s">
        <v>7</v>
      </c>
      <c r="D10" s="46" t="s">
        <v>0</v>
      </c>
      <c r="E10" s="8" t="s">
        <v>8</v>
      </c>
      <c r="F10" s="8" t="s">
        <v>9</v>
      </c>
      <c r="G10" s="9" t="s">
        <v>10</v>
      </c>
      <c r="H10" s="9" t="s">
        <v>11</v>
      </c>
      <c r="I10" s="8" t="s">
        <v>12</v>
      </c>
      <c r="J10" s="9" t="s">
        <v>13</v>
      </c>
      <c r="K10" s="50" t="s">
        <v>14</v>
      </c>
      <c r="L10" s="8" t="s">
        <v>15</v>
      </c>
      <c r="M10" s="39"/>
      <c r="N10" s="52" t="s">
        <v>16</v>
      </c>
      <c r="O10" s="53"/>
      <c r="P10" s="10" t="s">
        <v>17</v>
      </c>
      <c r="Q10" s="52" t="s">
        <v>18</v>
      </c>
      <c r="R10" s="53"/>
      <c r="S10" s="10" t="s">
        <v>19</v>
      </c>
      <c r="T10" s="54" t="s">
        <v>20</v>
      </c>
      <c r="U10" s="54"/>
      <c r="V10" s="54"/>
      <c r="W10" s="54"/>
      <c r="X10" s="59" t="s">
        <v>21</v>
      </c>
      <c r="Y10" s="59"/>
      <c r="Z10" s="59"/>
      <c r="AA10" s="59"/>
      <c r="AB10" s="48" t="s">
        <v>22</v>
      </c>
      <c r="AC10" s="48" t="s">
        <v>23</v>
      </c>
      <c r="AD10" s="48" t="s">
        <v>24</v>
      </c>
      <c r="AE10" s="11"/>
      <c r="AF10" s="48" t="s">
        <v>41</v>
      </c>
    </row>
    <row r="11" spans="1:32" ht="39.6" x14ac:dyDescent="0.3">
      <c r="A11" s="47"/>
      <c r="B11" s="12" t="s">
        <v>25</v>
      </c>
      <c r="C11" s="12" t="s">
        <v>25</v>
      </c>
      <c r="D11" s="47"/>
      <c r="E11" s="12" t="s">
        <v>25</v>
      </c>
      <c r="F11" s="12" t="s">
        <v>25</v>
      </c>
      <c r="G11" s="12" t="s">
        <v>25</v>
      </c>
      <c r="H11" s="9" t="s">
        <v>26</v>
      </c>
      <c r="I11" s="12" t="s">
        <v>25</v>
      </c>
      <c r="J11" s="9" t="s">
        <v>27</v>
      </c>
      <c r="K11" s="51"/>
      <c r="L11" s="8" t="s">
        <v>25</v>
      </c>
      <c r="M11" s="13" t="s">
        <v>28</v>
      </c>
      <c r="N11" s="10" t="s">
        <v>29</v>
      </c>
      <c r="O11" s="10" t="s">
        <v>30</v>
      </c>
      <c r="P11" s="10" t="s">
        <v>25</v>
      </c>
      <c r="Q11" s="10" t="s">
        <v>29</v>
      </c>
      <c r="R11" s="10" t="s">
        <v>30</v>
      </c>
      <c r="S11" s="10" t="s">
        <v>25</v>
      </c>
      <c r="T11" s="8" t="s">
        <v>12</v>
      </c>
      <c r="U11" s="8" t="s">
        <v>31</v>
      </c>
      <c r="V11" s="8" t="s">
        <v>32</v>
      </c>
      <c r="W11" s="8" t="s">
        <v>33</v>
      </c>
      <c r="X11" s="14" t="s">
        <v>12</v>
      </c>
      <c r="Y11" s="14" t="s">
        <v>31</v>
      </c>
      <c r="Z11" s="14" t="s">
        <v>32</v>
      </c>
      <c r="AA11" s="14" t="s">
        <v>33</v>
      </c>
      <c r="AB11" s="49"/>
      <c r="AC11" s="49"/>
      <c r="AD11" s="49"/>
      <c r="AE11" s="11"/>
      <c r="AF11" s="49"/>
    </row>
    <row r="12" spans="1:32" ht="36.6" customHeight="1" x14ac:dyDescent="0.3">
      <c r="A12" s="25" t="s">
        <v>42</v>
      </c>
      <c r="B12" s="15">
        <v>1000</v>
      </c>
      <c r="C12" s="77">
        <f t="shared" ref="C12" si="0">B12-1</f>
        <v>999</v>
      </c>
      <c r="D12" s="25" t="s">
        <v>65</v>
      </c>
      <c r="E12" s="16">
        <v>966.28</v>
      </c>
      <c r="F12" s="71">
        <f>E12+10</f>
        <v>976.28</v>
      </c>
      <c r="G12" s="18">
        <v>1276</v>
      </c>
      <c r="H12" s="68">
        <v>3</v>
      </c>
      <c r="I12" s="78">
        <f>((H12/100)+1)*G12</f>
        <v>1314.28</v>
      </c>
      <c r="J12" s="17">
        <v>2.78</v>
      </c>
      <c r="K12" s="69">
        <v>140</v>
      </c>
      <c r="L12" s="71">
        <f>C12-F12</f>
        <v>22.720000000000027</v>
      </c>
      <c r="M12" s="67">
        <f>(POWER(((1743.811*(POWER(J12,1.852))*I12))/((POWER(K12,1.852))*L12),(1/4.87)))</f>
        <v>2.3998775389843878</v>
      </c>
      <c r="N12" s="17">
        <v>3</v>
      </c>
      <c r="O12" s="18">
        <v>3.06</v>
      </c>
      <c r="P12" s="76">
        <f>((1743.811*(POWER($J12,1.852))*$I12))/((POWER($K12,1.852))*(POWER($O12,4.87)))</f>
        <v>6.9577016970332766</v>
      </c>
      <c r="Q12" s="17">
        <v>2</v>
      </c>
      <c r="R12" s="18">
        <v>2.06</v>
      </c>
      <c r="S12" s="70">
        <f t="shared" ref="S12:S15" si="1">((1743.811*(POWER($J12,1.852))*$I12))/((POWER($K12,1.852))*(POWER($R12,4.87)))</f>
        <v>47.796466222853063</v>
      </c>
      <c r="T12" s="79">
        <f>I12-X12</f>
        <v>807.01506056909056</v>
      </c>
      <c r="U12" s="75">
        <f>(ROUND((T12/6),0))*6</f>
        <v>810</v>
      </c>
      <c r="V12" s="70">
        <f>((1743.811*(POWER($J12,1.852))*$T12))/((POWER($K12,1.852))*(POWER($O12,4.87)))</f>
        <v>4.2722784006855266</v>
      </c>
      <c r="W12" s="70">
        <f t="shared" ref="W12" si="2">(J12/1000)/((3.1416/4)*((O12*0.0254)*(O12*0.0254)))</f>
        <v>0.58592713715921152</v>
      </c>
      <c r="X12" s="79">
        <f>I12*((L12-P12)/(S12-P12))</f>
        <v>507.26493943090935</v>
      </c>
      <c r="Y12" s="75">
        <f>(ROUND((X12/6),0))*6</f>
        <v>510</v>
      </c>
      <c r="Z12" s="70">
        <f>((1743.811*(POWER($J12,1.852))*$X12))/((POWER($K12,1.852))*(POWER($R12,4.87)))</f>
        <v>18.447721599314502</v>
      </c>
      <c r="AA12" s="70">
        <f t="shared" ref="AA12" si="3">(J12/1000)/((3.1416/4)*((R12*0.0254)*(R12*0.0254)))</f>
        <v>1.2928615660062193</v>
      </c>
      <c r="AB12" s="70">
        <f t="shared" ref="AB12" si="4">V12+Z12</f>
        <v>22.720000000000027</v>
      </c>
      <c r="AC12" s="80">
        <f>C12-V12</f>
        <v>994.72772159931446</v>
      </c>
      <c r="AD12" s="80">
        <f>AC12-Z12</f>
        <v>976.28</v>
      </c>
      <c r="AE12" s="72">
        <f t="shared" ref="AE12" si="5">+F12</f>
        <v>976.28</v>
      </c>
      <c r="AF12" s="73">
        <f>+AD12-E12</f>
        <v>10</v>
      </c>
    </row>
    <row r="13" spans="1:32" ht="36.6" customHeight="1" x14ac:dyDescent="0.3">
      <c r="A13" s="25" t="s">
        <v>65</v>
      </c>
      <c r="B13" s="15">
        <f>E12</f>
        <v>966.28</v>
      </c>
      <c r="C13" s="77">
        <f t="shared" ref="C13:C14" si="6">B13-1</f>
        <v>965.28</v>
      </c>
      <c r="D13" s="25" t="s">
        <v>66</v>
      </c>
      <c r="E13" s="16">
        <v>900</v>
      </c>
      <c r="F13" s="71">
        <f>E13+10</f>
        <v>910</v>
      </c>
      <c r="G13" s="18">
        <v>685</v>
      </c>
      <c r="H13" s="68">
        <v>3</v>
      </c>
      <c r="I13" s="78">
        <f>((H13/100)+1)*G13</f>
        <v>705.55000000000007</v>
      </c>
      <c r="J13" s="17">
        <v>2.78</v>
      </c>
      <c r="K13" s="69">
        <v>140</v>
      </c>
      <c r="L13" s="71">
        <f>C13-F13</f>
        <v>55.279999999999973</v>
      </c>
      <c r="M13" s="67">
        <f>(POWER(((1743.811*(POWER(J13,1.852))*I13))/((POWER(K13,1.852))*L13),(1/4.87)))</f>
        <v>1.7596291703687008</v>
      </c>
      <c r="N13" s="17">
        <v>2</v>
      </c>
      <c r="O13" s="18">
        <v>2.06</v>
      </c>
      <c r="P13" s="76">
        <f>((1743.811*(POWER($J13,1.852))*$I13))/((POWER($K13,1.852))*(POWER($O13,4.87)))</f>
        <v>25.658761255998709</v>
      </c>
      <c r="Q13" s="17">
        <v>1.5</v>
      </c>
      <c r="R13" s="18">
        <v>1.58</v>
      </c>
      <c r="S13" s="70">
        <f t="shared" si="1"/>
        <v>93.39186228728083</v>
      </c>
      <c r="T13" s="79">
        <f>I13-X13</f>
        <v>396.99680108211948</v>
      </c>
      <c r="U13" s="75">
        <f>(ROUND((T13/6),0))*6</f>
        <v>396</v>
      </c>
      <c r="V13" s="70">
        <f>((1743.811*(POWER($J13,1.852))*$T13))/((POWER($K13,1.852))*(POWER($O13,4.87)))</f>
        <v>14.437596397649084</v>
      </c>
      <c r="W13" s="70">
        <f t="shared" ref="W13:W14" si="7">(J13/1000)/((3.1416/4)*((O13*0.0254)*(O13*0.0254)))</f>
        <v>1.2928615660062193</v>
      </c>
      <c r="X13" s="79">
        <f>I13*((L13-P13)/(S13-P13))</f>
        <v>308.55319891788059</v>
      </c>
      <c r="Y13" s="75">
        <f>(ROUND((X13/6),0))*6</f>
        <v>306</v>
      </c>
      <c r="Z13" s="70">
        <f>((1743.811*(POWER($J13,1.852))*$X13))/((POWER($K13,1.852))*(POWER($R13,4.87)))</f>
        <v>40.842403602350885</v>
      </c>
      <c r="AA13" s="70">
        <f t="shared" ref="AA13:AA14" si="8">(J13/1000)/((3.1416/4)*((R13*0.0254)*(R13*0.0254)))</f>
        <v>2.197719652901776</v>
      </c>
      <c r="AB13" s="70">
        <f t="shared" ref="AB13:AB14" si="9">V13+Z13</f>
        <v>55.279999999999973</v>
      </c>
      <c r="AC13" s="80">
        <f>C13-V13</f>
        <v>950.84240360235094</v>
      </c>
      <c r="AD13" s="80">
        <f>AC13-Z13</f>
        <v>910</v>
      </c>
      <c r="AE13" s="72">
        <f t="shared" ref="AE13:AE14" si="10">+F13</f>
        <v>910</v>
      </c>
      <c r="AF13" s="73">
        <f>+AD13-E13</f>
        <v>10</v>
      </c>
    </row>
    <row r="14" spans="1:32" ht="36.6" customHeight="1" x14ac:dyDescent="0.3">
      <c r="A14" s="25" t="s">
        <v>66</v>
      </c>
      <c r="B14" s="15">
        <f>E13</f>
        <v>900</v>
      </c>
      <c r="C14" s="77">
        <f t="shared" si="6"/>
        <v>899</v>
      </c>
      <c r="D14" s="25" t="s">
        <v>67</v>
      </c>
      <c r="E14" s="16">
        <v>828</v>
      </c>
      <c r="F14" s="71">
        <f>E14+10</f>
        <v>838</v>
      </c>
      <c r="G14" s="18">
        <v>745</v>
      </c>
      <c r="H14" s="68">
        <v>3</v>
      </c>
      <c r="I14" s="78">
        <f t="shared" ref="I14:I15" si="11">((H14/100)+1)*G14</f>
        <v>767.35</v>
      </c>
      <c r="J14" s="17">
        <v>2.78</v>
      </c>
      <c r="K14" s="69">
        <v>140</v>
      </c>
      <c r="L14" s="71">
        <f>C14-F14</f>
        <v>61</v>
      </c>
      <c r="M14" s="67">
        <f>(POWER(((1743.811*(POWER(J14,1.852))*I14))/((POWER(K14,1.852))*L14),(1/4.87)))</f>
        <v>1.7543987908928795</v>
      </c>
      <c r="N14" s="17">
        <v>2</v>
      </c>
      <c r="O14" s="18">
        <v>2.06</v>
      </c>
      <c r="P14" s="76">
        <f>((1743.811*(POWER($J14,1.852))*$I14))/((POWER($K14,1.852))*(POWER($O14,4.87)))</f>
        <v>27.906243993750419</v>
      </c>
      <c r="Q14" s="17">
        <v>1.5</v>
      </c>
      <c r="R14" s="18">
        <v>1.58</v>
      </c>
      <c r="S14" s="70">
        <f t="shared" si="1"/>
        <v>101.57217139273608</v>
      </c>
      <c r="T14" s="79">
        <f>I14-X14</f>
        <v>422.62490702919894</v>
      </c>
      <c r="U14" s="75">
        <f>(ROUND((T14/6),0))*6</f>
        <v>420</v>
      </c>
      <c r="V14" s="70">
        <f>((1743.811*(POWER($J14,1.852))*$T14))/((POWER($K14,1.852))*(POWER($O14,4.87)))</f>
        <v>15.369614613139909</v>
      </c>
      <c r="W14" s="70">
        <f t="shared" si="7"/>
        <v>1.2928615660062193</v>
      </c>
      <c r="X14" s="79">
        <f>I14*((L14-P14)/(S14-P14))</f>
        <v>344.72509297080109</v>
      </c>
      <c r="Y14" s="75">
        <f>(ROUND((X14/6),0))*6</f>
        <v>342</v>
      </c>
      <c r="Z14" s="70">
        <f>((1743.811*(POWER($J14,1.852))*$X14))/((POWER($K14,1.852))*(POWER($R14,4.87)))</f>
        <v>45.630385386860084</v>
      </c>
      <c r="AA14" s="70">
        <f t="shared" si="8"/>
        <v>2.197719652901776</v>
      </c>
      <c r="AB14" s="70">
        <f t="shared" si="9"/>
        <v>60.999999999999993</v>
      </c>
      <c r="AC14" s="80">
        <f>C14-V14</f>
        <v>883.6303853868601</v>
      </c>
      <c r="AD14" s="80">
        <f>AC14-Z14</f>
        <v>838</v>
      </c>
      <c r="AE14" s="72">
        <f t="shared" si="10"/>
        <v>838</v>
      </c>
      <c r="AF14" s="73">
        <f>+AD14-E14</f>
        <v>10</v>
      </c>
    </row>
    <row r="15" spans="1:32" ht="36.6" customHeight="1" x14ac:dyDescent="0.3">
      <c r="A15" s="25"/>
      <c r="B15" s="15"/>
      <c r="C15" s="77">
        <f t="shared" ref="C15" si="12">B15-1</f>
        <v>-1</v>
      </c>
      <c r="D15" s="25"/>
      <c r="E15" s="16"/>
      <c r="F15" s="71">
        <f>E15+10</f>
        <v>10</v>
      </c>
      <c r="G15" s="18"/>
      <c r="H15" s="68">
        <v>3</v>
      </c>
      <c r="I15" s="78">
        <f t="shared" si="11"/>
        <v>0</v>
      </c>
      <c r="J15" s="17"/>
      <c r="K15" s="69">
        <v>140</v>
      </c>
      <c r="L15" s="71">
        <f>C15-F15</f>
        <v>-11</v>
      </c>
      <c r="M15" s="67">
        <f>(POWER(((1743.811*(POWER(J15,1.852))*I15))/((POWER(K15,1.852))*L15),(1/4.87)))</f>
        <v>0</v>
      </c>
      <c r="N15" s="17"/>
      <c r="O15" s="18"/>
      <c r="P15" s="76" t="e">
        <f>((1743.811*(POWER($J15,1.852))*$I15))/((POWER($K15,1.852))*(POWER($O15,4.87)))</f>
        <v>#DIV/0!</v>
      </c>
      <c r="Q15" s="17"/>
      <c r="R15" s="18"/>
      <c r="S15" s="70" t="e">
        <f t="shared" si="1"/>
        <v>#DIV/0!</v>
      </c>
      <c r="T15" s="79" t="e">
        <f>I15-X15</f>
        <v>#DIV/0!</v>
      </c>
      <c r="U15" s="75" t="e">
        <f>(ROUND((T15/6),0))*6</f>
        <v>#DIV/0!</v>
      </c>
      <c r="V15" s="70" t="e">
        <f>((1743.811*(POWER($J15,1.852))*$T15))/((POWER($K15,1.852))*(POWER($O15,4.87)))</f>
        <v>#DIV/0!</v>
      </c>
      <c r="W15" s="70" t="e">
        <f t="shared" ref="W15" si="13">(J15/1000)/((3.1416/4)*((O15*0.0254)*(O15*0.0254)))</f>
        <v>#DIV/0!</v>
      </c>
      <c r="X15" s="79" t="e">
        <f>I15*((L15-P15)/(S15-P15))</f>
        <v>#DIV/0!</v>
      </c>
      <c r="Y15" s="75" t="e">
        <f>(ROUND((X15/6),0))*6</f>
        <v>#DIV/0!</v>
      </c>
      <c r="Z15" s="70" t="e">
        <f>((1743.811*(POWER($J15,1.852))*$X15))/((POWER($K15,1.852))*(POWER($R15,4.87)))</f>
        <v>#DIV/0!</v>
      </c>
      <c r="AA15" s="70" t="e">
        <f t="shared" ref="AA15" si="14">(J15/1000)/((3.1416/4)*((R15*0.0254)*(R15*0.0254)))</f>
        <v>#DIV/0!</v>
      </c>
      <c r="AB15" s="70" t="e">
        <f t="shared" ref="AB15" si="15">V15+Z15</f>
        <v>#DIV/0!</v>
      </c>
      <c r="AC15" s="80" t="e">
        <f>C15-V15</f>
        <v>#DIV/0!</v>
      </c>
      <c r="AD15" s="80" t="e">
        <f>AC15-Z15</f>
        <v>#DIV/0!</v>
      </c>
      <c r="AE15" s="72">
        <f t="shared" ref="AE15" si="16">+F15</f>
        <v>10</v>
      </c>
      <c r="AF15" s="73" t="e">
        <f>+AD15-E15</f>
        <v>#DIV/0!</v>
      </c>
    </row>
    <row r="16" spans="1:32" x14ac:dyDescent="0.3">
      <c r="B16" s="26"/>
      <c r="C16" s="26"/>
      <c r="D16" s="27"/>
    </row>
    <row r="17" spans="2:17" x14ac:dyDescent="0.3">
      <c r="B17" s="26"/>
      <c r="C17" s="26"/>
      <c r="D17" s="27"/>
    </row>
    <row r="18" spans="2:17" x14ac:dyDescent="0.3">
      <c r="B18" s="26"/>
      <c r="C18" s="26"/>
      <c r="D18" s="27"/>
    </row>
    <row r="19" spans="2:17" x14ac:dyDescent="0.3">
      <c r="B19" s="26"/>
      <c r="C19" s="26"/>
      <c r="D19" s="27"/>
    </row>
    <row r="20" spans="2:17" x14ac:dyDescent="0.3">
      <c r="B20" s="26"/>
      <c r="C20" s="26"/>
      <c r="D20" s="27"/>
    </row>
    <row r="21" spans="2:17" x14ac:dyDescent="0.3">
      <c r="B21" s="26"/>
      <c r="C21" s="26"/>
      <c r="D21" s="27"/>
    </row>
    <row r="22" spans="2:17" x14ac:dyDescent="0.3">
      <c r="B22" s="26"/>
      <c r="C22" s="26"/>
      <c r="D22" s="27"/>
    </row>
    <row r="23" spans="2:17" x14ac:dyDescent="0.3">
      <c r="B23" s="26"/>
      <c r="C23" s="26"/>
      <c r="D23" s="27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2:17" x14ac:dyDescent="0.3">
      <c r="B24" s="26"/>
      <c r="C24" s="26"/>
      <c r="D24" s="27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2:17" x14ac:dyDescent="0.3">
      <c r="B25" s="26"/>
      <c r="C25" s="26"/>
      <c r="D25" s="27"/>
      <c r="F25" s="61"/>
      <c r="G25" s="66"/>
      <c r="H25" s="66"/>
      <c r="I25" s="66"/>
      <c r="J25" s="61"/>
      <c r="K25" s="61"/>
      <c r="L25" s="61"/>
      <c r="M25" s="61"/>
      <c r="N25" s="61"/>
      <c r="O25" s="61"/>
      <c r="P25" s="61"/>
      <c r="Q25" s="61"/>
    </row>
    <row r="26" spans="2:17" x14ac:dyDescent="0.3">
      <c r="B26" s="26"/>
      <c r="C26" s="26"/>
      <c r="D26" s="27"/>
      <c r="F26" s="61"/>
      <c r="G26" s="62"/>
      <c r="H26" s="62"/>
      <c r="I26" s="63"/>
      <c r="J26" s="61"/>
      <c r="K26" s="62"/>
      <c r="L26" s="62"/>
      <c r="M26" s="62"/>
      <c r="N26" s="62"/>
      <c r="O26" s="61"/>
      <c r="P26" s="61"/>
      <c r="Q26" s="61"/>
    </row>
    <row r="27" spans="2:17" x14ac:dyDescent="0.3">
      <c r="F27" s="61"/>
      <c r="G27" s="62"/>
      <c r="H27" s="62"/>
      <c r="I27" s="63"/>
      <c r="J27" s="61"/>
      <c r="K27" s="62"/>
      <c r="L27" s="62"/>
      <c r="M27" s="62"/>
      <c r="N27" s="61"/>
      <c r="O27" s="61"/>
      <c r="P27" s="61"/>
      <c r="Q27" s="61"/>
    </row>
    <row r="28" spans="2:17" x14ac:dyDescent="0.3">
      <c r="F28" s="61"/>
      <c r="G28" s="61"/>
      <c r="H28" s="61"/>
      <c r="I28" s="64"/>
      <c r="J28" s="61"/>
      <c r="K28" s="62"/>
      <c r="L28" s="62"/>
      <c r="M28" s="65"/>
      <c r="N28" s="61"/>
      <c r="O28" s="61"/>
      <c r="P28" s="61"/>
      <c r="Q28" s="61"/>
    </row>
    <row r="29" spans="2:17" x14ac:dyDescent="0.3">
      <c r="F29" s="61"/>
      <c r="G29" s="61"/>
      <c r="H29" s="61"/>
      <c r="I29" s="61"/>
      <c r="J29" s="61"/>
      <c r="K29" s="62"/>
      <c r="L29" s="62"/>
      <c r="M29" s="65"/>
      <c r="N29" s="61"/>
      <c r="O29" s="61"/>
      <c r="P29" s="61"/>
      <c r="Q29" s="61"/>
    </row>
    <row r="30" spans="2:17" x14ac:dyDescent="0.3"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2:17" x14ac:dyDescent="0.3"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spans="2:17" x14ac:dyDescent="0.3"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r="33" spans="6:17" x14ac:dyDescent="0.3"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</row>
    <row r="34" spans="6:17" x14ac:dyDescent="0.3"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</row>
    <row r="35" spans="6:17" x14ac:dyDescent="0.3"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</row>
  </sheetData>
  <mergeCells count="24">
    <mergeCell ref="X10:AA10"/>
    <mergeCell ref="AB10:AB11"/>
    <mergeCell ref="AF10:AF11"/>
    <mergeCell ref="A3:O3"/>
    <mergeCell ref="P3:AD3"/>
    <mergeCell ref="A5:O5"/>
    <mergeCell ref="P5:AD5"/>
    <mergeCell ref="A4:O4"/>
    <mergeCell ref="A6:O6"/>
    <mergeCell ref="P6:AD6"/>
    <mergeCell ref="A8:O8"/>
    <mergeCell ref="P8:AD8"/>
    <mergeCell ref="A9:L9"/>
    <mergeCell ref="M9:M10"/>
    <mergeCell ref="N9:R9"/>
    <mergeCell ref="T9:AD9"/>
    <mergeCell ref="A10:A11"/>
    <mergeCell ref="D10:D11"/>
    <mergeCell ref="AC10:AC11"/>
    <mergeCell ref="AD10:AD11"/>
    <mergeCell ref="K10:K11"/>
    <mergeCell ref="N10:O10"/>
    <mergeCell ref="Q10:R10"/>
    <mergeCell ref="T10:W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Cálculo de población</vt:lpstr>
      <vt:lpstr>1 tramo</vt:lpstr>
      <vt:lpstr>2 tramos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2023-09-22T23:30:41Z</dcterms:modified>
</cp:coreProperties>
</file>