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bicacion C a D\Documentos\Segundo-Semestre-24\Concreto 2\Proyecto maqueta\"/>
    </mc:Choice>
  </mc:AlternateContent>
  <xr:revisionPtr revIDLastSave="0" documentId="13_ncr:1_{C59DF719-2620-4742-BF0F-E88E03349BAF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COLUMNA" sheetId="1" r:id="rId1"/>
  </sheets>
  <externalReferences>
    <externalReference r:id="rId2"/>
  </externalReferences>
  <calcPr calcId="191029"/>
</workbook>
</file>

<file path=xl/calcChain.xml><?xml version="1.0" encoding="utf-8"?>
<calcChain xmlns="http://schemas.openxmlformats.org/spreadsheetml/2006/main">
  <c r="B5" i="1" l="1"/>
  <c r="B7" i="1"/>
  <c r="B3" i="1" s="1"/>
  <c r="G7" i="1"/>
  <c r="B9" i="1"/>
  <c r="B4" i="1" s="1"/>
  <c r="H13" i="1"/>
  <c r="A15" i="1"/>
  <c r="C19" i="1"/>
  <c r="D19" i="1" s="1"/>
  <c r="B29" i="1"/>
  <c r="C29" i="1" s="1"/>
  <c r="C42" i="1" s="1"/>
  <c r="B48" i="1" s="1"/>
  <c r="B51" i="1" s="1"/>
  <c r="C43" i="1"/>
  <c r="C44" i="1"/>
  <c r="B47" i="1"/>
  <c r="C59" i="1"/>
  <c r="B73" i="1"/>
  <c r="B74" i="1"/>
  <c r="F74" i="1"/>
  <c r="C105" i="1"/>
  <c r="C106" i="1"/>
  <c r="B111" i="1" s="1"/>
  <c r="B114" i="1" s="1"/>
  <c r="C107" i="1"/>
  <c r="C108" i="1"/>
  <c r="C122" i="1"/>
  <c r="G137" i="1"/>
  <c r="B160" i="1"/>
  <c r="E167" i="1"/>
  <c r="G167" i="1"/>
  <c r="O167" i="1"/>
  <c r="E168" i="1"/>
  <c r="G168" i="1" s="1"/>
  <c r="O168" i="1"/>
  <c r="E169" i="1"/>
  <c r="G169" i="1"/>
  <c r="O169" i="1"/>
  <c r="D276" i="1" s="1"/>
  <c r="E170" i="1"/>
  <c r="G170" i="1" s="1"/>
  <c r="O170" i="1"/>
  <c r="O171" i="1"/>
  <c r="E172" i="1"/>
  <c r="O172" i="1"/>
  <c r="E173" i="1"/>
  <c r="O173" i="1"/>
  <c r="E174" i="1"/>
  <c r="M174" i="1"/>
  <c r="O174" i="1"/>
  <c r="E175" i="1"/>
  <c r="C186" i="1" s="1"/>
  <c r="M175" i="1"/>
  <c r="O175" i="1" s="1"/>
  <c r="O176" i="1"/>
  <c r="O177" i="1"/>
  <c r="E178" i="1"/>
  <c r="E181" i="1"/>
  <c r="B204" i="1" s="1"/>
  <c r="B206" i="1" s="1"/>
  <c r="B215" i="1" s="1"/>
  <c r="B205" i="1"/>
  <c r="B207" i="1" s="1"/>
  <c r="F215" i="1" s="1"/>
  <c r="B220" i="1"/>
  <c r="B227" i="1"/>
  <c r="D234" i="1"/>
  <c r="D235" i="1"/>
  <c r="D246" i="1" s="1"/>
  <c r="D236" i="1"/>
  <c r="D240" i="1"/>
  <c r="D241" i="1"/>
  <c r="D242" i="1"/>
  <c r="B252" i="1"/>
  <c r="B254" i="1"/>
  <c r="Q264" i="1"/>
  <c r="J264" i="1" s="1"/>
  <c r="Q265" i="1"/>
  <c r="J265" i="1" s="1"/>
  <c r="Q266" i="1"/>
  <c r="J266" i="1" s="1"/>
  <c r="D275" i="1"/>
  <c r="D237" i="1" l="1"/>
  <c r="H12" i="1"/>
  <c r="C12" i="1" s="1"/>
  <c r="D248" i="1"/>
  <c r="D245" i="1"/>
  <c r="B285" i="1" s="1"/>
  <c r="B75" i="1"/>
  <c r="B78" i="1" s="1"/>
  <c r="B79" i="1" s="1"/>
  <c r="C13" i="1"/>
  <c r="D12" i="1" s="1"/>
  <c r="D114" i="1"/>
  <c r="F115" i="1"/>
  <c r="F114" i="1"/>
  <c r="F51" i="1"/>
  <c r="D51" i="1"/>
  <c r="F52" i="1"/>
  <c r="B253" i="1"/>
  <c r="B256" i="1" s="1"/>
  <c r="D244" i="1"/>
  <c r="D239" i="1"/>
  <c r="B260" i="1" s="1"/>
  <c r="B278" i="1" s="1"/>
  <c r="A279" i="1" s="1"/>
  <c r="B221" i="1"/>
  <c r="C187" i="1"/>
  <c r="C188" i="1" s="1"/>
  <c r="B137" i="1" l="1"/>
  <c r="B140" i="1" s="1"/>
  <c r="B141" i="1" s="1"/>
  <c r="B146" i="1" s="1"/>
  <c r="B150" i="1" s="1"/>
  <c r="B284" i="1"/>
  <c r="B287" i="1" s="1"/>
  <c r="B288" i="1" s="1"/>
  <c r="A290" i="1" s="1"/>
  <c r="D247" i="1"/>
  <c r="C121" i="1"/>
  <c r="F121" i="1" s="1"/>
  <c r="B127" i="1" s="1"/>
  <c r="A130" i="1" s="1"/>
  <c r="D120" i="1"/>
  <c r="B193" i="1"/>
  <c r="B194" i="1" s="1"/>
  <c r="B211" i="1"/>
  <c r="D57" i="1"/>
  <c r="C58" i="1"/>
  <c r="F58" i="1" s="1"/>
  <c r="B64" i="1" s="1"/>
  <c r="A67" i="1" s="1"/>
  <c r="B155" i="1" l="1"/>
  <c r="A151" i="1"/>
  <c r="F216" i="1"/>
  <c r="B216" i="1"/>
  <c r="B84" i="1"/>
  <c r="B89" i="1" s="1"/>
  <c r="B223" i="1"/>
  <c r="B224" i="1" s="1"/>
  <c r="B228" i="1" s="1"/>
  <c r="D229" i="1" s="1"/>
  <c r="A90" i="1" l="1"/>
  <c r="B95" i="1"/>
  <c r="B162" i="1"/>
  <c r="E180" i="1"/>
  <c r="B200" i="1" s="1"/>
  <c r="F214" i="1" s="1"/>
  <c r="B161" i="1" l="1"/>
  <c r="E179" i="1"/>
  <c r="B199" i="1" s="1"/>
  <c r="B214" i="1" s="1"/>
</calcChain>
</file>

<file path=xl/sharedStrings.xml><?xml version="1.0" encoding="utf-8"?>
<sst xmlns="http://schemas.openxmlformats.org/spreadsheetml/2006/main" count="314" uniqueCount="207">
  <si>
    <t>.</t>
  </si>
  <si>
    <t>cm</t>
  </si>
  <si>
    <t>So</t>
  </si>
  <si>
    <t xml:space="preserve">Lns </t>
  </si>
  <si>
    <t>Lnsb</t>
  </si>
  <si>
    <t>Lnsh</t>
  </si>
  <si>
    <t xml:space="preserve">5) Chequeo Disminuyendo Lns </t>
  </si>
  <si>
    <t>cm2</t>
  </si>
  <si>
    <t>Varilla Propuesta</t>
  </si>
  <si>
    <t xml:space="preserve">4) Chequeo Aumentando Sección Transversal de Varilla </t>
  </si>
  <si>
    <t>Usar Acero de Mayor Resistencia</t>
  </si>
  <si>
    <t>c)</t>
  </si>
  <si>
    <t>Reducir Lns</t>
  </si>
  <si>
    <t>b)</t>
  </si>
  <si>
    <t>Aumentar Sección Transversal de Varilla a un Máximo de #6</t>
  </si>
  <si>
    <t>a)</t>
  </si>
  <si>
    <t>PARAMETROS DE AJUNTE PARA CHEQUEO</t>
  </si>
  <si>
    <t>lado menor del estribo</t>
  </si>
  <si>
    <t>dbE=</t>
  </si>
  <si>
    <t>48dbE</t>
  </si>
  <si>
    <t>dbL=</t>
  </si>
  <si>
    <t>NO MAYOR</t>
  </si>
  <si>
    <t>eje</t>
  </si>
  <si>
    <t>16dbL</t>
  </si>
  <si>
    <t>25.7.2.1</t>
  </si>
  <si>
    <t>dagg=</t>
  </si>
  <si>
    <t>Tamaño nominal maximo de agregado</t>
  </si>
  <si>
    <t>luz</t>
  </si>
  <si>
    <t>4/3)dagg</t>
  </si>
  <si>
    <t>3) Cálculo de So</t>
  </si>
  <si>
    <t>Ps</t>
  </si>
  <si>
    <t>2) Cálculo de Ps</t>
  </si>
  <si>
    <t>Lcon</t>
  </si>
  <si>
    <t>Lcon3</t>
  </si>
  <si>
    <t>Lcon2</t>
  </si>
  <si>
    <t>Lcon1</t>
  </si>
  <si>
    <t>1) Longitud de Confinamiento Según Normativo</t>
  </si>
  <si>
    <t>Recubrimiento</t>
  </si>
  <si>
    <t xml:space="preserve">Area Entre Aceros Longitudinales </t>
  </si>
  <si>
    <t>Area Gruesa Concreto Ag</t>
  </si>
  <si>
    <t>fy</t>
  </si>
  <si>
    <t>f´c</t>
  </si>
  <si>
    <t>Material</t>
  </si>
  <si>
    <t>Altura columna 2</t>
  </si>
  <si>
    <t>Altura columna 1</t>
  </si>
  <si>
    <t>Dimención en Y</t>
  </si>
  <si>
    <t>Dimención en X</t>
  </si>
  <si>
    <t>Columna</t>
  </si>
  <si>
    <t>CALCULO DE ACERO TRANSVERSAL</t>
  </si>
  <si>
    <t>P´u</t>
  </si>
  <si>
    <t>Pu</t>
  </si>
  <si>
    <t>7) CHEQUEO DE CARGAS</t>
  </si>
  <si>
    <t>P´y</t>
  </si>
  <si>
    <t>P´x</t>
  </si>
  <si>
    <t>6) Cargas Inversas de Bresler - Calculo de P'x y P'y</t>
  </si>
  <si>
    <r>
      <rPr>
        <sz val="14"/>
        <color theme="1"/>
        <rFont val="Calibri"/>
        <family val="2"/>
        <scheme val="minor"/>
      </rPr>
      <t>Ϩ</t>
    </r>
    <r>
      <rPr>
        <sz val="12"/>
        <color theme="1"/>
        <rFont val="Calibri"/>
        <family val="2"/>
        <scheme val="minor"/>
      </rPr>
      <t>u</t>
    </r>
  </si>
  <si>
    <t>Yy</t>
  </si>
  <si>
    <t>Yx</t>
  </si>
  <si>
    <t>ey/hy</t>
  </si>
  <si>
    <t>ex/hx</t>
  </si>
  <si>
    <t>Datos para k´y</t>
  </si>
  <si>
    <t>Datos para k´x</t>
  </si>
  <si>
    <t>5) Parámetros para Determinar k´x , k´y en Graficos de Diseño</t>
  </si>
  <si>
    <t>bch</t>
  </si>
  <si>
    <t>hch</t>
  </si>
  <si>
    <t xml:space="preserve">4) Cálculo Relación de Sección para Flexión  </t>
  </si>
  <si>
    <t>ey</t>
  </si>
  <si>
    <t>ex</t>
  </si>
  <si>
    <t xml:space="preserve">3) Cálculo de Excentricidades </t>
  </si>
  <si>
    <t>ton</t>
  </si>
  <si>
    <t>kg</t>
  </si>
  <si>
    <t>P´o</t>
  </si>
  <si>
    <t>2) Calculo de areas concentricas</t>
  </si>
  <si>
    <t>ϕ</t>
  </si>
  <si>
    <t xml:space="preserve">Acero Mínimo </t>
  </si>
  <si>
    <t>Area de Acero As</t>
  </si>
  <si>
    <t>1) Calculo de Areas y Acero Mínimo</t>
  </si>
  <si>
    <t>ton-m</t>
  </si>
  <si>
    <t>Myd</t>
  </si>
  <si>
    <t>Mxd</t>
  </si>
  <si>
    <t xml:space="preserve">Condiciones </t>
  </si>
  <si>
    <t xml:space="preserve">Cantidad de Varillas propuestas </t>
  </si>
  <si>
    <t>Varilla Longitudinal Propuesta</t>
  </si>
  <si>
    <t>kg/cm2</t>
  </si>
  <si>
    <t>m</t>
  </si>
  <si>
    <t xml:space="preserve">Area cm2 Transversal </t>
  </si>
  <si>
    <t xml:space="preserve">Diametro cm </t>
  </si>
  <si>
    <t>Diametro pulgadas</t>
  </si>
  <si>
    <t>No varilla</t>
  </si>
  <si>
    <t>CALCULO DE ACERO LONGITUDINAL</t>
  </si>
  <si>
    <t xml:space="preserve">Datos Obtenidos para Diseño de Columnas </t>
  </si>
  <si>
    <t xml:space="preserve">5) Calculo de Momento de Diseño Myd </t>
  </si>
  <si>
    <t>Py&gt;1</t>
  </si>
  <si>
    <t>Py</t>
  </si>
  <si>
    <t>Cm =</t>
  </si>
  <si>
    <t>4) Calculo de Margnificador y-y</t>
  </si>
  <si>
    <t>Pcr</t>
  </si>
  <si>
    <t>3) Calculo Carga Crítica de Euler y-y</t>
  </si>
  <si>
    <t>ton-m2</t>
  </si>
  <si>
    <t>kg-cm2</t>
  </si>
  <si>
    <t>EI</t>
  </si>
  <si>
    <t>40%(Ec)</t>
  </si>
  <si>
    <t>MCc=</t>
  </si>
  <si>
    <t>15100*RAIZ(f'c)</t>
  </si>
  <si>
    <t>Ec</t>
  </si>
  <si>
    <r>
      <t>β</t>
    </r>
    <r>
      <rPr>
        <sz val="13.2"/>
        <color theme="1"/>
        <rFont val="Calibri"/>
        <family val="2"/>
        <scheme val="minor"/>
      </rPr>
      <t>d</t>
    </r>
  </si>
  <si>
    <t>fc=</t>
  </si>
  <si>
    <t>2) Chequeo de EI y-y</t>
  </si>
  <si>
    <t>Col.Larga</t>
  </si>
  <si>
    <t>Esb  &gt;100</t>
  </si>
  <si>
    <t>Col. Intermedia</t>
  </si>
  <si>
    <t>21 &lt; Esb &lt; 100</t>
  </si>
  <si>
    <t xml:space="preserve">Col. Corta </t>
  </si>
  <si>
    <t xml:space="preserve">Esb &lt; 21 </t>
  </si>
  <si>
    <t>es columna intermedia ?</t>
  </si>
  <si>
    <t xml:space="preserve">Esb </t>
  </si>
  <si>
    <t>Chequeo de esbeltez</t>
  </si>
  <si>
    <t>kmono</t>
  </si>
  <si>
    <t xml:space="preserve">Verificar kprom usada </t>
  </si>
  <si>
    <t>k a usar</t>
  </si>
  <si>
    <t>kprom</t>
  </si>
  <si>
    <t>Para chequeo usar K mayor</t>
  </si>
  <si>
    <t>k</t>
  </si>
  <si>
    <t xml:space="preserve">Evaluar k con monograma de Jackson </t>
  </si>
  <si>
    <t>K2</t>
  </si>
  <si>
    <t>K1</t>
  </si>
  <si>
    <t xml:space="preserve">Ψprom </t>
  </si>
  <si>
    <t>Evaluar k con Ψpormedio</t>
  </si>
  <si>
    <t>Ψc</t>
  </si>
  <si>
    <t>Ψb</t>
  </si>
  <si>
    <t>En el nodo</t>
  </si>
  <si>
    <t>Viga izquierda</t>
  </si>
  <si>
    <t>Viga derecha</t>
  </si>
  <si>
    <r>
      <t>En nodo de zapata se toma como vigas infinitas o/ꚙ</t>
    </r>
    <r>
      <rPr>
        <sz val="13.6"/>
        <color theme="1"/>
        <rFont val="Calibri"/>
        <family val="2"/>
        <scheme val="minor"/>
      </rPr>
      <t xml:space="preserve"> </t>
    </r>
    <r>
      <rPr>
        <sz val="8"/>
        <color theme="1"/>
        <rFont val="Calibri"/>
        <family val="2"/>
        <scheme val="minor"/>
      </rPr>
      <t>= 0</t>
    </r>
  </si>
  <si>
    <t>Columna 2</t>
  </si>
  <si>
    <t>Columna 1</t>
  </si>
  <si>
    <t xml:space="preserve">Rigidez de los elementos </t>
  </si>
  <si>
    <t>1) Chequeo de Esbeltez y-y</t>
  </si>
  <si>
    <t>longitud de columna =</t>
  </si>
  <si>
    <t>viga</t>
  </si>
  <si>
    <t>dimension en x =</t>
  </si>
  <si>
    <t>dimension en Y =</t>
  </si>
  <si>
    <t xml:space="preserve">5) Calculo de Momento de Diseño Mxd </t>
  </si>
  <si>
    <t>Px&gt;1</t>
  </si>
  <si>
    <t>Px</t>
  </si>
  <si>
    <t>Cm=</t>
  </si>
  <si>
    <t>4) Calculo de Margnificador x-x</t>
  </si>
  <si>
    <t>3) Calculo Carga Crítica de Euler x-x</t>
  </si>
  <si>
    <t>CU =</t>
  </si>
  <si>
    <t>CM u =</t>
  </si>
  <si>
    <t>2) Chequeo de EI x-x</t>
  </si>
  <si>
    <r>
      <rPr>
        <sz val="12"/>
        <color theme="1"/>
        <rFont val="Calibri"/>
        <family val="2"/>
      </rPr>
      <t>Ψ</t>
    </r>
    <r>
      <rPr>
        <sz val="12"/>
        <color theme="1"/>
        <rFont val="Times New Roman"/>
        <family val="1"/>
      </rPr>
      <t>a</t>
    </r>
  </si>
  <si>
    <t>PARAMATROS PARA  ΨA y ΨB</t>
  </si>
  <si>
    <t>K=</t>
  </si>
  <si>
    <t>VIGA -Y</t>
  </si>
  <si>
    <t>k=</t>
  </si>
  <si>
    <t>VIGA DER</t>
  </si>
  <si>
    <r>
      <t>En nodo de zapata se toma como vigas infinitas o/</t>
    </r>
    <r>
      <rPr>
        <sz val="8"/>
        <color theme="1"/>
        <rFont val="Calibri"/>
        <family val="2"/>
      </rPr>
      <t>ꚙ</t>
    </r>
    <r>
      <rPr>
        <sz val="13.6"/>
        <color theme="1"/>
        <rFont val="Times New Roman"/>
        <family val="1"/>
      </rPr>
      <t xml:space="preserve"> </t>
    </r>
    <r>
      <rPr>
        <sz val="8"/>
        <color theme="1"/>
        <rFont val="Times New Roman"/>
        <family val="1"/>
      </rPr>
      <t>= 0</t>
    </r>
  </si>
  <si>
    <t>COLUMNA</t>
  </si>
  <si>
    <t>RELACION DE ESBELTEZ</t>
  </si>
  <si>
    <t>MAGNIFICACIÓN DE MOMENTOS EN X-X</t>
  </si>
  <si>
    <t>H</t>
  </si>
  <si>
    <t>B</t>
  </si>
  <si>
    <t>DIMENSIO DE VIGAS</t>
  </si>
  <si>
    <t>VIGA -Y =</t>
  </si>
  <si>
    <t>VIGA  Y =</t>
  </si>
  <si>
    <t>L viga DER =</t>
  </si>
  <si>
    <t>L viga IZQ =</t>
  </si>
  <si>
    <t>L col =</t>
  </si>
  <si>
    <t>CM + S/C =</t>
  </si>
  <si>
    <t>40x40</t>
  </si>
  <si>
    <t>Seccion =</t>
  </si>
  <si>
    <t>Lu =</t>
  </si>
  <si>
    <t>CV =</t>
  </si>
  <si>
    <t>Muy =</t>
  </si>
  <si>
    <t xml:space="preserve">Mux = </t>
  </si>
  <si>
    <t>P =</t>
  </si>
  <si>
    <t>fy =</t>
  </si>
  <si>
    <t>f'c =</t>
  </si>
  <si>
    <t>DATOS ESTRUCTURALES</t>
  </si>
  <si>
    <t>(a luz de viga)</t>
  </si>
  <si>
    <t>ancho</t>
  </si>
  <si>
    <t>largo</t>
  </si>
  <si>
    <t>Losa critica</t>
  </si>
  <si>
    <t>P/180 =</t>
  </si>
  <si>
    <t>LOSA MACIZA</t>
  </si>
  <si>
    <t>PREDIMENSIONAMIENTO DE LOSA</t>
  </si>
  <si>
    <t>Recubrimiento=</t>
  </si>
  <si>
    <t>Lc =</t>
  </si>
  <si>
    <t>b*h^3/12</t>
  </si>
  <si>
    <t>Ic =</t>
  </si>
  <si>
    <t>384EI/L^3</t>
  </si>
  <si>
    <t xml:space="preserve">kc = </t>
  </si>
  <si>
    <t>Iv =</t>
  </si>
  <si>
    <t>12EI/L^3</t>
  </si>
  <si>
    <t>Kv</t>
  </si>
  <si>
    <t>CHEQUEO DE RIGIDEZ Kc &gt; Kv</t>
  </si>
  <si>
    <t>Asc =</t>
  </si>
  <si>
    <t>hc=</t>
  </si>
  <si>
    <t>bc</t>
  </si>
  <si>
    <t>hv=</t>
  </si>
  <si>
    <t>bv =</t>
  </si>
  <si>
    <t>bc &gt; 0.25 m</t>
  </si>
  <si>
    <t>Asc &gt; 900 cm2</t>
  </si>
  <si>
    <t>Lv=</t>
  </si>
  <si>
    <t>bc &gt; bv</t>
  </si>
  <si>
    <t>PREDIMENSIONAMIENTO DE COLUMNA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</si>
</sst>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164" formatCode="0.0"/>
    <numFmt numFmtId="165" formatCode="0.00\ &quot;cm&quot;"/>
    <numFmt numFmtId="166" formatCode="0.000"/>
    <numFmt numFmtId="167" formatCode="0.00&quot; cm^2&quot;"/>
    <numFmt numFmtId="168" formatCode="0\ &quot;kg/cm^2&quot;"/>
    <numFmt numFmtId="169" formatCode="0.00\ &quot;m&quot;"/>
    <numFmt numFmtId="170" formatCode="0.00\ &quot;T&quot;"/>
    <numFmt numFmtId="171" formatCode="0.00\ &quot;kg&quot;"/>
    <numFmt numFmtId="172" formatCode="0.00\ &quot;T-m&quot;"/>
    <numFmt numFmtId="173" formatCode="0.00\ &quot;cm2&quot;"/>
    <numFmt numFmtId="174" formatCode="0.0\ &quot;cm&quot;"/>
    <numFmt numFmtId="175" formatCode="0\ &quot;m&quot;"/>
    <numFmt numFmtId="176" formatCode="0.00\ &quot;cm^2&quot;"/>
    <numFmt numFmtId="177" formatCode="0\ &quot; kg/m&quot;"/>
    <numFmt numFmtId="178" formatCode="0\ &quot;cm^2&quot;"/>
  </numFmts>
  <fonts count="2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1"/>
      <name val="Calibri"/>
      <family val="2"/>
    </font>
    <font>
      <sz val="12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b/>
      <sz val="18"/>
      <color theme="1"/>
      <name val="Calibri"/>
      <family val="2"/>
      <scheme val="minor"/>
    </font>
    <font>
      <sz val="16"/>
      <name val="Calibri"/>
      <family val="2"/>
      <scheme val="minor"/>
    </font>
    <font>
      <sz val="18"/>
      <color theme="1"/>
      <name val="Calibri"/>
      <family val="2"/>
      <scheme val="minor"/>
    </font>
    <font>
      <sz val="12"/>
      <name val="Calibri"/>
      <family val="2"/>
      <scheme val="minor"/>
    </font>
    <font>
      <sz val="9"/>
      <color theme="1"/>
      <name val="Calibri"/>
      <family val="2"/>
      <scheme val="minor"/>
    </font>
    <font>
      <sz val="13.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sz val="13.6"/>
      <color theme="1"/>
      <name val="Calibri"/>
      <family val="2"/>
      <scheme val="minor"/>
    </font>
    <font>
      <sz val="12"/>
      <color theme="1"/>
      <name val="Times New Roman"/>
      <family val="1"/>
    </font>
    <font>
      <sz val="9"/>
      <name val="Times New Roman"/>
      <family val="1"/>
    </font>
    <font>
      <sz val="12"/>
      <name val="Times New Roman"/>
      <family val="1"/>
    </font>
    <font>
      <sz val="8"/>
      <color theme="1"/>
      <name val="Times New Roman"/>
      <family val="1"/>
    </font>
    <font>
      <sz val="8"/>
      <color theme="1"/>
      <name val="Calibri"/>
      <family val="2"/>
    </font>
    <font>
      <sz val="13.6"/>
      <color theme="1"/>
      <name val="Times New Roman"/>
      <family val="1"/>
    </font>
  </fonts>
  <fills count="16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6D6D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6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3" borderId="1" xfId="0" applyFont="1" applyFill="1" applyBorder="1"/>
    <xf numFmtId="2" fontId="1" fillId="3" borderId="1" xfId="0" applyNumberFormat="1" applyFont="1" applyFill="1" applyBorder="1"/>
    <xf numFmtId="0" fontId="1" fillId="0" borderId="1" xfId="0" applyFont="1" applyBorder="1"/>
    <xf numFmtId="164" fontId="1" fillId="0" borderId="1" xfId="0" applyNumberFormat="1" applyFont="1" applyBorder="1"/>
    <xf numFmtId="0" fontId="3" fillId="0" borderId="0" xfId="0" applyFont="1"/>
    <xf numFmtId="0" fontId="3" fillId="4" borderId="0" xfId="0" applyFont="1" applyFill="1"/>
    <xf numFmtId="0" fontId="1" fillId="7" borderId="1" xfId="0" applyFont="1" applyFill="1" applyBorder="1" applyAlignment="1">
      <alignment horizontal="right"/>
    </xf>
    <xf numFmtId="0" fontId="1" fillId="0" borderId="0" xfId="0" applyFont="1" applyAlignment="1">
      <alignment horizontal="right"/>
    </xf>
    <xf numFmtId="165" fontId="1" fillId="0" borderId="0" xfId="0" applyNumberFormat="1" applyFont="1"/>
    <xf numFmtId="2" fontId="1" fillId="8" borderId="1" xfId="0" applyNumberFormat="1" applyFont="1" applyFill="1" applyBorder="1"/>
    <xf numFmtId="166" fontId="1" fillId="8" borderId="1" xfId="0" applyNumberFormat="1" applyFont="1" applyFill="1" applyBorder="1"/>
    <xf numFmtId="0" fontId="1" fillId="8" borderId="1" xfId="0" applyFont="1" applyFill="1" applyBorder="1"/>
    <xf numFmtId="0" fontId="4" fillId="0" borderId="1" xfId="0" applyFont="1" applyBorder="1"/>
    <xf numFmtId="2" fontId="4" fillId="8" borderId="1" xfId="0" applyNumberFormat="1" applyFont="1" applyFill="1" applyBorder="1"/>
    <xf numFmtId="0" fontId="1" fillId="9" borderId="1" xfId="0" applyFont="1" applyFill="1" applyBorder="1"/>
    <xf numFmtId="165" fontId="1" fillId="0" borderId="1" xfId="0" applyNumberFormat="1" applyFont="1" applyBorder="1"/>
    <xf numFmtId="166" fontId="1" fillId="0" borderId="1" xfId="0" applyNumberFormat="1" applyFont="1" applyBorder="1"/>
    <xf numFmtId="167" fontId="1" fillId="10" borderId="1" xfId="0" applyNumberFormat="1" applyFont="1" applyFill="1" applyBorder="1"/>
    <xf numFmtId="165" fontId="1" fillId="10" borderId="1" xfId="0" applyNumberFormat="1" applyFont="1" applyFill="1" applyBorder="1"/>
    <xf numFmtId="168" fontId="1" fillId="0" borderId="1" xfId="0" applyNumberFormat="1" applyFont="1" applyBorder="1"/>
    <xf numFmtId="169" fontId="1" fillId="0" borderId="1" xfId="0" applyNumberFormat="1" applyFont="1" applyBorder="1"/>
    <xf numFmtId="0" fontId="5" fillId="8" borderId="0" xfId="0" applyFont="1" applyFill="1" applyAlignment="1">
      <alignment vertical="center"/>
    </xf>
    <xf numFmtId="2" fontId="1" fillId="12" borderId="1" xfId="0" applyNumberFormat="1" applyFont="1" applyFill="1" applyBorder="1"/>
    <xf numFmtId="0" fontId="1" fillId="12" borderId="1" xfId="0" applyFont="1" applyFill="1" applyBorder="1"/>
    <xf numFmtId="0" fontId="1" fillId="8" borderId="0" xfId="0" applyFont="1" applyFill="1"/>
    <xf numFmtId="170" fontId="1" fillId="12" borderId="1" xfId="0" applyNumberFormat="1" applyFont="1" applyFill="1" applyBorder="1"/>
    <xf numFmtId="171" fontId="1" fillId="12" borderId="1" xfId="0" applyNumberFormat="1" applyFont="1" applyFill="1" applyBorder="1"/>
    <xf numFmtId="0" fontId="6" fillId="0" borderId="0" xfId="0" applyFont="1"/>
    <xf numFmtId="0" fontId="4" fillId="0" borderId="0" xfId="0" applyFont="1"/>
    <xf numFmtId="0" fontId="7" fillId="8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7" fillId="0" borderId="1" xfId="0" applyFont="1" applyBorder="1" applyAlignment="1">
      <alignment horizontal="center"/>
    </xf>
    <xf numFmtId="2" fontId="1" fillId="0" borderId="1" xfId="0" applyNumberFormat="1" applyFont="1" applyBorder="1"/>
    <xf numFmtId="165" fontId="1" fillId="12" borderId="1" xfId="0" applyNumberFormat="1" applyFont="1" applyFill="1" applyBorder="1"/>
    <xf numFmtId="2" fontId="8" fillId="0" borderId="1" xfId="0" applyNumberFormat="1" applyFont="1" applyBorder="1"/>
    <xf numFmtId="0" fontId="8" fillId="0" borderId="1" xfId="0" applyFont="1" applyBorder="1"/>
    <xf numFmtId="12" fontId="8" fillId="0" borderId="1" xfId="0" applyNumberFormat="1" applyFont="1" applyBorder="1" applyAlignment="1">
      <alignment horizontal="right"/>
    </xf>
    <xf numFmtId="12" fontId="8" fillId="0" borderId="1" xfId="0" applyNumberFormat="1" applyFont="1" applyBorder="1"/>
    <xf numFmtId="0" fontId="10" fillId="0" borderId="1" xfId="0" applyFont="1" applyBorder="1" applyAlignment="1">
      <alignment horizontal="center" vertical="center" wrapText="1"/>
    </xf>
    <xf numFmtId="0" fontId="11" fillId="8" borderId="0" xfId="0" applyFont="1" applyFill="1" applyAlignment="1">
      <alignment vertical="center"/>
    </xf>
    <xf numFmtId="0" fontId="2" fillId="12" borderId="1" xfId="0" applyFont="1" applyFill="1" applyBorder="1"/>
    <xf numFmtId="2" fontId="2" fillId="12" borderId="1" xfId="0" applyNumberFormat="1" applyFont="1" applyFill="1" applyBorder="1"/>
    <xf numFmtId="0" fontId="2" fillId="0" borderId="1" xfId="0" applyFont="1" applyBorder="1"/>
    <xf numFmtId="170" fontId="2" fillId="12" borderId="1" xfId="0" applyNumberFormat="1" applyFont="1" applyFill="1" applyBorder="1"/>
    <xf numFmtId="0" fontId="4" fillId="5" borderId="8" xfId="0" applyFont="1" applyFill="1" applyBorder="1"/>
    <xf numFmtId="0" fontId="4" fillId="5" borderId="9" xfId="0" applyFont="1" applyFill="1" applyBorder="1"/>
    <xf numFmtId="0" fontId="4" fillId="5" borderId="10" xfId="0" applyFont="1" applyFill="1" applyBorder="1"/>
    <xf numFmtId="0" fontId="12" fillId="12" borderId="11" xfId="0" applyFont="1" applyFill="1" applyBorder="1"/>
    <xf numFmtId="2" fontId="12" fillId="12" borderId="12" xfId="0" applyNumberFormat="1" applyFont="1" applyFill="1" applyBorder="1"/>
    <xf numFmtId="0" fontId="12" fillId="12" borderId="13" xfId="0" applyFont="1" applyFill="1" applyBorder="1"/>
    <xf numFmtId="166" fontId="1" fillId="12" borderId="1" xfId="0" applyNumberFormat="1" applyFont="1" applyFill="1" applyBorder="1"/>
    <xf numFmtId="2" fontId="14" fillId="3" borderId="1" xfId="0" applyNumberFormat="1" applyFont="1" applyFill="1" applyBorder="1"/>
    <xf numFmtId="0" fontId="0" fillId="0" borderId="1" xfId="0" applyBorder="1"/>
    <xf numFmtId="0" fontId="15" fillId="0" borderId="1" xfId="0" applyFont="1" applyBorder="1"/>
    <xf numFmtId="164" fontId="1" fillId="0" borderId="0" xfId="0" applyNumberFormat="1" applyFont="1"/>
    <xf numFmtId="168" fontId="17" fillId="9" borderId="1" xfId="0" applyNumberFormat="1" applyFont="1" applyFill="1" applyBorder="1"/>
    <xf numFmtId="0" fontId="18" fillId="0" borderId="0" xfId="0" applyFont="1"/>
    <xf numFmtId="0" fontId="1" fillId="14" borderId="1" xfId="0" applyFont="1" applyFill="1" applyBorder="1"/>
    <xf numFmtId="2" fontId="1" fillId="0" borderId="0" xfId="0" applyNumberFormat="1" applyFont="1"/>
    <xf numFmtId="0" fontId="1" fillId="7" borderId="1" xfId="0" applyFont="1" applyFill="1" applyBorder="1"/>
    <xf numFmtId="0" fontId="1" fillId="5" borderId="8" xfId="0" applyFont="1" applyFill="1" applyBorder="1"/>
    <xf numFmtId="0" fontId="1" fillId="5" borderId="9" xfId="0" applyFont="1" applyFill="1" applyBorder="1"/>
    <xf numFmtId="0" fontId="1" fillId="5" borderId="10" xfId="0" applyFont="1" applyFill="1" applyBorder="1"/>
    <xf numFmtId="0" fontId="1" fillId="12" borderId="11" xfId="0" applyFont="1" applyFill="1" applyBorder="1"/>
    <xf numFmtId="172" fontId="1" fillId="12" borderId="12" xfId="0" applyNumberFormat="1" applyFont="1" applyFill="1" applyBorder="1"/>
    <xf numFmtId="0" fontId="1" fillId="12" borderId="13" xfId="0" applyFont="1" applyFill="1" applyBorder="1"/>
    <xf numFmtId="166" fontId="1" fillId="3" borderId="1" xfId="0" applyNumberFormat="1" applyFont="1" applyFill="1" applyBorder="1"/>
    <xf numFmtId="0" fontId="14" fillId="3" borderId="1" xfId="0" applyFont="1" applyFill="1" applyBorder="1"/>
    <xf numFmtId="0" fontId="21" fillId="0" borderId="0" xfId="0" applyFont="1"/>
    <xf numFmtId="0" fontId="0" fillId="8" borderId="0" xfId="0" applyFill="1"/>
    <xf numFmtId="0" fontId="21" fillId="0" borderId="1" xfId="0" applyFont="1" applyBorder="1"/>
    <xf numFmtId="2" fontId="21" fillId="0" borderId="1" xfId="0" applyNumberFormat="1" applyFont="1" applyBorder="1"/>
    <xf numFmtId="2" fontId="21" fillId="0" borderId="0" xfId="0" applyNumberFormat="1" applyFont="1"/>
    <xf numFmtId="0" fontId="21" fillId="9" borderId="1" xfId="0" applyFont="1" applyFill="1" applyBorder="1"/>
    <xf numFmtId="0" fontId="21" fillId="7" borderId="1" xfId="0" applyFont="1" applyFill="1" applyBorder="1"/>
    <xf numFmtId="2" fontId="23" fillId="12" borderId="1" xfId="0" applyNumberFormat="1" applyFont="1" applyFill="1" applyBorder="1"/>
    <xf numFmtId="2" fontId="21" fillId="12" borderId="1" xfId="0" applyNumberFormat="1" applyFont="1" applyFill="1" applyBorder="1"/>
    <xf numFmtId="0" fontId="7" fillId="0" borderId="1" xfId="0" applyFont="1" applyBorder="1"/>
    <xf numFmtId="173" fontId="0" fillId="12" borderId="1" xfId="0" applyNumberFormat="1" applyFill="1" applyBorder="1"/>
    <xf numFmtId="165" fontId="0" fillId="9" borderId="1" xfId="0" applyNumberFormat="1" applyFill="1" applyBorder="1"/>
    <xf numFmtId="174" fontId="0" fillId="12" borderId="1" xfId="0" applyNumberFormat="1" applyFill="1" applyBorder="1"/>
    <xf numFmtId="169" fontId="0" fillId="0" borderId="1" xfId="0" applyNumberFormat="1" applyBorder="1"/>
    <xf numFmtId="169" fontId="0" fillId="0" borderId="0" xfId="0" applyNumberFormat="1"/>
    <xf numFmtId="169" fontId="0" fillId="12" borderId="1" xfId="0" applyNumberFormat="1" applyFill="1" applyBorder="1"/>
    <xf numFmtId="175" fontId="0" fillId="12" borderId="1" xfId="0" applyNumberFormat="1" applyFill="1" applyBorder="1"/>
    <xf numFmtId="174" fontId="0" fillId="0" borderId="0" xfId="0" applyNumberFormat="1"/>
    <xf numFmtId="168" fontId="0" fillId="0" borderId="0" xfId="0" applyNumberFormat="1"/>
    <xf numFmtId="176" fontId="0" fillId="0" borderId="0" xfId="0" applyNumberFormat="1"/>
    <xf numFmtId="177" fontId="0" fillId="0" borderId="0" xfId="0" applyNumberFormat="1"/>
    <xf numFmtId="172" fontId="0" fillId="0" borderId="0" xfId="0" applyNumberFormat="1"/>
    <xf numFmtId="170" fontId="0" fillId="0" borderId="0" xfId="0" applyNumberFormat="1"/>
    <xf numFmtId="168" fontId="17" fillId="0" borderId="0" xfId="0" applyNumberFormat="1" applyFont="1"/>
    <xf numFmtId="169" fontId="0" fillId="9" borderId="1" xfId="0" applyNumberFormat="1" applyFill="1" applyBorder="1" applyAlignment="1">
      <alignment horizontal="left"/>
    </xf>
    <xf numFmtId="169" fontId="0" fillId="8" borderId="0" xfId="0" applyNumberFormat="1" applyFill="1" applyAlignment="1">
      <alignment horizontal="left"/>
    </xf>
    <xf numFmtId="169" fontId="0" fillId="0" borderId="0" xfId="0" applyNumberFormat="1" applyAlignment="1">
      <alignment horizontal="left"/>
    </xf>
    <xf numFmtId="0" fontId="0" fillId="15" borderId="0" xfId="0" applyFill="1"/>
    <xf numFmtId="165" fontId="0" fillId="0" borderId="0" xfId="0" applyNumberFormat="1"/>
    <xf numFmtId="0" fontId="0" fillId="0" borderId="0" xfId="0" applyAlignment="1">
      <alignment horizontal="left"/>
    </xf>
    <xf numFmtId="1" fontId="0" fillId="0" borderId="0" xfId="0" applyNumberFormat="1"/>
    <xf numFmtId="178" fontId="0" fillId="9" borderId="1" xfId="0" applyNumberFormat="1" applyFill="1" applyBorder="1" applyAlignment="1">
      <alignment horizontal="left"/>
    </xf>
    <xf numFmtId="0" fontId="0" fillId="0" borderId="0" xfId="0" applyAlignment="1">
      <alignment horizontal="right"/>
    </xf>
    <xf numFmtId="165" fontId="0" fillId="9" borderId="1" xfId="0" applyNumberFormat="1" applyFill="1" applyBorder="1" applyAlignment="1">
      <alignment horizontal="left"/>
    </xf>
    <xf numFmtId="168" fontId="0" fillId="9" borderId="1" xfId="0" applyNumberFormat="1" applyFill="1" applyBorder="1"/>
    <xf numFmtId="0" fontId="4" fillId="0" borderId="0" xfId="0" applyFont="1" applyAlignment="1">
      <alignment horizontal="center"/>
    </xf>
    <xf numFmtId="168" fontId="0" fillId="8" borderId="0" xfId="0" applyNumberFormat="1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4" fillId="0" borderId="0" xfId="0" applyFont="1" applyAlignment="1">
      <alignment horizontal="center" wrapText="1"/>
    </xf>
    <xf numFmtId="0" fontId="21" fillId="0" borderId="0" xfId="0" applyFont="1" applyAlignment="1">
      <alignment horizontal="left"/>
    </xf>
    <xf numFmtId="0" fontId="21" fillId="0" borderId="1" xfId="0" applyFont="1" applyBorder="1" applyAlignment="1">
      <alignment horizontal="center" vertical="center"/>
    </xf>
    <xf numFmtId="2" fontId="21" fillId="8" borderId="1" xfId="0" applyNumberFormat="1" applyFont="1" applyFill="1" applyBorder="1" applyAlignment="1">
      <alignment horizontal="center" vertical="center"/>
    </xf>
    <xf numFmtId="0" fontId="22" fillId="3" borderId="1" xfId="0" applyFont="1" applyFill="1" applyBorder="1" applyAlignment="1">
      <alignment horizontal="right"/>
    </xf>
    <xf numFmtId="0" fontId="4" fillId="8" borderId="1" xfId="0" applyFont="1" applyFill="1" applyBorder="1" applyAlignment="1">
      <alignment horizontal="center"/>
    </xf>
    <xf numFmtId="0" fontId="1" fillId="8" borderId="0" xfId="0" applyFont="1" applyFill="1"/>
    <xf numFmtId="0" fontId="4" fillId="3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/>
    </xf>
    <xf numFmtId="0" fontId="3" fillId="8" borderId="0" xfId="0" applyFont="1" applyFill="1"/>
    <xf numFmtId="0" fontId="1" fillId="8" borderId="0" xfId="0" applyFont="1" applyFill="1" applyAlignment="1">
      <alignment horizontal="left"/>
    </xf>
    <xf numFmtId="0" fontId="1" fillId="0" borderId="1" xfId="0" applyFont="1" applyBorder="1" applyAlignment="1">
      <alignment horizontal="left"/>
    </xf>
    <xf numFmtId="0" fontId="18" fillId="0" borderId="0" xfId="0" applyFont="1" applyAlignment="1">
      <alignment horizontal="center" wrapText="1"/>
    </xf>
    <xf numFmtId="0" fontId="1" fillId="0" borderId="1" xfId="0" applyFont="1" applyBorder="1" applyAlignment="1">
      <alignment horizontal="center" vertical="center"/>
    </xf>
    <xf numFmtId="2" fontId="1" fillId="8" borderId="1" xfId="0" applyNumberFormat="1" applyFont="1" applyFill="1" applyBorder="1" applyAlignment="1">
      <alignment horizontal="center" vertical="center"/>
    </xf>
    <xf numFmtId="0" fontId="19" fillId="0" borderId="0" xfId="0" applyFont="1" applyAlignment="1">
      <alignment horizontal="right"/>
    </xf>
    <xf numFmtId="0" fontId="4" fillId="0" borderId="1" xfId="0" applyFont="1" applyBorder="1" applyAlignment="1">
      <alignment horizontal="center" vertical="center"/>
    </xf>
    <xf numFmtId="0" fontId="13" fillId="5" borderId="1" xfId="0" applyFont="1" applyFill="1" applyBorder="1" applyAlignment="1">
      <alignment horizontal="center"/>
    </xf>
    <xf numFmtId="0" fontId="10" fillId="0" borderId="7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1" fillId="8" borderId="1" xfId="0" applyFont="1" applyFill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8" fillId="9" borderId="1" xfId="0" applyFont="1" applyFill="1" applyBorder="1" applyAlignment="1">
      <alignment horizontal="center" vertical="center"/>
    </xf>
    <xf numFmtId="0" fontId="1" fillId="8" borderId="4" xfId="0" applyFont="1" applyFill="1" applyBorder="1" applyAlignment="1">
      <alignment horizontal="left"/>
    </xf>
    <xf numFmtId="0" fontId="1" fillId="8" borderId="3" xfId="0" applyFont="1" applyFill="1" applyBorder="1" applyAlignment="1">
      <alignment horizontal="left"/>
    </xf>
    <xf numFmtId="0" fontId="1" fillId="8" borderId="2" xfId="0" applyFont="1" applyFill="1" applyBorder="1" applyAlignment="1">
      <alignment horizontal="left"/>
    </xf>
    <xf numFmtId="0" fontId="4" fillId="13" borderId="1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1" fillId="11" borderId="4" xfId="0" applyFont="1" applyFill="1" applyBorder="1" applyAlignment="1">
      <alignment horizontal="center"/>
    </xf>
    <xf numFmtId="0" fontId="1" fillId="11" borderId="3" xfId="0" applyFont="1" applyFill="1" applyBorder="1" applyAlignment="1">
      <alignment horizontal="center"/>
    </xf>
    <xf numFmtId="0" fontId="1" fillId="11" borderId="2" xfId="0" applyFont="1" applyFill="1" applyBorder="1" applyAlignment="1">
      <alignment horizontal="center"/>
    </xf>
    <xf numFmtId="0" fontId="1" fillId="0" borderId="6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11" borderId="4" xfId="0" applyFont="1" applyFill="1" applyBorder="1" applyAlignment="1">
      <alignment horizontal="center" vertical="center"/>
    </xf>
    <xf numFmtId="0" fontId="1" fillId="11" borderId="3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/>
    </xf>
    <xf numFmtId="0" fontId="5" fillId="8" borderId="0" xfId="0" applyFont="1" applyFill="1"/>
    <xf numFmtId="0" fontId="4" fillId="2" borderId="1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left"/>
    </xf>
    <xf numFmtId="0" fontId="1" fillId="7" borderId="1" xfId="0" applyFont="1" applyFill="1" applyBorder="1" applyAlignment="1">
      <alignment horizontal="left" vertical="center"/>
    </xf>
    <xf numFmtId="0" fontId="1" fillId="6" borderId="1" xfId="0" applyFont="1" applyFill="1" applyBorder="1" applyAlignment="1">
      <alignment horizontal="center" vertical="center"/>
    </xf>
  </cellXfs>
  <cellStyles count="1">
    <cellStyle name="Normal" xfId="0" builtinId="0"/>
  </cellStyles>
  <dxfs count="12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115103</xdr:colOff>
      <xdr:row>44</xdr:row>
      <xdr:rowOff>95250</xdr:rowOff>
    </xdr:from>
    <xdr:to>
      <xdr:col>7</xdr:col>
      <xdr:colOff>439251</xdr:colOff>
      <xdr:row>49</xdr:row>
      <xdr:rowOff>161924</xdr:rowOff>
    </xdr:to>
    <xdr:pic>
      <xdr:nvPicPr>
        <xdr:cNvPr id="2" name="Imagen 1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925103" y="8477250"/>
          <a:ext cx="1848148" cy="1019174"/>
        </a:xfrm>
        <a:prstGeom prst="rect">
          <a:avLst/>
        </a:prstGeom>
      </xdr:spPr>
    </xdr:pic>
    <xdr:clientData/>
  </xdr:twoCellAnchor>
  <xdr:twoCellAnchor editAs="oneCell">
    <xdr:from>
      <xdr:col>3</xdr:col>
      <xdr:colOff>301777</xdr:colOff>
      <xdr:row>62</xdr:row>
      <xdr:rowOff>151003</xdr:rowOff>
    </xdr:from>
    <xdr:to>
      <xdr:col>4</xdr:col>
      <xdr:colOff>471578</xdr:colOff>
      <xdr:row>64</xdr:row>
      <xdr:rowOff>148426</xdr:rowOff>
    </xdr:to>
    <xdr:pic>
      <xdr:nvPicPr>
        <xdr:cNvPr id="3" name="Imagen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587777" y="11962003"/>
          <a:ext cx="931801" cy="378423"/>
        </a:xfrm>
        <a:prstGeom prst="rect">
          <a:avLst/>
        </a:prstGeom>
      </xdr:spPr>
    </xdr:pic>
    <xdr:clientData/>
  </xdr:twoCellAnchor>
  <xdr:twoCellAnchor editAs="oneCell">
    <xdr:from>
      <xdr:col>6</xdr:col>
      <xdr:colOff>389572</xdr:colOff>
      <xdr:row>62</xdr:row>
      <xdr:rowOff>92556</xdr:rowOff>
    </xdr:from>
    <xdr:to>
      <xdr:col>7</xdr:col>
      <xdr:colOff>606461</xdr:colOff>
      <xdr:row>65</xdr:row>
      <xdr:rowOff>61233</xdr:rowOff>
    </xdr:to>
    <xdr:pic>
      <xdr:nvPicPr>
        <xdr:cNvPr id="4" name="Imagen 2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961572" y="11903556"/>
          <a:ext cx="978889" cy="540177"/>
        </a:xfrm>
        <a:prstGeom prst="rect">
          <a:avLst/>
        </a:prstGeom>
      </xdr:spPr>
    </xdr:pic>
    <xdr:clientData/>
  </xdr:twoCellAnchor>
  <xdr:twoCellAnchor editAs="oneCell">
    <xdr:from>
      <xdr:col>5</xdr:col>
      <xdr:colOff>208272</xdr:colOff>
      <xdr:row>62</xdr:row>
      <xdr:rowOff>141184</xdr:rowOff>
    </xdr:from>
    <xdr:to>
      <xdr:col>6</xdr:col>
      <xdr:colOff>296195</xdr:colOff>
      <xdr:row>64</xdr:row>
      <xdr:rowOff>38706</xdr:rowOff>
    </xdr:to>
    <xdr:pic>
      <xdr:nvPicPr>
        <xdr:cNvPr id="5" name="Imagen 3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018272" y="11952184"/>
          <a:ext cx="849923" cy="278522"/>
        </a:xfrm>
        <a:prstGeom prst="rect">
          <a:avLst/>
        </a:prstGeom>
      </xdr:spPr>
    </xdr:pic>
    <xdr:clientData/>
  </xdr:twoCellAnchor>
  <xdr:twoCellAnchor editAs="oneCell">
    <xdr:from>
      <xdr:col>6</xdr:col>
      <xdr:colOff>754070</xdr:colOff>
      <xdr:row>66</xdr:row>
      <xdr:rowOff>48237</xdr:rowOff>
    </xdr:from>
    <xdr:to>
      <xdr:col>7</xdr:col>
      <xdr:colOff>499978</xdr:colOff>
      <xdr:row>68</xdr:row>
      <xdr:rowOff>39585</xdr:rowOff>
    </xdr:to>
    <xdr:pic>
      <xdr:nvPicPr>
        <xdr:cNvPr id="6" name="Imagen 4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326070" y="12621237"/>
          <a:ext cx="507908" cy="372348"/>
        </a:xfrm>
        <a:prstGeom prst="rect">
          <a:avLst/>
        </a:prstGeom>
      </xdr:spPr>
    </xdr:pic>
    <xdr:clientData/>
  </xdr:twoCellAnchor>
  <xdr:twoCellAnchor editAs="oneCell">
    <xdr:from>
      <xdr:col>5</xdr:col>
      <xdr:colOff>105406</xdr:colOff>
      <xdr:row>66</xdr:row>
      <xdr:rowOff>175031</xdr:rowOff>
    </xdr:from>
    <xdr:to>
      <xdr:col>6</xdr:col>
      <xdr:colOff>390006</xdr:colOff>
      <xdr:row>67</xdr:row>
      <xdr:rowOff>145008</xdr:rowOff>
    </xdr:to>
    <xdr:pic>
      <xdr:nvPicPr>
        <xdr:cNvPr id="7" name="Imagen 5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915406" y="12748031"/>
          <a:ext cx="1046600" cy="160477"/>
        </a:xfrm>
        <a:prstGeom prst="rect">
          <a:avLst/>
        </a:prstGeom>
      </xdr:spPr>
    </xdr:pic>
    <xdr:clientData/>
  </xdr:twoCellAnchor>
  <xdr:twoCellAnchor editAs="oneCell">
    <xdr:from>
      <xdr:col>4</xdr:col>
      <xdr:colOff>413906</xdr:colOff>
      <xdr:row>78</xdr:row>
      <xdr:rowOff>19918</xdr:rowOff>
    </xdr:from>
    <xdr:to>
      <xdr:col>7</xdr:col>
      <xdr:colOff>466327</xdr:colOff>
      <xdr:row>80</xdr:row>
      <xdr:rowOff>139414</xdr:rowOff>
    </xdr:to>
    <xdr:pic>
      <xdr:nvPicPr>
        <xdr:cNvPr id="8" name="Imagen 16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461906" y="14878918"/>
          <a:ext cx="2338421" cy="500496"/>
        </a:xfrm>
        <a:prstGeom prst="rect">
          <a:avLst/>
        </a:prstGeom>
      </xdr:spPr>
    </xdr:pic>
    <xdr:clientData/>
  </xdr:twoCellAnchor>
  <xdr:twoCellAnchor editAs="oneCell">
    <xdr:from>
      <xdr:col>4</xdr:col>
      <xdr:colOff>517813</xdr:colOff>
      <xdr:row>75</xdr:row>
      <xdr:rowOff>136813</xdr:rowOff>
    </xdr:from>
    <xdr:to>
      <xdr:col>7</xdr:col>
      <xdr:colOff>599539</xdr:colOff>
      <xdr:row>77</xdr:row>
      <xdr:rowOff>74468</xdr:rowOff>
    </xdr:to>
    <xdr:pic>
      <xdr:nvPicPr>
        <xdr:cNvPr id="9" name="Imagen 1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565813" y="14424313"/>
          <a:ext cx="2367726" cy="318655"/>
        </a:xfrm>
        <a:prstGeom prst="rect">
          <a:avLst/>
        </a:prstGeom>
      </xdr:spPr>
    </xdr:pic>
    <xdr:clientData/>
  </xdr:twoCellAnchor>
  <xdr:twoCellAnchor editAs="oneCell">
    <xdr:from>
      <xdr:col>5</xdr:col>
      <xdr:colOff>60615</xdr:colOff>
      <xdr:row>83</xdr:row>
      <xdr:rowOff>34636</xdr:rowOff>
    </xdr:from>
    <xdr:to>
      <xdr:col>6</xdr:col>
      <xdr:colOff>173183</xdr:colOff>
      <xdr:row>84</xdr:row>
      <xdr:rowOff>177914</xdr:rowOff>
    </xdr:to>
    <xdr:pic>
      <xdr:nvPicPr>
        <xdr:cNvPr id="10" name="Imagen 1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3870615" y="15846136"/>
          <a:ext cx="874568" cy="333778"/>
        </a:xfrm>
        <a:prstGeom prst="rect">
          <a:avLst/>
        </a:prstGeom>
      </xdr:spPr>
    </xdr:pic>
    <xdr:clientData/>
  </xdr:twoCellAnchor>
  <xdr:twoCellAnchor editAs="oneCell">
    <xdr:from>
      <xdr:col>5</xdr:col>
      <xdr:colOff>502227</xdr:colOff>
      <xdr:row>88</xdr:row>
      <xdr:rowOff>69273</xdr:rowOff>
    </xdr:from>
    <xdr:to>
      <xdr:col>7</xdr:col>
      <xdr:colOff>506726</xdr:colOff>
      <xdr:row>90</xdr:row>
      <xdr:rowOff>140956</xdr:rowOff>
    </xdr:to>
    <xdr:pic>
      <xdr:nvPicPr>
        <xdr:cNvPr id="11" name="Imagen 2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4312227" y="16833273"/>
          <a:ext cx="1528499" cy="452683"/>
        </a:xfrm>
        <a:prstGeom prst="rect">
          <a:avLst/>
        </a:prstGeom>
      </xdr:spPr>
    </xdr:pic>
    <xdr:clientData/>
  </xdr:twoCellAnchor>
  <xdr:twoCellAnchor editAs="oneCell">
    <xdr:from>
      <xdr:col>5</xdr:col>
      <xdr:colOff>147205</xdr:colOff>
      <xdr:row>93</xdr:row>
      <xdr:rowOff>164522</xdr:rowOff>
    </xdr:from>
    <xdr:to>
      <xdr:col>7</xdr:col>
      <xdr:colOff>277091</xdr:colOff>
      <xdr:row>94</xdr:row>
      <xdr:rowOff>169880</xdr:rowOff>
    </xdr:to>
    <xdr:pic>
      <xdr:nvPicPr>
        <xdr:cNvPr id="12" name="Imagen 2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3957205" y="17881022"/>
          <a:ext cx="1653886" cy="195858"/>
        </a:xfrm>
        <a:prstGeom prst="rect">
          <a:avLst/>
        </a:prstGeom>
      </xdr:spPr>
    </xdr:pic>
    <xdr:clientData/>
  </xdr:twoCellAnchor>
  <xdr:oneCellAnchor>
    <xdr:from>
      <xdr:col>3</xdr:col>
      <xdr:colOff>301777</xdr:colOff>
      <xdr:row>125</xdr:row>
      <xdr:rowOff>151003</xdr:rowOff>
    </xdr:from>
    <xdr:ext cx="1112776" cy="414792"/>
    <xdr:pic>
      <xdr:nvPicPr>
        <xdr:cNvPr id="13" name="Imagen 17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587777" y="23963503"/>
          <a:ext cx="1112776" cy="414792"/>
        </a:xfrm>
        <a:prstGeom prst="rect">
          <a:avLst/>
        </a:prstGeom>
      </xdr:spPr>
    </xdr:pic>
    <xdr:clientData/>
  </xdr:oneCellAnchor>
  <xdr:oneCellAnchor>
    <xdr:from>
      <xdr:col>6</xdr:col>
      <xdr:colOff>389572</xdr:colOff>
      <xdr:row>125</xdr:row>
      <xdr:rowOff>92556</xdr:rowOff>
    </xdr:from>
    <xdr:ext cx="978889" cy="594729"/>
    <xdr:pic>
      <xdr:nvPicPr>
        <xdr:cNvPr id="14" name="Imagen 22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961572" y="23905056"/>
          <a:ext cx="978889" cy="594729"/>
        </a:xfrm>
        <a:prstGeom prst="rect">
          <a:avLst/>
        </a:prstGeom>
      </xdr:spPr>
    </xdr:pic>
    <xdr:clientData/>
  </xdr:oneCellAnchor>
  <xdr:oneCellAnchor>
    <xdr:from>
      <xdr:col>5</xdr:col>
      <xdr:colOff>208272</xdr:colOff>
      <xdr:row>125</xdr:row>
      <xdr:rowOff>141184</xdr:rowOff>
    </xdr:from>
    <xdr:ext cx="849923" cy="314891"/>
    <xdr:pic>
      <xdr:nvPicPr>
        <xdr:cNvPr id="15" name="Imagen 23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018272" y="23953684"/>
          <a:ext cx="849923" cy="314891"/>
        </a:xfrm>
        <a:prstGeom prst="rect">
          <a:avLst/>
        </a:prstGeom>
      </xdr:spPr>
    </xdr:pic>
    <xdr:clientData/>
  </xdr:oneCellAnchor>
  <xdr:oneCellAnchor>
    <xdr:from>
      <xdr:col>7</xdr:col>
      <xdr:colOff>49220</xdr:colOff>
      <xdr:row>129</xdr:row>
      <xdr:rowOff>86337</xdr:rowOff>
    </xdr:from>
    <xdr:ext cx="507908" cy="542067"/>
    <xdr:pic>
      <xdr:nvPicPr>
        <xdr:cNvPr id="16" name="Imagen 24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383220" y="24660837"/>
          <a:ext cx="507908" cy="542067"/>
        </a:xfrm>
        <a:prstGeom prst="rect">
          <a:avLst/>
        </a:prstGeom>
      </xdr:spPr>
    </xdr:pic>
    <xdr:clientData/>
  </xdr:oneCellAnchor>
  <xdr:oneCellAnchor>
    <xdr:from>
      <xdr:col>5</xdr:col>
      <xdr:colOff>162556</xdr:colOff>
      <xdr:row>129</xdr:row>
      <xdr:rowOff>98831</xdr:rowOff>
    </xdr:from>
    <xdr:ext cx="1046600" cy="312012"/>
    <xdr:pic>
      <xdr:nvPicPr>
        <xdr:cNvPr id="17" name="Imagen 25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972556" y="24673331"/>
          <a:ext cx="1046600" cy="312012"/>
        </a:xfrm>
        <a:prstGeom prst="rect">
          <a:avLst/>
        </a:prstGeom>
      </xdr:spPr>
    </xdr:pic>
    <xdr:clientData/>
  </xdr:oneCellAnchor>
  <xdr:oneCellAnchor>
    <xdr:from>
      <xdr:col>6</xdr:col>
      <xdr:colOff>50428</xdr:colOff>
      <xdr:row>109</xdr:row>
      <xdr:rowOff>95251</xdr:rowOff>
    </xdr:from>
    <xdr:ext cx="1389530" cy="338756"/>
    <xdr:pic>
      <xdr:nvPicPr>
        <xdr:cNvPr id="18" name="Imagen 26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622428" y="20859751"/>
          <a:ext cx="1389530" cy="338756"/>
        </a:xfrm>
        <a:prstGeom prst="rect">
          <a:avLst/>
        </a:prstGeom>
      </xdr:spPr>
    </xdr:pic>
    <xdr:clientData/>
  </xdr:oneCellAnchor>
  <xdr:oneCellAnchor>
    <xdr:from>
      <xdr:col>6</xdr:col>
      <xdr:colOff>106457</xdr:colOff>
      <xdr:row>112</xdr:row>
      <xdr:rowOff>179296</xdr:rowOff>
    </xdr:from>
    <xdr:ext cx="1406338" cy="723554"/>
    <xdr:pic>
      <xdr:nvPicPr>
        <xdr:cNvPr id="19" name="Imagen 27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xfrm>
          <a:off x="4678457" y="21515296"/>
          <a:ext cx="1406338" cy="723554"/>
        </a:xfrm>
        <a:prstGeom prst="rect">
          <a:avLst/>
        </a:prstGeom>
      </xdr:spPr>
    </xdr:pic>
    <xdr:clientData/>
  </xdr:oneCellAnchor>
  <xdr:oneCellAnchor>
    <xdr:from>
      <xdr:col>4</xdr:col>
      <xdr:colOff>404381</xdr:colOff>
      <xdr:row>140</xdr:row>
      <xdr:rowOff>19344</xdr:rowOff>
    </xdr:from>
    <xdr:ext cx="2434069" cy="527046"/>
    <xdr:pic>
      <xdr:nvPicPr>
        <xdr:cNvPr id="20" name="Imagen 28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452381" y="26689344"/>
          <a:ext cx="2434069" cy="527046"/>
        </a:xfrm>
        <a:prstGeom prst="rect">
          <a:avLst/>
        </a:prstGeom>
      </xdr:spPr>
    </xdr:pic>
    <xdr:clientData/>
  </xdr:oneCellAnchor>
  <xdr:oneCellAnchor>
    <xdr:from>
      <xdr:col>4</xdr:col>
      <xdr:colOff>327313</xdr:colOff>
      <xdr:row>138</xdr:row>
      <xdr:rowOff>70138</xdr:rowOff>
    </xdr:from>
    <xdr:ext cx="2548701" cy="372341"/>
    <xdr:pic>
      <xdr:nvPicPr>
        <xdr:cNvPr id="21" name="Imagen 29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375313" y="26359138"/>
          <a:ext cx="2548701" cy="372341"/>
        </a:xfrm>
        <a:prstGeom prst="rect">
          <a:avLst/>
        </a:prstGeom>
      </xdr:spPr>
    </xdr:pic>
    <xdr:clientData/>
  </xdr:oneCellAnchor>
  <xdr:oneCellAnchor>
    <xdr:from>
      <xdr:col>5</xdr:col>
      <xdr:colOff>60615</xdr:colOff>
      <xdr:row>145</xdr:row>
      <xdr:rowOff>34636</xdr:rowOff>
    </xdr:from>
    <xdr:ext cx="874568" cy="361488"/>
    <xdr:pic>
      <xdr:nvPicPr>
        <xdr:cNvPr id="22" name="Imagen 30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3870615" y="27657136"/>
          <a:ext cx="874568" cy="361488"/>
        </a:xfrm>
        <a:prstGeom prst="rect">
          <a:avLst/>
        </a:prstGeom>
      </xdr:spPr>
    </xdr:pic>
    <xdr:clientData/>
  </xdr:oneCellAnchor>
  <xdr:oneCellAnchor>
    <xdr:from>
      <xdr:col>5</xdr:col>
      <xdr:colOff>502227</xdr:colOff>
      <xdr:row>149</xdr:row>
      <xdr:rowOff>69273</xdr:rowOff>
    </xdr:from>
    <xdr:ext cx="1528499" cy="562841"/>
    <xdr:pic>
      <xdr:nvPicPr>
        <xdr:cNvPr id="23" name="Imagen 31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4312227" y="28453773"/>
          <a:ext cx="1528499" cy="562841"/>
        </a:xfrm>
        <a:prstGeom prst="rect">
          <a:avLst/>
        </a:prstGeom>
      </xdr:spPr>
    </xdr:pic>
    <xdr:clientData/>
  </xdr:oneCellAnchor>
  <xdr:twoCellAnchor editAs="oneCell">
    <xdr:from>
      <xdr:col>4</xdr:col>
      <xdr:colOff>752475</xdr:colOff>
      <xdr:row>153</xdr:row>
      <xdr:rowOff>97632</xdr:rowOff>
    </xdr:from>
    <xdr:to>
      <xdr:col>7</xdr:col>
      <xdr:colOff>266977</xdr:colOff>
      <xdr:row>154</xdr:row>
      <xdr:rowOff>183410</xdr:rowOff>
    </xdr:to>
    <xdr:pic>
      <xdr:nvPicPr>
        <xdr:cNvPr id="24" name="Imagen 9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3800475" y="29244132"/>
          <a:ext cx="1800502" cy="276278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190500</xdr:colOff>
      <xdr:row>194</xdr:row>
      <xdr:rowOff>66674</xdr:rowOff>
    </xdr:from>
    <xdr:to>
      <xdr:col>3</xdr:col>
      <xdr:colOff>671181</xdr:colOff>
      <xdr:row>195</xdr:row>
      <xdr:rowOff>152399</xdr:rowOff>
    </xdr:to>
    <xdr:pic>
      <xdr:nvPicPr>
        <xdr:cNvPr id="25" name="Imagen 13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90500" y="37023674"/>
          <a:ext cx="2766681" cy="276225"/>
        </a:xfrm>
        <a:prstGeom prst="rect">
          <a:avLst/>
        </a:prstGeom>
      </xdr:spPr>
    </xdr:pic>
    <xdr:clientData/>
  </xdr:twoCellAnchor>
  <xdr:twoCellAnchor editAs="oneCell">
    <xdr:from>
      <xdr:col>6</xdr:col>
      <xdr:colOff>371475</xdr:colOff>
      <xdr:row>197</xdr:row>
      <xdr:rowOff>19050</xdr:rowOff>
    </xdr:from>
    <xdr:to>
      <xdr:col>7</xdr:col>
      <xdr:colOff>428625</xdr:colOff>
      <xdr:row>200</xdr:row>
      <xdr:rowOff>57150</xdr:rowOff>
    </xdr:to>
    <xdr:pic>
      <xdr:nvPicPr>
        <xdr:cNvPr id="26" name="Imagen 36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4943475" y="37547550"/>
          <a:ext cx="819150" cy="609600"/>
        </a:xfrm>
        <a:prstGeom prst="rect">
          <a:avLst/>
        </a:prstGeom>
      </xdr:spPr>
    </xdr:pic>
    <xdr:clientData/>
  </xdr:twoCellAnchor>
  <xdr:twoCellAnchor editAs="oneCell">
    <xdr:from>
      <xdr:col>6</xdr:col>
      <xdr:colOff>95251</xdr:colOff>
      <xdr:row>202</xdr:row>
      <xdr:rowOff>142875</xdr:rowOff>
    </xdr:from>
    <xdr:to>
      <xdr:col>7</xdr:col>
      <xdr:colOff>438151</xdr:colOff>
      <xdr:row>207</xdr:row>
      <xdr:rowOff>142160</xdr:rowOff>
    </xdr:to>
    <xdr:pic>
      <xdr:nvPicPr>
        <xdr:cNvPr id="27" name="Imagen 37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4667251" y="38623875"/>
          <a:ext cx="1104900" cy="951785"/>
        </a:xfrm>
        <a:prstGeom prst="rect">
          <a:avLst/>
        </a:prstGeom>
      </xdr:spPr>
    </xdr:pic>
    <xdr:clientData/>
  </xdr:twoCellAnchor>
  <xdr:twoCellAnchor editAs="oneCell">
    <xdr:from>
      <xdr:col>4</xdr:col>
      <xdr:colOff>314325</xdr:colOff>
      <xdr:row>209</xdr:row>
      <xdr:rowOff>95251</xdr:rowOff>
    </xdr:from>
    <xdr:to>
      <xdr:col>6</xdr:col>
      <xdr:colOff>171450</xdr:colOff>
      <xdr:row>211</xdr:row>
      <xdr:rowOff>85725</xdr:rowOff>
    </xdr:to>
    <xdr:pic>
      <xdr:nvPicPr>
        <xdr:cNvPr id="28" name="Imagen 38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8"/>
        <a:srcRect b="64118"/>
        <a:stretch/>
      </xdr:blipFill>
      <xdr:spPr>
        <a:xfrm>
          <a:off x="3362325" y="39909751"/>
          <a:ext cx="1381125" cy="371474"/>
        </a:xfrm>
        <a:prstGeom prst="rect">
          <a:avLst/>
        </a:prstGeom>
      </xdr:spPr>
    </xdr:pic>
    <xdr:clientData/>
  </xdr:twoCellAnchor>
  <xdr:twoCellAnchor editAs="oneCell">
    <xdr:from>
      <xdr:col>7</xdr:col>
      <xdr:colOff>409575</xdr:colOff>
      <xdr:row>213</xdr:row>
      <xdr:rowOff>0</xdr:rowOff>
    </xdr:from>
    <xdr:to>
      <xdr:col>7</xdr:col>
      <xdr:colOff>693423</xdr:colOff>
      <xdr:row>216</xdr:row>
      <xdr:rowOff>95250</xdr:rowOff>
    </xdr:to>
    <xdr:pic>
      <xdr:nvPicPr>
        <xdr:cNvPr id="29" name="Imagen 39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8"/>
        <a:srcRect l="40855" t="33067" r="37804"/>
        <a:stretch/>
      </xdr:blipFill>
      <xdr:spPr>
        <a:xfrm>
          <a:off x="5743575" y="40576500"/>
          <a:ext cx="283848" cy="666750"/>
        </a:xfrm>
        <a:prstGeom prst="rect">
          <a:avLst/>
        </a:prstGeom>
      </xdr:spPr>
    </xdr:pic>
    <xdr:clientData/>
  </xdr:twoCellAnchor>
  <xdr:twoCellAnchor editAs="oneCell">
    <xdr:from>
      <xdr:col>5</xdr:col>
      <xdr:colOff>114301</xdr:colOff>
      <xdr:row>218</xdr:row>
      <xdr:rowOff>133351</xdr:rowOff>
    </xdr:from>
    <xdr:to>
      <xdr:col>7</xdr:col>
      <xdr:colOff>352425</xdr:colOff>
      <xdr:row>220</xdr:row>
      <xdr:rowOff>182688</xdr:rowOff>
    </xdr:to>
    <xdr:pic>
      <xdr:nvPicPr>
        <xdr:cNvPr id="30" name="Imagen 42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3924301" y="41662351"/>
          <a:ext cx="1762124" cy="430337"/>
        </a:xfrm>
        <a:prstGeom prst="rect">
          <a:avLst/>
        </a:prstGeom>
      </xdr:spPr>
    </xdr:pic>
    <xdr:clientData/>
  </xdr:twoCellAnchor>
  <xdr:twoCellAnchor editAs="oneCell">
    <xdr:from>
      <xdr:col>5</xdr:col>
      <xdr:colOff>57151</xdr:colOff>
      <xdr:row>221</xdr:row>
      <xdr:rowOff>171450</xdr:rowOff>
    </xdr:from>
    <xdr:to>
      <xdr:col>7</xdr:col>
      <xdr:colOff>438151</xdr:colOff>
      <xdr:row>223</xdr:row>
      <xdr:rowOff>188302</xdr:rowOff>
    </xdr:to>
    <xdr:pic>
      <xdr:nvPicPr>
        <xdr:cNvPr id="31" name="Imagen 43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3867151" y="42271950"/>
          <a:ext cx="1905000" cy="397852"/>
        </a:xfrm>
        <a:prstGeom prst="rect">
          <a:avLst/>
        </a:prstGeom>
      </xdr:spPr>
    </xdr:pic>
    <xdr:clientData/>
  </xdr:twoCellAnchor>
  <xdr:twoCellAnchor editAs="oneCell">
    <xdr:from>
      <xdr:col>4</xdr:col>
      <xdr:colOff>104775</xdr:colOff>
      <xdr:row>250</xdr:row>
      <xdr:rowOff>85725</xdr:rowOff>
    </xdr:from>
    <xdr:to>
      <xdr:col>7</xdr:col>
      <xdr:colOff>371475</xdr:colOff>
      <xdr:row>254</xdr:row>
      <xdr:rowOff>110244</xdr:rowOff>
    </xdr:to>
    <xdr:pic>
      <xdr:nvPicPr>
        <xdr:cNvPr id="32" name="Imagen 47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3152775" y="47710725"/>
          <a:ext cx="2552700" cy="786519"/>
        </a:xfrm>
        <a:prstGeom prst="rect">
          <a:avLst/>
        </a:prstGeom>
      </xdr:spPr>
    </xdr:pic>
    <xdr:clientData/>
  </xdr:twoCellAnchor>
  <xdr:twoCellAnchor editAs="oneCell">
    <xdr:from>
      <xdr:col>4</xdr:col>
      <xdr:colOff>742950</xdr:colOff>
      <xdr:row>258</xdr:row>
      <xdr:rowOff>28576</xdr:rowOff>
    </xdr:from>
    <xdr:to>
      <xdr:col>7</xdr:col>
      <xdr:colOff>171450</xdr:colOff>
      <xdr:row>260</xdr:row>
      <xdr:rowOff>116880</xdr:rowOff>
    </xdr:to>
    <xdr:pic>
      <xdr:nvPicPr>
        <xdr:cNvPr id="33" name="Imagen 48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3790950" y="49177576"/>
          <a:ext cx="1714500" cy="469304"/>
        </a:xfrm>
        <a:prstGeom prst="rect">
          <a:avLst/>
        </a:prstGeom>
      </xdr:spPr>
    </xdr:pic>
    <xdr:clientData/>
  </xdr:twoCellAnchor>
  <xdr:twoCellAnchor editAs="oneCell">
    <xdr:from>
      <xdr:col>5</xdr:col>
      <xdr:colOff>504825</xdr:colOff>
      <xdr:row>226</xdr:row>
      <xdr:rowOff>152400</xdr:rowOff>
    </xdr:from>
    <xdr:to>
      <xdr:col>7</xdr:col>
      <xdr:colOff>95250</xdr:colOff>
      <xdr:row>228</xdr:row>
      <xdr:rowOff>145356</xdr:rowOff>
    </xdr:to>
    <xdr:pic>
      <xdr:nvPicPr>
        <xdr:cNvPr id="34" name="Imagen 52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4314825" y="43205400"/>
          <a:ext cx="1114425" cy="37395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Ivan\AppData\Local\Microsoft\Windows\INetCache\IE\ZY61R4BA\VIGA%20CONCRETO%20A.%20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ISEÑO DE VIGA"/>
      <sheetName val="VIGA"/>
      <sheetName val="COLUMNA"/>
    </sheetNames>
    <sheetDataSet>
      <sheetData sheetId="0"/>
      <sheetData sheetId="1">
        <row r="19">
          <cell r="B19">
            <v>25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92"/>
  <sheetViews>
    <sheetView tabSelected="1" topLeftCell="A235" zoomScale="85" zoomScaleNormal="85" workbookViewId="0">
      <selection activeCell="M23" sqref="M23"/>
    </sheetView>
  </sheetViews>
  <sheetFormatPr baseColWidth="10" defaultRowHeight="14.5" x14ac:dyDescent="0.35"/>
  <cols>
    <col min="1" max="1" width="12.54296875" bestFit="1" customWidth="1"/>
    <col min="2" max="2" width="16.54296875" bestFit="1" customWidth="1"/>
    <col min="3" max="3" width="13.453125" customWidth="1"/>
    <col min="4" max="5" width="14.1796875" bestFit="1" customWidth="1"/>
    <col min="6" max="6" width="13.7265625" customWidth="1"/>
    <col min="9" max="9" width="13.453125" customWidth="1"/>
  </cols>
  <sheetData>
    <row r="1" spans="1:8" ht="18.5" x14ac:dyDescent="0.45">
      <c r="A1" s="106" t="s">
        <v>206</v>
      </c>
      <c r="B1" s="106"/>
      <c r="C1" s="106"/>
      <c r="D1" s="106"/>
      <c r="E1" s="106"/>
    </row>
    <row r="3" spans="1:8" x14ac:dyDescent="0.35">
      <c r="A3" t="s">
        <v>205</v>
      </c>
      <c r="B3" t="str">
        <f>IF(B8&gt;B7,"OK","NO OK")</f>
        <v>OK</v>
      </c>
      <c r="C3" s="103" t="s">
        <v>204</v>
      </c>
      <c r="D3" s="100">
        <v>5.9</v>
      </c>
    </row>
    <row r="4" spans="1:8" x14ac:dyDescent="0.35">
      <c r="A4" t="s">
        <v>203</v>
      </c>
      <c r="B4" t="str">
        <f>IF(B9&gt;900,"OK","NO OK")</f>
        <v>OK</v>
      </c>
      <c r="C4" s="103"/>
      <c r="D4" s="100"/>
    </row>
    <row r="5" spans="1:8" x14ac:dyDescent="0.35">
      <c r="A5" t="s">
        <v>202</v>
      </c>
      <c r="B5" t="str">
        <f>IF(B8&gt;25,"OK","NO OK")</f>
        <v>OK</v>
      </c>
      <c r="C5" s="103"/>
      <c r="D5" s="100"/>
    </row>
    <row r="6" spans="1:8" x14ac:dyDescent="0.35">
      <c r="C6" s="103"/>
      <c r="D6" s="100"/>
      <c r="E6" s="55" t="s">
        <v>106</v>
      </c>
      <c r="F6" s="105">
        <v>281</v>
      </c>
    </row>
    <row r="7" spans="1:8" x14ac:dyDescent="0.35">
      <c r="A7" s="55" t="s">
        <v>201</v>
      </c>
      <c r="B7" s="104">
        <f>[1]VIGA!B19</f>
        <v>25</v>
      </c>
      <c r="C7" s="103" t="s">
        <v>200</v>
      </c>
      <c r="D7" s="100">
        <v>40</v>
      </c>
      <c r="E7" s="55" t="s">
        <v>104</v>
      </c>
      <c r="F7" s="56" t="s">
        <v>103</v>
      </c>
      <c r="G7" s="107">
        <f>15100*(SQRT(F6))</f>
        <v>253122.12467502718</v>
      </c>
      <c r="H7" s="107"/>
    </row>
    <row r="8" spans="1:8" x14ac:dyDescent="0.35">
      <c r="A8" s="55" t="s">
        <v>199</v>
      </c>
      <c r="B8" s="104">
        <v>40</v>
      </c>
      <c r="C8" s="103" t="s">
        <v>198</v>
      </c>
      <c r="D8" s="100">
        <v>40</v>
      </c>
      <c r="E8" s="55" t="s">
        <v>102</v>
      </c>
      <c r="F8" s="55" t="s">
        <v>101</v>
      </c>
    </row>
    <row r="9" spans="1:8" x14ac:dyDescent="0.35">
      <c r="A9" s="55" t="s">
        <v>197</v>
      </c>
      <c r="B9" s="102">
        <f>B8*D8</f>
        <v>1600</v>
      </c>
    </row>
    <row r="11" spans="1:8" x14ac:dyDescent="0.35">
      <c r="A11" s="108" t="s">
        <v>196</v>
      </c>
      <c r="B11" s="108"/>
      <c r="C11" s="108"/>
      <c r="D11" s="108"/>
      <c r="E11" s="108"/>
      <c r="F11" s="108"/>
      <c r="G11" s="108"/>
      <c r="H11" s="108"/>
    </row>
    <row r="12" spans="1:8" x14ac:dyDescent="0.35">
      <c r="A12" t="s">
        <v>195</v>
      </c>
      <c r="B12" t="s">
        <v>194</v>
      </c>
      <c r="C12" s="101">
        <f>(12*G7*H12)/(D3^3)</f>
        <v>1971941627.3330939</v>
      </c>
      <c r="D12" s="109" t="str">
        <f>IF(C13&gt;C12,"OK","NO OK")</f>
        <v>OK</v>
      </c>
      <c r="F12" t="s">
        <v>193</v>
      </c>
      <c r="G12" t="s">
        <v>189</v>
      </c>
      <c r="H12" s="100">
        <f>(B7*(D7)^3)/12</f>
        <v>133333.33333333334</v>
      </c>
    </row>
    <row r="13" spans="1:8" x14ac:dyDescent="0.35">
      <c r="A13" t="s">
        <v>192</v>
      </c>
      <c r="B13" t="s">
        <v>191</v>
      </c>
      <c r="C13">
        <f>384*G7*H13/(H14)^3</f>
        <v>604045937649.61609</v>
      </c>
      <c r="D13" s="109"/>
      <c r="F13" t="s">
        <v>190</v>
      </c>
      <c r="G13" t="s">
        <v>189</v>
      </c>
      <c r="H13" s="100">
        <f>(B8*(D8)^3)/12</f>
        <v>213333.33333333334</v>
      </c>
    </row>
    <row r="14" spans="1:8" x14ac:dyDescent="0.35">
      <c r="G14" t="s">
        <v>188</v>
      </c>
      <c r="H14" s="97">
        <v>3.25</v>
      </c>
    </row>
    <row r="15" spans="1:8" x14ac:dyDescent="0.35">
      <c r="A15" s="72" t="str">
        <f>CONCATENATE("COLUMNA ",B8," cm X cm ",B8)</f>
        <v>COLUMNA 40 cm X cm 40</v>
      </c>
      <c r="B15" s="72"/>
    </row>
    <row r="16" spans="1:8" x14ac:dyDescent="0.35">
      <c r="F16" t="s">
        <v>187</v>
      </c>
      <c r="H16" s="99">
        <v>5</v>
      </c>
    </row>
    <row r="17" spans="1:6" x14ac:dyDescent="0.35">
      <c r="A17" t="s">
        <v>186</v>
      </c>
    </row>
    <row r="19" spans="1:6" x14ac:dyDescent="0.35">
      <c r="A19" s="98" t="s">
        <v>185</v>
      </c>
      <c r="B19" s="98" t="s">
        <v>184</v>
      </c>
      <c r="C19" s="97">
        <f>(2*(B21)+(2*B22))/180</f>
        <v>0.1111111111111111</v>
      </c>
      <c r="D19" s="96">
        <f>ROUND(C19,2)</f>
        <v>0.11</v>
      </c>
    </row>
    <row r="20" spans="1:6" x14ac:dyDescent="0.35">
      <c r="A20" t="s">
        <v>183</v>
      </c>
    </row>
    <row r="21" spans="1:6" x14ac:dyDescent="0.35">
      <c r="A21" s="55" t="s">
        <v>182</v>
      </c>
      <c r="B21" s="95">
        <v>5</v>
      </c>
      <c r="C21" t="s">
        <v>180</v>
      </c>
    </row>
    <row r="22" spans="1:6" x14ac:dyDescent="0.35">
      <c r="A22" s="55" t="s">
        <v>181</v>
      </c>
      <c r="B22" s="95">
        <v>5</v>
      </c>
      <c r="C22" t="s">
        <v>180</v>
      </c>
    </row>
    <row r="24" spans="1:6" x14ac:dyDescent="0.35">
      <c r="A24" s="72" t="s">
        <v>179</v>
      </c>
      <c r="B24" s="72"/>
      <c r="C24" s="72"/>
      <c r="D24" s="72"/>
      <c r="E24" s="72"/>
      <c r="F24" s="72"/>
    </row>
    <row r="25" spans="1:6" x14ac:dyDescent="0.35">
      <c r="A25" t="s">
        <v>178</v>
      </c>
      <c r="B25" s="89">
        <v>281</v>
      </c>
      <c r="C25" t="s">
        <v>177</v>
      </c>
      <c r="D25" s="94">
        <v>2810</v>
      </c>
      <c r="E25" t="s">
        <v>176</v>
      </c>
      <c r="F25" s="93">
        <v>35.75</v>
      </c>
    </row>
    <row r="26" spans="1:6" x14ac:dyDescent="0.35">
      <c r="A26" t="s">
        <v>175</v>
      </c>
      <c r="B26" s="92">
        <v>34.6</v>
      </c>
      <c r="C26" t="s">
        <v>174</v>
      </c>
      <c r="D26" s="92">
        <v>34.6</v>
      </c>
      <c r="E26" t="s">
        <v>173</v>
      </c>
      <c r="F26" s="91">
        <v>1500</v>
      </c>
    </row>
    <row r="27" spans="1:6" x14ac:dyDescent="0.35">
      <c r="A27" t="s">
        <v>172</v>
      </c>
      <c r="B27" s="85">
        <v>4</v>
      </c>
      <c r="C27" t="s">
        <v>171</v>
      </c>
      <c r="D27" s="90" t="s">
        <v>170</v>
      </c>
      <c r="E27" t="s">
        <v>169</v>
      </c>
      <c r="F27" s="89">
        <v>4624</v>
      </c>
    </row>
    <row r="28" spans="1:6" x14ac:dyDescent="0.35">
      <c r="C28" s="88"/>
      <c r="D28" s="82">
        <v>40</v>
      </c>
    </row>
    <row r="29" spans="1:6" x14ac:dyDescent="0.35">
      <c r="A29" t="s">
        <v>168</v>
      </c>
      <c r="B29" s="87">
        <f>B27</f>
        <v>4</v>
      </c>
      <c r="C29" s="83">
        <f>B29*100</f>
        <v>400</v>
      </c>
      <c r="D29" s="82">
        <v>40</v>
      </c>
      <c r="E29" s="86">
        <v>0.4</v>
      </c>
      <c r="F29" s="55">
        <v>3</v>
      </c>
    </row>
    <row r="30" spans="1:6" x14ac:dyDescent="0.35">
      <c r="A30" t="s">
        <v>167</v>
      </c>
      <c r="B30" s="85"/>
    </row>
    <row r="31" spans="1:6" x14ac:dyDescent="0.35">
      <c r="A31" t="s">
        <v>166</v>
      </c>
      <c r="B31" s="84">
        <v>5</v>
      </c>
      <c r="C31" s="83">
        <v>500</v>
      </c>
    </row>
    <row r="32" spans="1:6" x14ac:dyDescent="0.35">
      <c r="A32" t="s">
        <v>165</v>
      </c>
      <c r="B32" s="85"/>
    </row>
    <row r="33" spans="1:7" x14ac:dyDescent="0.35">
      <c r="A33" t="s">
        <v>164</v>
      </c>
      <c r="B33" s="84">
        <v>5</v>
      </c>
      <c r="C33" s="83"/>
    </row>
    <row r="34" spans="1:7" x14ac:dyDescent="0.35">
      <c r="A34" t="s">
        <v>163</v>
      </c>
    </row>
    <row r="35" spans="1:7" x14ac:dyDescent="0.35">
      <c r="A35" t="s">
        <v>162</v>
      </c>
      <c r="B35" s="82">
        <v>25</v>
      </c>
    </row>
    <row r="36" spans="1:7" x14ac:dyDescent="0.35">
      <c r="A36" t="s">
        <v>161</v>
      </c>
      <c r="B36" s="82">
        <v>40</v>
      </c>
    </row>
    <row r="38" spans="1:7" x14ac:dyDescent="0.35">
      <c r="A38" s="72" t="s">
        <v>160</v>
      </c>
      <c r="B38" s="72"/>
      <c r="C38" s="72"/>
      <c r="D38" s="72"/>
      <c r="E38" s="72"/>
      <c r="F38" s="72"/>
      <c r="G38" s="72"/>
    </row>
    <row r="40" spans="1:7" x14ac:dyDescent="0.35">
      <c r="A40" t="s">
        <v>159</v>
      </c>
    </row>
    <row r="42" spans="1:7" x14ac:dyDescent="0.35">
      <c r="A42" t="s">
        <v>158</v>
      </c>
      <c r="B42" s="55" t="s">
        <v>153</v>
      </c>
      <c r="C42" s="81">
        <f>(D28*D29^3)/(12*C29)</f>
        <v>533.33333333333337</v>
      </c>
      <c r="F42" s="110" t="s">
        <v>157</v>
      </c>
      <c r="G42" s="110"/>
    </row>
    <row r="43" spans="1:7" x14ac:dyDescent="0.35">
      <c r="A43" t="s">
        <v>156</v>
      </c>
      <c r="B43" s="55" t="s">
        <v>155</v>
      </c>
      <c r="C43" s="81">
        <f>(B35*B36^3)/(12*C31)</f>
        <v>266.66666666666669</v>
      </c>
      <c r="F43" s="110"/>
      <c r="G43" s="110"/>
    </row>
    <row r="44" spans="1:7" x14ac:dyDescent="0.35">
      <c r="A44" t="s">
        <v>154</v>
      </c>
      <c r="B44" s="55" t="s">
        <v>153</v>
      </c>
      <c r="C44" s="81">
        <f>(B35*B36^3)/(12*C31)</f>
        <v>266.66666666666669</v>
      </c>
    </row>
    <row r="46" spans="1:7" x14ac:dyDescent="0.35">
      <c r="A46" s="72" t="s">
        <v>152</v>
      </c>
      <c r="B46" s="72"/>
      <c r="C46" s="72"/>
      <c r="D46" s="72"/>
    </row>
    <row r="47" spans="1:7" ht="15.5" x14ac:dyDescent="0.35">
      <c r="A47" s="73" t="s">
        <v>151</v>
      </c>
      <c r="B47" s="73">
        <f>0</f>
        <v>0</v>
      </c>
      <c r="C47" s="71"/>
      <c r="D47" s="71"/>
      <c r="E47" s="71"/>
      <c r="F47" s="71"/>
    </row>
    <row r="48" spans="1:7" ht="15.5" x14ac:dyDescent="0.35">
      <c r="A48" s="80" t="s">
        <v>129</v>
      </c>
      <c r="B48" s="79">
        <f>2*C42/(C43+C44)</f>
        <v>2</v>
      </c>
      <c r="C48" s="71"/>
      <c r="D48" s="71"/>
      <c r="E48" s="71"/>
      <c r="F48" s="71"/>
    </row>
    <row r="49" spans="1:8" ht="15.5" x14ac:dyDescent="0.35">
      <c r="A49" s="71"/>
      <c r="B49" s="71"/>
      <c r="C49" s="71"/>
      <c r="D49" s="71"/>
      <c r="E49" s="71"/>
      <c r="F49" s="71"/>
    </row>
    <row r="50" spans="1:8" ht="15.5" x14ac:dyDescent="0.35">
      <c r="A50" s="111" t="s">
        <v>127</v>
      </c>
      <c r="B50" s="111"/>
      <c r="C50" s="111"/>
      <c r="D50" s="111"/>
      <c r="E50" s="111"/>
      <c r="F50" s="71"/>
    </row>
    <row r="51" spans="1:8" ht="15.5" x14ac:dyDescent="0.35">
      <c r="A51" s="80" t="s">
        <v>126</v>
      </c>
      <c r="B51" s="79">
        <f>(B48+B47)/2</f>
        <v>1</v>
      </c>
      <c r="C51" s="71"/>
      <c r="D51" s="112" t="str">
        <f>IF(B51&lt;2,"Usar K1","Usar K2")</f>
        <v>Usar K1</v>
      </c>
      <c r="E51" s="73" t="s">
        <v>125</v>
      </c>
      <c r="F51" s="78">
        <f>((20-B51)/20)*(SQRT(1+B51))</f>
        <v>1.3435028842544403</v>
      </c>
    </row>
    <row r="52" spans="1:8" ht="15.5" x14ac:dyDescent="0.35">
      <c r="A52" s="71"/>
      <c r="B52" s="71"/>
      <c r="C52" s="71"/>
      <c r="D52" s="112"/>
      <c r="E52" s="73" t="s">
        <v>124</v>
      </c>
      <c r="F52" s="78">
        <f>0.9*SQRT(1+B51)</f>
        <v>1.2727922061357857</v>
      </c>
    </row>
    <row r="54" spans="1:8" ht="15.5" x14ac:dyDescent="0.35">
      <c r="A54" s="72" t="s">
        <v>123</v>
      </c>
      <c r="B54" s="72"/>
      <c r="C54" s="72"/>
      <c r="D54" s="72"/>
      <c r="E54" s="72"/>
      <c r="F54" s="71"/>
      <c r="G54" s="71"/>
      <c r="H54" s="71"/>
    </row>
    <row r="55" spans="1:8" ht="15.5" x14ac:dyDescent="0.35">
      <c r="A55" s="71"/>
      <c r="B55" s="77" t="s">
        <v>122</v>
      </c>
      <c r="C55" s="76">
        <v>1.18</v>
      </c>
      <c r="D55" s="71"/>
      <c r="E55" s="71"/>
      <c r="F55" s="71"/>
      <c r="G55" s="71"/>
      <c r="H55" s="71"/>
    </row>
    <row r="56" spans="1:8" ht="15.5" x14ac:dyDescent="0.35">
      <c r="A56" s="71"/>
      <c r="B56" s="71"/>
      <c r="C56" s="75"/>
      <c r="D56" s="71"/>
      <c r="E56" s="71"/>
      <c r="F56" s="71"/>
      <c r="G56" s="71"/>
      <c r="H56" s="71"/>
    </row>
    <row r="57" spans="1:8" ht="15.5" x14ac:dyDescent="0.35">
      <c r="A57" s="71" t="s">
        <v>121</v>
      </c>
      <c r="B57" s="71"/>
      <c r="C57" s="71"/>
      <c r="D57" s="71" t="str">
        <f>IF(F51&gt;C55,"")</f>
        <v/>
      </c>
      <c r="E57" s="71"/>
      <c r="F57" s="71"/>
      <c r="G57" s="71"/>
      <c r="H57" s="71"/>
    </row>
    <row r="58" spans="1:8" ht="15.5" x14ac:dyDescent="0.35">
      <c r="A58" s="71"/>
      <c r="B58" s="73" t="s">
        <v>120</v>
      </c>
      <c r="C58" s="74">
        <f>F51</f>
        <v>1.3435028842544403</v>
      </c>
      <c r="D58" s="71"/>
      <c r="E58" s="112" t="s">
        <v>119</v>
      </c>
      <c r="F58" s="113">
        <f>LARGE(C58:C59,1)</f>
        <v>1.3435028842544403</v>
      </c>
      <c r="G58" s="114" t="s">
        <v>118</v>
      </c>
      <c r="H58" s="114"/>
    </row>
    <row r="59" spans="1:8" ht="15.5" x14ac:dyDescent="0.35">
      <c r="A59" s="71"/>
      <c r="B59" s="73" t="s">
        <v>117</v>
      </c>
      <c r="C59" s="73">
        <f>C55</f>
        <v>1.18</v>
      </c>
      <c r="D59" s="71"/>
      <c r="E59" s="112"/>
      <c r="F59" s="113"/>
      <c r="G59" s="71"/>
      <c r="H59" s="71"/>
    </row>
    <row r="60" spans="1:8" ht="15.5" x14ac:dyDescent="0.35">
      <c r="A60" s="71"/>
      <c r="B60" s="71"/>
      <c r="C60" s="71"/>
      <c r="D60" s="71"/>
      <c r="E60" s="71"/>
      <c r="F60" s="71"/>
      <c r="G60" s="71"/>
      <c r="H60" s="71"/>
    </row>
    <row r="61" spans="1:8" ht="15.5" x14ac:dyDescent="0.35">
      <c r="A61" s="71"/>
      <c r="B61" s="71"/>
      <c r="C61" s="71"/>
      <c r="D61" s="71"/>
      <c r="E61" s="71"/>
      <c r="F61" s="71"/>
      <c r="G61" s="71"/>
      <c r="H61" s="71"/>
    </row>
    <row r="62" spans="1:8" ht="15.5" x14ac:dyDescent="0.35">
      <c r="A62" s="72" t="s">
        <v>116</v>
      </c>
      <c r="B62" s="72"/>
      <c r="C62" s="72"/>
      <c r="D62" s="72"/>
      <c r="E62" s="72"/>
      <c r="F62" s="72"/>
      <c r="G62" s="71"/>
      <c r="H62" s="71"/>
    </row>
    <row r="63" spans="1:8" ht="15.5" x14ac:dyDescent="0.35">
      <c r="A63" s="1"/>
      <c r="B63" s="1"/>
      <c r="C63" s="1"/>
      <c r="D63" s="1"/>
      <c r="E63" s="1"/>
      <c r="F63" s="71"/>
      <c r="G63" s="71"/>
      <c r="H63" s="71"/>
    </row>
    <row r="64" spans="1:8" ht="15.5" x14ac:dyDescent="0.35">
      <c r="A64" s="5" t="s">
        <v>115</v>
      </c>
      <c r="B64" s="25">
        <f>(F58*B27)/(0.3*E29)</f>
        <v>44.783429475148012</v>
      </c>
      <c r="C64" s="1"/>
      <c r="D64" s="1"/>
      <c r="E64" s="1"/>
      <c r="F64" s="71"/>
      <c r="G64" s="71"/>
      <c r="H64" s="71"/>
    </row>
    <row r="65" spans="1:8" ht="15.5" x14ac:dyDescent="0.35">
      <c r="A65" s="1"/>
      <c r="B65" s="1"/>
      <c r="C65" s="1"/>
      <c r="D65" s="1"/>
      <c r="E65" s="1"/>
      <c r="F65" s="71"/>
      <c r="G65" s="71"/>
      <c r="H65" s="71"/>
    </row>
    <row r="66" spans="1:8" ht="15.5" x14ac:dyDescent="0.35">
      <c r="A66" s="60" t="s">
        <v>114</v>
      </c>
      <c r="B66" s="60"/>
      <c r="C66" s="60"/>
      <c r="D66" s="1"/>
      <c r="E66" s="1"/>
      <c r="F66" s="71"/>
      <c r="G66" s="71"/>
      <c r="H66" s="71"/>
    </row>
    <row r="67" spans="1:8" ht="18.5" x14ac:dyDescent="0.45">
      <c r="A67" s="115" t="str">
        <f>IF(21&lt;=B64&gt;=100,"Columna intermedia","No")</f>
        <v>Columna intermedia</v>
      </c>
      <c r="B67" s="115"/>
      <c r="C67" s="115"/>
      <c r="D67" s="59" t="s">
        <v>113</v>
      </c>
      <c r="E67" s="59" t="s">
        <v>112</v>
      </c>
      <c r="F67" s="71"/>
      <c r="G67" s="71"/>
      <c r="H67" s="71"/>
    </row>
    <row r="68" spans="1:8" ht="15.5" x14ac:dyDescent="0.35">
      <c r="A68" s="1"/>
      <c r="B68" s="1"/>
      <c r="C68" s="1"/>
      <c r="D68" s="59" t="s">
        <v>111</v>
      </c>
      <c r="E68" s="59" t="s">
        <v>110</v>
      </c>
      <c r="F68" s="71"/>
      <c r="G68" s="71"/>
      <c r="H68" s="71"/>
    </row>
    <row r="69" spans="1:8" ht="15.5" x14ac:dyDescent="0.35">
      <c r="A69" s="1"/>
      <c r="B69" s="1"/>
      <c r="C69" s="1"/>
      <c r="D69" s="59" t="s">
        <v>109</v>
      </c>
      <c r="E69" s="59" t="s">
        <v>108</v>
      </c>
      <c r="F69" s="71"/>
      <c r="G69" s="71"/>
      <c r="H69" s="71"/>
    </row>
    <row r="70" spans="1:8" ht="15.5" x14ac:dyDescent="0.35">
      <c r="A70" s="71"/>
      <c r="B70" s="71"/>
      <c r="C70" s="71"/>
      <c r="D70" s="71"/>
      <c r="E70" s="71"/>
      <c r="F70" s="71"/>
      <c r="G70" s="71"/>
      <c r="H70" s="71"/>
    </row>
    <row r="71" spans="1:8" ht="15.5" x14ac:dyDescent="0.35">
      <c r="A71" s="116" t="s">
        <v>150</v>
      </c>
      <c r="B71" s="116"/>
      <c r="C71" s="116"/>
      <c r="D71" s="116"/>
      <c r="E71" s="116"/>
      <c r="F71" s="116"/>
      <c r="G71" s="116"/>
      <c r="H71" s="116"/>
    </row>
    <row r="72" spans="1:8" ht="18.5" x14ac:dyDescent="0.45">
      <c r="A72" s="7"/>
      <c r="B72" s="7"/>
      <c r="C72" s="7"/>
      <c r="D72" s="7"/>
      <c r="E72" s="7"/>
      <c r="F72" s="7"/>
      <c r="G72" s="7"/>
      <c r="H72" s="7"/>
    </row>
    <row r="73" spans="1:8" ht="18.5" x14ac:dyDescent="0.45">
      <c r="A73" t="s">
        <v>149</v>
      </c>
      <c r="B73" s="1">
        <f>1.4*(F27)</f>
        <v>6473.5999999999995</v>
      </c>
      <c r="C73" s="7"/>
      <c r="D73" s="55" t="s">
        <v>106</v>
      </c>
      <c r="E73" s="58">
        <v>281</v>
      </c>
      <c r="H73" s="7"/>
    </row>
    <row r="74" spans="1:8" ht="15.5" x14ac:dyDescent="0.35">
      <c r="A74" t="s">
        <v>148</v>
      </c>
      <c r="B74" s="1">
        <f>1.2*(F27)+(1.6*F26)</f>
        <v>7948.8</v>
      </c>
      <c r="C74" s="1"/>
      <c r="D74" s="55" t="s">
        <v>104</v>
      </c>
      <c r="E74" s="56" t="s">
        <v>103</v>
      </c>
      <c r="F74" s="107">
        <f>15100*(SQRT(E73))</f>
        <v>253122.12467502718</v>
      </c>
      <c r="G74" s="107"/>
      <c r="H74" s="1"/>
    </row>
    <row r="75" spans="1:8" ht="17" x14ac:dyDescent="0.4">
      <c r="A75" s="5" t="s">
        <v>105</v>
      </c>
      <c r="B75" s="6">
        <f>B73/B74</f>
        <v>0.81441223832528176</v>
      </c>
      <c r="C75" s="1"/>
      <c r="D75" s="55" t="s">
        <v>102</v>
      </c>
      <c r="E75" s="55" t="s">
        <v>101</v>
      </c>
      <c r="H75" s="1"/>
    </row>
    <row r="76" spans="1:8" ht="15.5" x14ac:dyDescent="0.35">
      <c r="A76" s="1"/>
      <c r="B76" s="1"/>
      <c r="C76" s="1"/>
      <c r="D76" s="1"/>
      <c r="E76" s="1"/>
      <c r="F76" s="1"/>
      <c r="G76" s="1"/>
      <c r="H76" s="1"/>
    </row>
    <row r="77" spans="1:8" ht="15.5" x14ac:dyDescent="0.35">
      <c r="A77" s="1"/>
      <c r="B77" s="1"/>
      <c r="C77" s="1"/>
      <c r="D77" s="1"/>
      <c r="E77" s="1"/>
      <c r="F77" s="1"/>
      <c r="G77" s="1"/>
      <c r="H77" s="1"/>
    </row>
    <row r="78" spans="1:8" ht="15.5" x14ac:dyDescent="0.35">
      <c r="A78" s="117" t="s">
        <v>100</v>
      </c>
      <c r="B78" s="54">
        <f>(F74*((1/12)*D28*D29^3)/(2.25))/(1+B75)</f>
        <v>13227273752.709652</v>
      </c>
      <c r="C78" s="3" t="s">
        <v>99</v>
      </c>
      <c r="D78" s="1"/>
      <c r="E78" s="1"/>
      <c r="F78" s="1"/>
      <c r="G78" s="1"/>
      <c r="H78" s="1"/>
    </row>
    <row r="79" spans="1:8" ht="15.5" x14ac:dyDescent="0.35">
      <c r="A79" s="117"/>
      <c r="B79" s="4">
        <f>B78/(1000*100*100)</f>
        <v>1322.7273752709652</v>
      </c>
      <c r="C79" s="3" t="s">
        <v>98</v>
      </c>
      <c r="D79" s="1"/>
      <c r="E79" s="1"/>
      <c r="F79" s="1"/>
      <c r="G79" s="1"/>
      <c r="H79" s="1"/>
    </row>
    <row r="80" spans="1:8" ht="15.5" x14ac:dyDescent="0.35">
      <c r="A80" s="1"/>
      <c r="B80" s="1"/>
      <c r="C80" s="1"/>
      <c r="D80" s="1"/>
      <c r="E80" s="1"/>
      <c r="F80" s="1"/>
      <c r="G80" s="1"/>
      <c r="H80" s="1"/>
    </row>
    <row r="81" spans="1:8" ht="15.5" x14ac:dyDescent="0.35">
      <c r="A81" s="1"/>
      <c r="B81" s="1"/>
      <c r="C81" s="1"/>
      <c r="D81" s="1"/>
      <c r="E81" s="1"/>
      <c r="F81" s="1"/>
      <c r="G81" s="1"/>
      <c r="H81" s="1"/>
    </row>
    <row r="82" spans="1:8" ht="15.5" x14ac:dyDescent="0.35">
      <c r="A82" s="116" t="s">
        <v>147</v>
      </c>
      <c r="B82" s="116"/>
      <c r="C82" s="116"/>
      <c r="D82" s="116"/>
      <c r="E82" s="116"/>
      <c r="F82" s="116"/>
      <c r="G82" s="116"/>
      <c r="H82" s="116"/>
    </row>
    <row r="83" spans="1:8" ht="15.5" x14ac:dyDescent="0.35">
      <c r="A83" s="1"/>
      <c r="B83" s="1"/>
      <c r="C83" s="1"/>
      <c r="D83" s="1"/>
      <c r="E83" s="1"/>
      <c r="F83" s="1"/>
      <c r="G83" s="1"/>
      <c r="H83" s="1"/>
    </row>
    <row r="84" spans="1:8" ht="15.5" x14ac:dyDescent="0.35">
      <c r="A84" s="3" t="s">
        <v>96</v>
      </c>
      <c r="B84" s="4">
        <f>((3.1416^2)*(B79))/(F58*B27)^2</f>
        <v>452.03798407446027</v>
      </c>
      <c r="C84" s="70" t="s">
        <v>69</v>
      </c>
      <c r="D84" s="1"/>
      <c r="E84" s="1"/>
      <c r="F84" s="1"/>
      <c r="G84" s="1"/>
      <c r="H84" s="1"/>
    </row>
    <row r="85" spans="1:8" ht="15.5" x14ac:dyDescent="0.35">
      <c r="A85" s="1"/>
      <c r="B85" s="1"/>
      <c r="C85" s="1"/>
      <c r="D85" s="1"/>
      <c r="E85" s="1"/>
      <c r="F85" s="1"/>
      <c r="G85" s="1"/>
      <c r="H85" s="1"/>
    </row>
    <row r="86" spans="1:8" ht="15.5" x14ac:dyDescent="0.35">
      <c r="A86" s="1"/>
      <c r="B86" s="1"/>
      <c r="C86" s="1"/>
      <c r="D86" s="1"/>
      <c r="E86" s="1"/>
      <c r="F86" s="1"/>
      <c r="G86" s="1"/>
      <c r="H86" s="1"/>
    </row>
    <row r="87" spans="1:8" ht="15.5" x14ac:dyDescent="0.35">
      <c r="A87" s="116" t="s">
        <v>146</v>
      </c>
      <c r="B87" s="116"/>
      <c r="C87" s="116"/>
      <c r="D87" s="116"/>
      <c r="E87" s="116"/>
      <c r="F87" s="116"/>
      <c r="G87" s="116"/>
      <c r="H87" s="116"/>
    </row>
    <row r="88" spans="1:8" ht="15.5" x14ac:dyDescent="0.35">
      <c r="A88" s="1"/>
      <c r="B88" s="1"/>
      <c r="C88" s="1"/>
      <c r="D88" s="1"/>
      <c r="E88" s="1"/>
      <c r="F88" s="1"/>
      <c r="G88" s="1" t="s">
        <v>145</v>
      </c>
      <c r="H88" s="1">
        <v>1</v>
      </c>
    </row>
    <row r="89" spans="1:8" ht="15.5" x14ac:dyDescent="0.35">
      <c r="A89" s="5" t="s">
        <v>144</v>
      </c>
      <c r="B89" s="69">
        <f>(H88)/(1-(F25/(0.7*B84)))</f>
        <v>1.1273707940737276</v>
      </c>
      <c r="C89" s="1"/>
      <c r="D89" s="1"/>
      <c r="E89" s="1"/>
      <c r="F89" s="1"/>
      <c r="G89" s="1"/>
      <c r="H89" s="1"/>
    </row>
    <row r="90" spans="1:8" ht="15.5" x14ac:dyDescent="0.35">
      <c r="A90" s="118" t="str">
        <f>IF(B89&gt;1,"SI CUMPLE","NO CUMPLE")</f>
        <v>SI CUMPLE</v>
      </c>
      <c r="B90" s="118"/>
      <c r="C90" s="1" t="s">
        <v>143</v>
      </c>
      <c r="D90" s="1"/>
      <c r="E90" s="1"/>
      <c r="F90" s="1"/>
      <c r="G90" s="1"/>
      <c r="H90" s="1"/>
    </row>
    <row r="91" spans="1:8" ht="15.5" x14ac:dyDescent="0.35">
      <c r="A91" s="1"/>
      <c r="B91" s="1"/>
      <c r="C91" s="1"/>
      <c r="D91" s="1"/>
      <c r="E91" s="1"/>
      <c r="F91" s="1"/>
      <c r="G91" s="1"/>
      <c r="H91" s="1"/>
    </row>
    <row r="92" spans="1:8" ht="15.5" x14ac:dyDescent="0.35">
      <c r="A92" s="1"/>
      <c r="B92" s="1"/>
      <c r="C92" s="1"/>
      <c r="D92" s="1"/>
      <c r="E92" s="1"/>
      <c r="F92" s="1"/>
      <c r="G92" s="1"/>
      <c r="H92" s="1"/>
    </row>
    <row r="93" spans="1:8" ht="18.5" x14ac:dyDescent="0.45">
      <c r="A93" s="119" t="s">
        <v>142</v>
      </c>
      <c r="B93" s="119"/>
      <c r="C93" s="119"/>
      <c r="D93" s="119"/>
      <c r="E93" s="119"/>
      <c r="F93" s="119"/>
      <c r="G93" s="119"/>
      <c r="H93" s="119"/>
    </row>
    <row r="94" spans="1:8" ht="16" thickBot="1" x14ac:dyDescent="0.4">
      <c r="A94" s="1"/>
      <c r="B94" s="1"/>
      <c r="C94" s="1"/>
      <c r="D94" s="1"/>
      <c r="E94" s="1"/>
      <c r="F94" s="1"/>
      <c r="G94" s="1"/>
      <c r="H94" s="1"/>
    </row>
    <row r="95" spans="1:8" ht="15.5" x14ac:dyDescent="0.35">
      <c r="A95" s="68" t="s">
        <v>79</v>
      </c>
      <c r="B95" s="67">
        <f>B89*B26</f>
        <v>39.007029474950976</v>
      </c>
      <c r="C95" s="66"/>
      <c r="D95" s="1"/>
      <c r="E95" s="1"/>
      <c r="F95" s="1"/>
      <c r="G95" s="1"/>
      <c r="H95" s="1"/>
    </row>
    <row r="96" spans="1:8" ht="16" thickBot="1" x14ac:dyDescent="0.4">
      <c r="A96" s="65"/>
      <c r="B96" s="64"/>
      <c r="C96" s="63"/>
      <c r="D96" s="1"/>
      <c r="E96" s="1"/>
      <c r="F96" s="1"/>
      <c r="G96" s="1"/>
      <c r="H96" s="1"/>
    </row>
    <row r="97" spans="1:8" ht="15.5" x14ac:dyDescent="0.35">
      <c r="A97" s="1"/>
      <c r="B97" s="1"/>
      <c r="C97" s="1">
        <v>0.4</v>
      </c>
      <c r="D97" s="1" t="s">
        <v>84</v>
      </c>
      <c r="E97" s="1"/>
      <c r="F97" s="1"/>
      <c r="G97" s="1"/>
      <c r="H97" s="1"/>
    </row>
    <row r="98" spans="1:8" ht="15.5" x14ac:dyDescent="0.35">
      <c r="A98" s="1" t="s">
        <v>141</v>
      </c>
      <c r="B98" s="1"/>
      <c r="C98" s="1">
        <v>40</v>
      </c>
      <c r="D98" s="1" t="s">
        <v>1</v>
      </c>
      <c r="E98" s="1" t="s">
        <v>139</v>
      </c>
      <c r="F98" s="1">
        <v>25</v>
      </c>
      <c r="G98" s="1">
        <v>40</v>
      </c>
      <c r="H98" s="1"/>
    </row>
    <row r="99" spans="1:8" ht="15.5" x14ac:dyDescent="0.35">
      <c r="A99" s="1" t="s">
        <v>140</v>
      </c>
      <c r="B99" s="1"/>
      <c r="C99" s="1">
        <v>40</v>
      </c>
      <c r="D99" s="1" t="s">
        <v>1</v>
      </c>
      <c r="E99" s="1" t="s">
        <v>139</v>
      </c>
      <c r="F99" s="1">
        <v>500</v>
      </c>
      <c r="G99" s="1"/>
      <c r="H99" s="1"/>
    </row>
    <row r="100" spans="1:8" ht="15.5" x14ac:dyDescent="0.35">
      <c r="A100" s="1" t="s">
        <v>138</v>
      </c>
      <c r="B100" s="1"/>
      <c r="C100" s="1">
        <v>400</v>
      </c>
      <c r="D100" s="1" t="s">
        <v>1</v>
      </c>
      <c r="E100" s="1">
        <v>4</v>
      </c>
      <c r="F100" s="1" t="s">
        <v>84</v>
      </c>
      <c r="G100" s="1"/>
      <c r="H100" s="1"/>
    </row>
    <row r="101" spans="1:8" ht="15.5" x14ac:dyDescent="0.35">
      <c r="A101" s="1"/>
      <c r="B101" s="1"/>
      <c r="C101" s="1"/>
      <c r="D101" s="1"/>
      <c r="E101" s="1"/>
      <c r="F101" s="1"/>
      <c r="G101" s="1"/>
      <c r="H101" s="1"/>
    </row>
    <row r="102" spans="1:8" ht="15.5" x14ac:dyDescent="0.35">
      <c r="A102" s="116" t="s">
        <v>137</v>
      </c>
      <c r="B102" s="116"/>
      <c r="C102" s="116"/>
      <c r="D102" s="116"/>
      <c r="E102" s="116"/>
      <c r="F102" s="116"/>
      <c r="G102" s="116"/>
      <c r="H102" s="116"/>
    </row>
    <row r="103" spans="1:8" ht="15.5" x14ac:dyDescent="0.35">
      <c r="A103" s="1"/>
      <c r="B103" s="1"/>
      <c r="C103" s="1"/>
      <c r="D103" s="1"/>
      <c r="E103" s="1"/>
      <c r="F103" s="1"/>
      <c r="G103" s="1"/>
      <c r="H103" s="1"/>
    </row>
    <row r="104" spans="1:8" ht="15.5" x14ac:dyDescent="0.35">
      <c r="A104" s="120" t="s">
        <v>136</v>
      </c>
      <c r="B104" s="120"/>
      <c r="C104" s="120"/>
      <c r="D104" s="120"/>
      <c r="E104" s="120"/>
      <c r="F104" s="1"/>
      <c r="G104" s="1"/>
      <c r="H104" s="1"/>
    </row>
    <row r="105" spans="1:8" ht="15.5" x14ac:dyDescent="0.35">
      <c r="A105" s="121" t="s">
        <v>135</v>
      </c>
      <c r="B105" s="121"/>
      <c r="C105" s="12">
        <f>((1/12)*C98*POWER(C99,3))/C100</f>
        <v>533.33333333333326</v>
      </c>
      <c r="D105" s="5" t="s">
        <v>7</v>
      </c>
      <c r="E105" s="1"/>
      <c r="F105" s="1"/>
      <c r="G105" s="1"/>
      <c r="H105" s="1"/>
    </row>
    <row r="106" spans="1:8" ht="15.5" x14ac:dyDescent="0.35">
      <c r="A106" s="121" t="s">
        <v>134</v>
      </c>
      <c r="B106" s="121"/>
      <c r="C106" s="12">
        <f>((1/12)*C98*POWER(C99,3))/C100</f>
        <v>533.33333333333326</v>
      </c>
      <c r="D106" s="5" t="s">
        <v>7</v>
      </c>
      <c r="E106" s="1"/>
      <c r="F106" s="1"/>
      <c r="G106" s="122" t="s">
        <v>133</v>
      </c>
      <c r="H106" s="122"/>
    </row>
    <row r="107" spans="1:8" ht="15.5" x14ac:dyDescent="0.35">
      <c r="A107" s="121" t="s">
        <v>132</v>
      </c>
      <c r="B107" s="121"/>
      <c r="C107" s="12">
        <f>((1/12)*F98*POWER(G98,3))/F99</f>
        <v>266.66666666666663</v>
      </c>
      <c r="D107" s="5" t="s">
        <v>7</v>
      </c>
      <c r="E107" s="1"/>
      <c r="F107" s="1"/>
      <c r="G107" s="122"/>
      <c r="H107" s="122"/>
    </row>
    <row r="108" spans="1:8" ht="15.5" x14ac:dyDescent="0.35">
      <c r="A108" s="121" t="s">
        <v>131</v>
      </c>
      <c r="B108" s="121"/>
      <c r="C108" s="12">
        <f>((1/12)*F98*POWER(G98,3))/F99</f>
        <v>266.66666666666663</v>
      </c>
      <c r="D108" s="5" t="s">
        <v>7</v>
      </c>
      <c r="E108" s="1"/>
      <c r="F108" s="1"/>
      <c r="G108" s="1"/>
      <c r="H108" s="1"/>
    </row>
    <row r="109" spans="1:8" ht="15.5" x14ac:dyDescent="0.35">
      <c r="A109" s="1"/>
      <c r="B109" s="1"/>
      <c r="C109" s="1"/>
      <c r="D109" s="1"/>
      <c r="E109" s="1"/>
      <c r="F109" s="1"/>
      <c r="G109" s="1" t="s">
        <v>130</v>
      </c>
      <c r="H109" s="1"/>
    </row>
    <row r="110" spans="1:8" ht="15.5" x14ac:dyDescent="0.35">
      <c r="A110" s="5" t="s">
        <v>129</v>
      </c>
      <c r="B110" s="35">
        <v>0</v>
      </c>
      <c r="C110" s="1"/>
      <c r="D110" s="1"/>
      <c r="E110" s="1"/>
      <c r="F110" s="1"/>
      <c r="G110" s="1"/>
      <c r="H110" s="1"/>
    </row>
    <row r="111" spans="1:8" ht="15.5" x14ac:dyDescent="0.35">
      <c r="A111" s="5" t="s">
        <v>128</v>
      </c>
      <c r="B111" s="35">
        <f>(C105+C106)/(C107+C108)</f>
        <v>2</v>
      </c>
      <c r="C111" s="1"/>
      <c r="D111" s="1"/>
      <c r="E111" s="1"/>
      <c r="F111" s="1"/>
      <c r="G111" s="1"/>
      <c r="H111" s="1"/>
    </row>
    <row r="112" spans="1:8" ht="15.5" x14ac:dyDescent="0.35">
      <c r="A112" s="1"/>
      <c r="B112" s="1"/>
      <c r="C112" s="1"/>
      <c r="D112" s="1"/>
      <c r="E112" s="1"/>
      <c r="F112" s="1"/>
      <c r="G112" s="1"/>
      <c r="H112" s="1"/>
    </row>
    <row r="113" spans="1:8" ht="15.5" x14ac:dyDescent="0.35">
      <c r="A113" s="120" t="s">
        <v>127</v>
      </c>
      <c r="B113" s="120"/>
      <c r="C113" s="120"/>
      <c r="D113" s="120"/>
      <c r="E113" s="120"/>
      <c r="F113" s="1"/>
      <c r="G113" s="1"/>
      <c r="H113" s="1"/>
    </row>
    <row r="114" spans="1:8" ht="15.5" x14ac:dyDescent="0.35">
      <c r="A114" s="5" t="s">
        <v>126</v>
      </c>
      <c r="B114" s="12">
        <f>(B111+B110)/2</f>
        <v>1</v>
      </c>
      <c r="C114" s="1"/>
      <c r="D114" s="123" t="str">
        <f>IF(B114&lt;2,"Usar K1","Usar K2")</f>
        <v>Usar K1</v>
      </c>
      <c r="E114" s="5" t="s">
        <v>125</v>
      </c>
      <c r="F114" s="12">
        <f>((20-B114)/20)*(SQRT(1+B114))</f>
        <v>1.3435028842544403</v>
      </c>
      <c r="G114" s="1"/>
      <c r="H114" s="1"/>
    </row>
    <row r="115" spans="1:8" ht="15.5" x14ac:dyDescent="0.35">
      <c r="A115" s="1"/>
      <c r="B115" s="1"/>
      <c r="C115" s="1"/>
      <c r="D115" s="123"/>
      <c r="E115" s="5" t="s">
        <v>124</v>
      </c>
      <c r="F115" s="12">
        <f>0.9*SQRT(1+B114)</f>
        <v>1.2727922061357857</v>
      </c>
      <c r="G115" s="1"/>
      <c r="H115" s="1"/>
    </row>
    <row r="116" spans="1:8" ht="15.5" x14ac:dyDescent="0.35">
      <c r="A116" s="1"/>
      <c r="B116" s="1"/>
      <c r="C116" s="1"/>
      <c r="D116" s="1"/>
      <c r="E116" s="1"/>
      <c r="F116" s="1"/>
      <c r="G116" s="1"/>
      <c r="H116" s="1"/>
    </row>
    <row r="117" spans="1:8" ht="15.5" x14ac:dyDescent="0.35">
      <c r="A117" s="120" t="s">
        <v>123</v>
      </c>
      <c r="B117" s="120"/>
      <c r="C117" s="120"/>
      <c r="D117" s="120"/>
      <c r="E117" s="120"/>
      <c r="F117" s="1"/>
      <c r="G117" s="1"/>
      <c r="H117" s="1"/>
    </row>
    <row r="118" spans="1:8" ht="15.5" x14ac:dyDescent="0.35">
      <c r="A118" s="1"/>
      <c r="B118" s="62" t="s">
        <v>122</v>
      </c>
      <c r="C118" s="17">
        <v>1.25</v>
      </c>
      <c r="D118" s="1"/>
      <c r="E118" s="1"/>
      <c r="F118" s="1"/>
      <c r="G118" s="1"/>
      <c r="H118" s="1"/>
    </row>
    <row r="119" spans="1:8" ht="15.5" x14ac:dyDescent="0.35">
      <c r="A119" s="1"/>
      <c r="B119" s="1"/>
      <c r="C119" s="61"/>
      <c r="D119" s="1"/>
      <c r="E119" s="1"/>
      <c r="F119" s="1"/>
      <c r="G119" s="1"/>
      <c r="H119" s="1"/>
    </row>
    <row r="120" spans="1:8" ht="15.5" x14ac:dyDescent="0.35">
      <c r="A120" s="1" t="s">
        <v>121</v>
      </c>
      <c r="B120" s="1"/>
      <c r="C120" s="1"/>
      <c r="D120" s="1" t="str">
        <f>IF(F114&gt;C118,"")</f>
        <v/>
      </c>
      <c r="E120" s="1"/>
      <c r="F120" s="1"/>
      <c r="G120" s="1"/>
      <c r="H120" s="1"/>
    </row>
    <row r="121" spans="1:8" ht="15.5" x14ac:dyDescent="0.35">
      <c r="A121" s="1"/>
      <c r="B121" s="5" t="s">
        <v>120</v>
      </c>
      <c r="C121" s="35">
        <f>F114</f>
        <v>1.3435028842544403</v>
      </c>
      <c r="D121" s="1"/>
      <c r="E121" s="123" t="s">
        <v>119</v>
      </c>
      <c r="F121" s="124">
        <f>LARGE(C121:C122,1)</f>
        <v>1.3435028842544403</v>
      </c>
      <c r="G121" s="125" t="s">
        <v>118</v>
      </c>
      <c r="H121" s="125"/>
    </row>
    <row r="122" spans="1:8" ht="15.5" x14ac:dyDescent="0.35">
      <c r="A122" s="1"/>
      <c r="B122" s="5" t="s">
        <v>117</v>
      </c>
      <c r="C122" s="5">
        <f>C118</f>
        <v>1.25</v>
      </c>
      <c r="D122" s="1"/>
      <c r="E122" s="123"/>
      <c r="F122" s="124"/>
      <c r="G122" s="1"/>
      <c r="H122" s="1"/>
    </row>
    <row r="123" spans="1:8" ht="15.5" x14ac:dyDescent="0.35">
      <c r="A123" s="1"/>
      <c r="B123" s="1"/>
      <c r="C123" s="1"/>
      <c r="D123" s="1"/>
      <c r="E123" s="1"/>
      <c r="F123" s="1"/>
      <c r="G123" s="1"/>
      <c r="H123" s="1"/>
    </row>
    <row r="124" spans="1:8" ht="15.5" x14ac:dyDescent="0.35">
      <c r="A124" s="1"/>
      <c r="B124" s="1"/>
      <c r="C124" s="1"/>
      <c r="D124" s="1"/>
      <c r="E124" s="1"/>
      <c r="F124" s="1"/>
      <c r="G124" s="1"/>
      <c r="H124" s="1"/>
    </row>
    <row r="125" spans="1:8" ht="15.5" x14ac:dyDescent="0.35">
      <c r="A125" s="120" t="s">
        <v>116</v>
      </c>
      <c r="B125" s="120"/>
      <c r="C125" s="120"/>
      <c r="D125" s="120"/>
      <c r="E125" s="120"/>
      <c r="F125" s="120"/>
      <c r="G125" s="1"/>
      <c r="H125" s="1"/>
    </row>
    <row r="126" spans="1:8" ht="15.5" x14ac:dyDescent="0.35">
      <c r="A126" s="1"/>
      <c r="B126" s="1"/>
      <c r="C126" s="1"/>
      <c r="D126" s="1"/>
      <c r="E126" s="1"/>
      <c r="F126" s="1"/>
      <c r="G126" s="1"/>
      <c r="H126" s="1"/>
    </row>
    <row r="127" spans="1:8" ht="15.5" x14ac:dyDescent="0.35">
      <c r="A127" s="5" t="s">
        <v>115</v>
      </c>
      <c r="B127" s="4">
        <f>(F121*E100)/(0.3*C97)</f>
        <v>44.783429475148012</v>
      </c>
      <c r="C127" s="1"/>
      <c r="D127" s="1"/>
      <c r="E127" s="1"/>
      <c r="F127" s="1"/>
      <c r="G127" s="1"/>
      <c r="H127" s="1"/>
    </row>
    <row r="128" spans="1:8" ht="15.5" x14ac:dyDescent="0.35">
      <c r="A128" s="1"/>
      <c r="B128" s="1"/>
      <c r="C128" s="1"/>
      <c r="D128" s="1"/>
      <c r="E128" s="1"/>
      <c r="F128" s="1"/>
      <c r="G128" s="1"/>
      <c r="H128" s="1"/>
    </row>
    <row r="129" spans="1:8" ht="15.5" x14ac:dyDescent="0.35">
      <c r="A129" s="60" t="s">
        <v>114</v>
      </c>
      <c r="B129" s="60"/>
      <c r="C129" s="60"/>
      <c r="D129" s="1"/>
      <c r="E129" s="1"/>
      <c r="F129" s="1"/>
      <c r="G129" s="1"/>
      <c r="H129" s="1"/>
    </row>
    <row r="130" spans="1:8" ht="18.5" x14ac:dyDescent="0.45">
      <c r="A130" s="115" t="str">
        <f>IF(21&lt;=B127&gt;=100,"Columna intermedia","No")</f>
        <v>Columna intermedia</v>
      </c>
      <c r="B130" s="115"/>
      <c r="C130" s="115"/>
      <c r="D130" s="59" t="s">
        <v>113</v>
      </c>
      <c r="E130" s="59" t="s">
        <v>112</v>
      </c>
      <c r="F130" s="1"/>
      <c r="G130" s="1"/>
      <c r="H130" s="1"/>
    </row>
    <row r="131" spans="1:8" ht="15.5" x14ac:dyDescent="0.35">
      <c r="A131" s="1"/>
      <c r="B131" s="1"/>
      <c r="C131" s="1"/>
      <c r="D131" s="59" t="s">
        <v>111</v>
      </c>
      <c r="E131" s="59" t="s">
        <v>110</v>
      </c>
      <c r="F131" s="1"/>
      <c r="G131" s="1"/>
      <c r="H131" s="1"/>
    </row>
    <row r="132" spans="1:8" ht="15.5" x14ac:dyDescent="0.35">
      <c r="A132" s="1"/>
      <c r="B132" s="1"/>
      <c r="C132" s="1"/>
      <c r="D132" s="59" t="s">
        <v>109</v>
      </c>
      <c r="E132" s="59" t="s">
        <v>108</v>
      </c>
      <c r="F132" s="1"/>
      <c r="G132" s="1"/>
      <c r="H132" s="1"/>
    </row>
    <row r="133" spans="1:8" ht="15.5" x14ac:dyDescent="0.35">
      <c r="A133" s="1"/>
      <c r="B133" s="1"/>
      <c r="C133" s="1"/>
      <c r="D133" s="1"/>
      <c r="E133" s="1"/>
      <c r="F133" s="1"/>
      <c r="G133" s="1"/>
      <c r="H133" s="1"/>
    </row>
    <row r="134" spans="1:8" ht="15.5" x14ac:dyDescent="0.35">
      <c r="A134" s="1"/>
      <c r="B134" s="1"/>
      <c r="C134" s="1"/>
      <c r="D134" s="1"/>
      <c r="E134" s="1"/>
      <c r="F134" s="1"/>
      <c r="G134" s="1"/>
      <c r="H134" s="1"/>
    </row>
    <row r="135" spans="1:8" ht="18.5" x14ac:dyDescent="0.45">
      <c r="A135" s="119" t="s">
        <v>107</v>
      </c>
      <c r="B135" s="119"/>
      <c r="C135" s="119"/>
      <c r="D135" s="119"/>
      <c r="E135" s="119"/>
      <c r="F135" s="119"/>
      <c r="G135" s="119"/>
      <c r="H135" s="119"/>
    </row>
    <row r="136" spans="1:8" ht="15.5" x14ac:dyDescent="0.35">
      <c r="A136" s="1"/>
      <c r="B136" s="1"/>
      <c r="C136" s="1"/>
      <c r="D136" s="1"/>
      <c r="E136" s="55" t="s">
        <v>106</v>
      </c>
      <c r="F136" s="58">
        <v>281</v>
      </c>
    </row>
    <row r="137" spans="1:8" ht="17" x14ac:dyDescent="0.4">
      <c r="A137" s="1" t="s">
        <v>105</v>
      </c>
      <c r="B137" s="57">
        <f>B75</f>
        <v>0.81441223832528176</v>
      </c>
      <c r="C137" s="1"/>
      <c r="D137" s="1"/>
      <c r="E137" s="55" t="s">
        <v>104</v>
      </c>
      <c r="F137" s="56" t="s">
        <v>103</v>
      </c>
      <c r="G137" s="107">
        <f>15100*(SQRT(F136))</f>
        <v>253122.12467502718</v>
      </c>
      <c r="H137" s="107"/>
    </row>
    <row r="138" spans="1:8" ht="15.5" x14ac:dyDescent="0.35">
      <c r="A138" s="1"/>
      <c r="B138" s="1"/>
      <c r="C138" s="1"/>
      <c r="D138" s="1"/>
      <c r="E138" s="55" t="s">
        <v>102</v>
      </c>
      <c r="F138" s="55" t="s">
        <v>101</v>
      </c>
    </row>
    <row r="139" spans="1:8" ht="15.5" x14ac:dyDescent="0.35">
      <c r="A139" s="1"/>
      <c r="B139" s="1"/>
      <c r="C139" s="1"/>
      <c r="D139" s="1"/>
      <c r="E139" s="1"/>
      <c r="F139" s="1"/>
      <c r="G139" s="1"/>
      <c r="H139" s="1"/>
    </row>
    <row r="140" spans="1:8" ht="15.5" x14ac:dyDescent="0.35">
      <c r="A140" s="126" t="s">
        <v>100</v>
      </c>
      <c r="B140" s="54">
        <f>((15100*SQRT(F136)*1/12*C98*POWER(C99,3))/2.25)/(1+B137)</f>
        <v>13227273752.709652</v>
      </c>
      <c r="C140" s="3" t="s">
        <v>99</v>
      </c>
      <c r="D140" s="1"/>
      <c r="E140" s="1"/>
      <c r="F140" s="1"/>
      <c r="G140" s="1"/>
      <c r="H140" s="1"/>
    </row>
    <row r="141" spans="1:8" ht="15.5" x14ac:dyDescent="0.35">
      <c r="A141" s="126"/>
      <c r="B141" s="4">
        <f>B140/(1000*100*100)</f>
        <v>1322.7273752709652</v>
      </c>
      <c r="C141" s="3" t="s">
        <v>98</v>
      </c>
      <c r="D141" s="1"/>
      <c r="E141" s="1"/>
      <c r="F141" s="1"/>
      <c r="G141" s="1"/>
      <c r="H141" s="1"/>
    </row>
    <row r="142" spans="1:8" ht="15.5" x14ac:dyDescent="0.35">
      <c r="A142" s="1"/>
      <c r="B142" s="1"/>
      <c r="C142" s="1"/>
      <c r="D142" s="1"/>
      <c r="E142" s="1"/>
      <c r="F142" s="1"/>
      <c r="G142" s="1"/>
      <c r="H142" s="1"/>
    </row>
    <row r="143" spans="1:8" ht="15.5" x14ac:dyDescent="0.35">
      <c r="A143" s="1"/>
      <c r="B143" s="1"/>
      <c r="C143" s="1"/>
      <c r="D143" s="1"/>
      <c r="E143" s="1"/>
      <c r="F143" s="1"/>
      <c r="G143" s="1"/>
      <c r="H143" s="1"/>
    </row>
    <row r="144" spans="1:8" ht="15.5" x14ac:dyDescent="0.35">
      <c r="A144" s="116" t="s">
        <v>97</v>
      </c>
      <c r="B144" s="116"/>
      <c r="C144" s="116"/>
      <c r="D144" s="116"/>
      <c r="E144" s="116"/>
      <c r="F144" s="116"/>
      <c r="G144" s="116"/>
      <c r="H144" s="116"/>
    </row>
    <row r="145" spans="1:8" ht="15.5" x14ac:dyDescent="0.35">
      <c r="A145" s="1"/>
      <c r="B145" s="1"/>
      <c r="C145" s="1"/>
      <c r="D145" s="1"/>
      <c r="E145" s="1"/>
      <c r="F145" s="1"/>
      <c r="G145" s="1"/>
      <c r="H145" s="1"/>
    </row>
    <row r="146" spans="1:8" ht="15.5" x14ac:dyDescent="0.35">
      <c r="A146" s="3" t="s">
        <v>96</v>
      </c>
      <c r="B146" s="4">
        <f>(3.1416^2)*(B141)/(F121*B27)^2</f>
        <v>452.03798407446027</v>
      </c>
      <c r="C146" s="5" t="s">
        <v>69</v>
      </c>
      <c r="D146" s="1"/>
      <c r="E146" s="1"/>
      <c r="F146" s="1"/>
      <c r="G146" s="1"/>
      <c r="H146" s="1"/>
    </row>
    <row r="147" spans="1:8" ht="15.5" x14ac:dyDescent="0.35">
      <c r="A147" s="1"/>
      <c r="B147" s="1"/>
      <c r="C147" s="1"/>
      <c r="D147" s="1"/>
      <c r="E147" s="1"/>
      <c r="F147" s="1"/>
      <c r="G147" s="1"/>
      <c r="H147" s="1"/>
    </row>
    <row r="148" spans="1:8" ht="15.5" x14ac:dyDescent="0.35">
      <c r="A148" s="116" t="s">
        <v>95</v>
      </c>
      <c r="B148" s="116"/>
      <c r="C148" s="116"/>
      <c r="D148" s="116"/>
      <c r="E148" s="116"/>
      <c r="F148" s="116"/>
      <c r="G148" s="116"/>
      <c r="H148" s="116"/>
    </row>
    <row r="149" spans="1:8" ht="15.5" x14ac:dyDescent="0.35">
      <c r="A149" s="1"/>
      <c r="B149" s="1"/>
      <c r="C149" s="1"/>
      <c r="D149" s="1"/>
      <c r="E149" s="1"/>
      <c r="F149" s="1"/>
      <c r="G149" s="1" t="s">
        <v>94</v>
      </c>
      <c r="H149" s="1">
        <v>1</v>
      </c>
    </row>
    <row r="150" spans="1:8" ht="15.5" x14ac:dyDescent="0.35">
      <c r="A150" s="5" t="s">
        <v>93</v>
      </c>
      <c r="B150" s="53">
        <f>H149/(1-(F25/(0.7*B146)))</f>
        <v>1.1273707940737276</v>
      </c>
      <c r="C150" s="1"/>
      <c r="D150" s="1"/>
      <c r="E150" s="1"/>
      <c r="F150" s="1"/>
      <c r="G150" s="1"/>
      <c r="H150" s="1"/>
    </row>
    <row r="151" spans="1:8" ht="23.5" x14ac:dyDescent="0.55000000000000004">
      <c r="A151" s="127" t="str">
        <f>IF(B150&gt;1,"SI CUMPLE","No Cumple")</f>
        <v>SI CUMPLE</v>
      </c>
      <c r="B151" s="127"/>
      <c r="C151" s="1" t="s">
        <v>92</v>
      </c>
      <c r="D151" s="1"/>
      <c r="E151" s="1"/>
      <c r="F151" s="1"/>
      <c r="G151" s="1"/>
      <c r="H151" s="1"/>
    </row>
    <row r="152" spans="1:8" ht="15.5" x14ac:dyDescent="0.35">
      <c r="A152" s="1"/>
      <c r="B152" s="1"/>
      <c r="C152" s="1"/>
      <c r="D152" s="1"/>
      <c r="E152" s="1"/>
      <c r="F152" s="1"/>
      <c r="G152" s="1"/>
      <c r="H152" s="1"/>
    </row>
    <row r="153" spans="1:8" ht="15.5" x14ac:dyDescent="0.35">
      <c r="A153" s="116" t="s">
        <v>91</v>
      </c>
      <c r="B153" s="116"/>
      <c r="C153" s="116"/>
      <c r="D153" s="116"/>
      <c r="E153" s="116"/>
      <c r="F153" s="116"/>
      <c r="G153" s="116"/>
      <c r="H153" s="116"/>
    </row>
    <row r="154" spans="1:8" ht="16" thickBot="1" x14ac:dyDescent="0.4">
      <c r="A154" s="1"/>
      <c r="B154" s="1"/>
      <c r="C154" s="1"/>
      <c r="D154" s="1"/>
      <c r="E154" s="1"/>
      <c r="F154" s="1"/>
      <c r="G154" s="1"/>
      <c r="H154" s="1"/>
    </row>
    <row r="155" spans="1:8" ht="21" x14ac:dyDescent="0.5">
      <c r="A155" s="52" t="s">
        <v>78</v>
      </c>
      <c r="B155" s="51">
        <f>B150*D26</f>
        <v>39.007029474950976</v>
      </c>
      <c r="C155" s="50" t="s">
        <v>69</v>
      </c>
      <c r="D155" s="1"/>
      <c r="E155" s="1"/>
      <c r="F155" s="1"/>
      <c r="G155" s="1"/>
      <c r="H155" s="1"/>
    </row>
    <row r="156" spans="1:8" ht="19" thickBot="1" x14ac:dyDescent="0.5">
      <c r="A156" s="49"/>
      <c r="B156" s="48"/>
      <c r="C156" s="47"/>
      <c r="D156" s="1"/>
      <c r="E156" s="1"/>
      <c r="F156" s="1"/>
      <c r="G156" s="1"/>
      <c r="H156" s="1"/>
    </row>
    <row r="157" spans="1:8" ht="15.5" x14ac:dyDescent="0.35">
      <c r="A157" s="1"/>
      <c r="B157" s="1"/>
      <c r="C157" s="1"/>
      <c r="D157" s="1"/>
      <c r="E157" s="1"/>
      <c r="F157" s="1"/>
      <c r="G157" s="1"/>
      <c r="H157" s="1"/>
    </row>
    <row r="158" spans="1:8" ht="15" customHeight="1" x14ac:dyDescent="0.35">
      <c r="A158" s="24" t="s">
        <v>90</v>
      </c>
      <c r="B158" s="24"/>
      <c r="C158" s="24"/>
      <c r="D158" s="24"/>
      <c r="E158" s="24"/>
      <c r="F158" s="24"/>
      <c r="G158" s="24"/>
      <c r="H158" s="24"/>
    </row>
    <row r="159" spans="1:8" ht="15.5" x14ac:dyDescent="0.35">
      <c r="A159" s="1"/>
      <c r="B159" s="1"/>
      <c r="C159" s="1"/>
      <c r="D159" s="1"/>
      <c r="E159" s="1"/>
      <c r="F159" s="1"/>
      <c r="G159" s="1"/>
      <c r="H159" s="1"/>
    </row>
    <row r="160" spans="1:8" ht="21" x14ac:dyDescent="0.5">
      <c r="A160" s="45" t="s">
        <v>50</v>
      </c>
      <c r="B160" s="46">
        <f>F25</f>
        <v>35.75</v>
      </c>
      <c r="C160" s="43" t="s">
        <v>69</v>
      </c>
      <c r="D160" s="1"/>
      <c r="E160" s="1"/>
      <c r="F160" s="1"/>
      <c r="G160" s="1"/>
      <c r="H160" s="1"/>
    </row>
    <row r="161" spans="1:15" ht="21" x14ac:dyDescent="0.5">
      <c r="A161" s="45" t="s">
        <v>79</v>
      </c>
      <c r="B161" s="44">
        <f>B95</f>
        <v>39.007029474950976</v>
      </c>
      <c r="C161" s="43" t="s">
        <v>77</v>
      </c>
      <c r="D161" s="1"/>
      <c r="E161" s="1"/>
      <c r="F161" s="1"/>
      <c r="G161" s="1"/>
      <c r="H161" s="1"/>
    </row>
    <row r="162" spans="1:15" ht="21" x14ac:dyDescent="0.5">
      <c r="A162" s="45" t="s">
        <v>78</v>
      </c>
      <c r="B162" s="44">
        <f>B155</f>
        <v>39.007029474950976</v>
      </c>
      <c r="C162" s="43" t="s">
        <v>77</v>
      </c>
      <c r="D162" s="1"/>
      <c r="E162" s="1"/>
      <c r="F162" s="1"/>
      <c r="G162" s="1"/>
      <c r="H162" s="1"/>
    </row>
    <row r="163" spans="1:15" ht="15.5" x14ac:dyDescent="0.35">
      <c r="A163" s="1"/>
      <c r="B163" s="1"/>
      <c r="C163" s="1"/>
      <c r="D163" s="1"/>
      <c r="E163" s="1"/>
      <c r="F163" s="1"/>
      <c r="G163" s="1"/>
      <c r="H163" s="1"/>
    </row>
    <row r="164" spans="1:15" ht="15" customHeight="1" x14ac:dyDescent="0.35">
      <c r="A164" s="24" t="s">
        <v>89</v>
      </c>
      <c r="B164" s="42"/>
      <c r="C164" s="42"/>
      <c r="D164" s="42"/>
      <c r="E164" s="42"/>
      <c r="F164" s="42"/>
      <c r="G164" s="42"/>
      <c r="H164" s="42"/>
    </row>
    <row r="165" spans="1:15" ht="15.5" x14ac:dyDescent="0.35">
      <c r="A165" s="1"/>
      <c r="B165" s="1"/>
      <c r="C165" s="1"/>
      <c r="D165" s="1"/>
      <c r="E165" s="1"/>
      <c r="F165" s="1"/>
      <c r="G165" s="1"/>
      <c r="H165" s="1"/>
      <c r="J165" s="128" t="s">
        <v>88</v>
      </c>
      <c r="K165" s="128" t="s">
        <v>87</v>
      </c>
      <c r="L165" s="41"/>
      <c r="M165" s="128" t="s">
        <v>86</v>
      </c>
      <c r="N165" s="41"/>
      <c r="O165" s="130" t="s">
        <v>85</v>
      </c>
    </row>
    <row r="166" spans="1:15" ht="15.5" x14ac:dyDescent="0.35">
      <c r="A166" s="132" t="s">
        <v>47</v>
      </c>
      <c r="B166" s="132"/>
      <c r="C166" s="132"/>
      <c r="D166" s="132"/>
      <c r="E166" s="132"/>
      <c r="F166" s="132"/>
      <c r="G166" s="1"/>
      <c r="H166" s="1"/>
      <c r="J166" s="129"/>
      <c r="K166" s="129"/>
      <c r="L166" s="41"/>
      <c r="M166" s="129"/>
      <c r="N166" s="41"/>
      <c r="O166" s="131"/>
    </row>
    <row r="167" spans="1:15" ht="15.5" x14ac:dyDescent="0.35">
      <c r="A167" s="121" t="s">
        <v>46</v>
      </c>
      <c r="B167" s="121"/>
      <c r="C167" s="121"/>
      <c r="D167" s="121"/>
      <c r="E167" s="18">
        <f>B8</f>
        <v>40</v>
      </c>
      <c r="F167" s="5" t="s">
        <v>1</v>
      </c>
      <c r="G167" s="1">
        <f>E167/100</f>
        <v>0.4</v>
      </c>
      <c r="H167" s="1" t="s">
        <v>84</v>
      </c>
      <c r="J167" s="38">
        <v>2</v>
      </c>
      <c r="K167" s="39">
        <v>0.125</v>
      </c>
      <c r="L167" s="39">
        <v>2</v>
      </c>
      <c r="M167" s="38">
        <v>0.63500000000000001</v>
      </c>
      <c r="N167" s="38">
        <v>2</v>
      </c>
      <c r="O167" s="37">
        <f>(3.141592654*POWER(M167,2))/4</f>
        <v>0.31669217447728754</v>
      </c>
    </row>
    <row r="168" spans="1:15" ht="15.5" x14ac:dyDescent="0.35">
      <c r="A168" s="121" t="s">
        <v>45</v>
      </c>
      <c r="B168" s="121"/>
      <c r="C168" s="121"/>
      <c r="D168" s="121"/>
      <c r="E168" s="5">
        <f>D8</f>
        <v>40</v>
      </c>
      <c r="F168" s="5" t="s">
        <v>1</v>
      </c>
      <c r="G168" s="1">
        <f>E168/100</f>
        <v>0.4</v>
      </c>
      <c r="H168" s="1" t="s">
        <v>84</v>
      </c>
      <c r="J168" s="38">
        <v>3</v>
      </c>
      <c r="K168" s="39">
        <v>0.375</v>
      </c>
      <c r="L168" s="39">
        <v>3</v>
      </c>
      <c r="M168" s="38">
        <v>0.95299999999999996</v>
      </c>
      <c r="N168" s="38">
        <v>3</v>
      </c>
      <c r="O168" s="37">
        <f>(3.141592654*POWER(M168,2))/4</f>
        <v>0.71330568067417144</v>
      </c>
    </row>
    <row r="169" spans="1:15" ht="15.5" x14ac:dyDescent="0.35">
      <c r="A169" s="133" t="s">
        <v>44</v>
      </c>
      <c r="B169" s="134"/>
      <c r="C169" s="134"/>
      <c r="D169" s="135"/>
      <c r="E169" s="23">
        <f>B27*100</f>
        <v>400</v>
      </c>
      <c r="F169" s="5" t="s">
        <v>1</v>
      </c>
      <c r="G169" s="1">
        <f>E169/100</f>
        <v>4</v>
      </c>
      <c r="H169" s="1" t="s">
        <v>84</v>
      </c>
      <c r="J169" s="38">
        <v>4</v>
      </c>
      <c r="K169" s="39">
        <v>0.5</v>
      </c>
      <c r="L169" s="39">
        <v>4</v>
      </c>
      <c r="M169" s="38">
        <v>1.27</v>
      </c>
      <c r="N169" s="38">
        <v>4</v>
      </c>
      <c r="O169" s="37">
        <f>3.1416*(M169^2)/4</f>
        <v>1.2667716600000001</v>
      </c>
    </row>
    <row r="170" spans="1:15" ht="15.5" x14ac:dyDescent="0.35">
      <c r="A170" s="133" t="s">
        <v>43</v>
      </c>
      <c r="B170" s="134"/>
      <c r="C170" s="134"/>
      <c r="D170" s="135"/>
      <c r="E170" s="23">
        <f>F29*100</f>
        <v>300</v>
      </c>
      <c r="F170" s="5" t="s">
        <v>1</v>
      </c>
      <c r="G170" s="1">
        <f>E170/100</f>
        <v>3</v>
      </c>
      <c r="H170" s="1" t="s">
        <v>84</v>
      </c>
      <c r="J170" s="38">
        <v>5</v>
      </c>
      <c r="K170" s="39">
        <v>0.625</v>
      </c>
      <c r="L170" s="39">
        <v>5</v>
      </c>
      <c r="M170" s="38">
        <v>1.5880000000000001</v>
      </c>
      <c r="N170" s="38">
        <v>5</v>
      </c>
      <c r="O170" s="37">
        <f t="shared" ref="O170:O177" si="0">(3.141592654*POWER(M170,2))/4</f>
        <v>1.9805731064171443</v>
      </c>
    </row>
    <row r="171" spans="1:15" ht="15.5" x14ac:dyDescent="0.35">
      <c r="A171" s="132" t="s">
        <v>42</v>
      </c>
      <c r="B171" s="132"/>
      <c r="C171" s="132"/>
      <c r="D171" s="132"/>
      <c r="E171" s="132"/>
      <c r="F171" s="132"/>
      <c r="G171" s="1"/>
      <c r="H171" s="1"/>
      <c r="J171" s="38">
        <v>6</v>
      </c>
      <c r="K171" s="39">
        <v>0.75</v>
      </c>
      <c r="L171" s="39">
        <v>6</v>
      </c>
      <c r="M171" s="38">
        <v>1.905</v>
      </c>
      <c r="N171" s="38">
        <v>6</v>
      </c>
      <c r="O171" s="37">
        <f t="shared" si="0"/>
        <v>2.8502295702955873</v>
      </c>
    </row>
    <row r="172" spans="1:15" ht="15.5" x14ac:dyDescent="0.35">
      <c r="A172" s="121" t="s">
        <v>41</v>
      </c>
      <c r="B172" s="121"/>
      <c r="C172" s="121"/>
      <c r="D172" s="121"/>
      <c r="E172" s="22">
        <f>B25</f>
        <v>281</v>
      </c>
      <c r="F172" s="5" t="s">
        <v>83</v>
      </c>
      <c r="G172" s="1"/>
      <c r="H172" s="1"/>
      <c r="J172" s="38">
        <v>7</v>
      </c>
      <c r="K172" s="39">
        <v>0.875</v>
      </c>
      <c r="L172" s="39">
        <v>7</v>
      </c>
      <c r="M172" s="38">
        <v>2.2229999999999999</v>
      </c>
      <c r="N172" s="38">
        <v>7</v>
      </c>
      <c r="O172" s="37">
        <f t="shared" si="0"/>
        <v>3.8812248811146914</v>
      </c>
    </row>
    <row r="173" spans="1:15" ht="15.5" x14ac:dyDescent="0.35">
      <c r="A173" s="121" t="s">
        <v>40</v>
      </c>
      <c r="B173" s="121"/>
      <c r="C173" s="121"/>
      <c r="D173" s="121"/>
      <c r="E173" s="22">
        <f>D25</f>
        <v>2810</v>
      </c>
      <c r="F173" s="5" t="s">
        <v>83</v>
      </c>
      <c r="G173" s="1"/>
      <c r="H173" s="1"/>
      <c r="J173" s="38">
        <v>8</v>
      </c>
      <c r="K173" s="40">
        <v>1</v>
      </c>
      <c r="L173" s="40">
        <v>8</v>
      </c>
      <c r="M173" s="38">
        <v>2.54</v>
      </c>
      <c r="N173" s="38">
        <v>8</v>
      </c>
      <c r="O173" s="37">
        <f t="shared" si="0"/>
        <v>5.0670747916366006</v>
      </c>
    </row>
    <row r="174" spans="1:15" ht="15.5" x14ac:dyDescent="0.35">
      <c r="A174" s="123" t="s">
        <v>82</v>
      </c>
      <c r="B174" s="123"/>
      <c r="C174" s="123"/>
      <c r="D174" s="136">
        <v>6</v>
      </c>
      <c r="E174" s="26">
        <f>VLOOKUP(D174,L167:M177,2,FALSE)</f>
        <v>1.905</v>
      </c>
      <c r="F174" s="5" t="s">
        <v>1</v>
      </c>
      <c r="G174" s="1"/>
      <c r="H174" s="1"/>
      <c r="J174" s="38">
        <v>9</v>
      </c>
      <c r="K174" s="40">
        <v>1.125</v>
      </c>
      <c r="L174" s="40">
        <v>9</v>
      </c>
      <c r="M174" s="38">
        <f>(9/8)*2.54</f>
        <v>2.8574999999999999</v>
      </c>
      <c r="N174" s="38">
        <v>9</v>
      </c>
      <c r="O174" s="37">
        <f t="shared" si="0"/>
        <v>6.4130165331650728</v>
      </c>
    </row>
    <row r="175" spans="1:15" ht="15.5" x14ac:dyDescent="0.35">
      <c r="A175" s="123"/>
      <c r="B175" s="123"/>
      <c r="C175" s="123"/>
      <c r="D175" s="136"/>
      <c r="E175" s="25">
        <f>VLOOKUP(D174,N167:O177,2,FALSE)</f>
        <v>2.8502295702955873</v>
      </c>
      <c r="F175" s="5" t="s">
        <v>7</v>
      </c>
      <c r="G175" s="1"/>
      <c r="H175" s="1"/>
      <c r="J175" s="38">
        <v>10</v>
      </c>
      <c r="K175" s="39">
        <v>1.25</v>
      </c>
      <c r="L175" s="39">
        <v>10</v>
      </c>
      <c r="M175" s="38">
        <f>1.25*2.54</f>
        <v>3.1749999999999998</v>
      </c>
      <c r="N175" s="38">
        <v>10</v>
      </c>
      <c r="O175" s="37">
        <f t="shared" si="0"/>
        <v>7.917304361932187</v>
      </c>
    </row>
    <row r="176" spans="1:15" ht="15.5" x14ac:dyDescent="0.35">
      <c r="A176" s="121" t="s">
        <v>81</v>
      </c>
      <c r="B176" s="121"/>
      <c r="C176" s="121"/>
      <c r="D176" s="121"/>
      <c r="E176" s="17">
        <v>8</v>
      </c>
      <c r="F176" s="5"/>
      <c r="G176" s="1"/>
      <c r="H176" s="1"/>
      <c r="J176" s="38">
        <v>11</v>
      </c>
      <c r="K176" s="39">
        <v>1.375</v>
      </c>
      <c r="L176" s="39">
        <v>11</v>
      </c>
      <c r="M176" s="38">
        <v>3.4929999999999999</v>
      </c>
      <c r="N176" s="38">
        <v>11</v>
      </c>
      <c r="O176" s="37">
        <f t="shared" si="0"/>
        <v>9.5826814773735105</v>
      </c>
    </row>
    <row r="177" spans="1:15" ht="15.5" x14ac:dyDescent="0.35">
      <c r="A177" s="137" t="s">
        <v>80</v>
      </c>
      <c r="B177" s="138"/>
      <c r="C177" s="138"/>
      <c r="D177" s="138"/>
      <c r="E177" s="138"/>
      <c r="F177" s="139"/>
      <c r="G177" s="1"/>
      <c r="H177" s="1"/>
      <c r="J177" s="38">
        <v>12</v>
      </c>
      <c r="K177" s="39">
        <v>1.5</v>
      </c>
      <c r="L177" s="39">
        <v>12</v>
      </c>
      <c r="M177" s="38">
        <v>3.81</v>
      </c>
      <c r="N177" s="38">
        <v>12</v>
      </c>
      <c r="O177" s="37">
        <f t="shared" si="0"/>
        <v>11.400918281182349</v>
      </c>
    </row>
    <row r="178" spans="1:15" ht="15.5" x14ac:dyDescent="0.35">
      <c r="A178" s="121" t="s">
        <v>50</v>
      </c>
      <c r="B178" s="121"/>
      <c r="C178" s="121"/>
      <c r="D178" s="121"/>
      <c r="E178" s="28">
        <f>B160</f>
        <v>35.75</v>
      </c>
      <c r="F178" s="5" t="s">
        <v>69</v>
      </c>
      <c r="G178" s="1"/>
      <c r="H178" s="1"/>
    </row>
    <row r="179" spans="1:15" ht="15.5" x14ac:dyDescent="0.35">
      <c r="A179" s="121" t="s">
        <v>79</v>
      </c>
      <c r="B179" s="121"/>
      <c r="C179" s="121"/>
      <c r="D179" s="121"/>
      <c r="E179" s="25">
        <f>B95</f>
        <v>39.007029474950976</v>
      </c>
      <c r="F179" s="5" t="s">
        <v>77</v>
      </c>
      <c r="G179" s="1"/>
      <c r="H179" s="1"/>
    </row>
    <row r="180" spans="1:15" ht="15.5" x14ac:dyDescent="0.35">
      <c r="A180" s="121" t="s">
        <v>78</v>
      </c>
      <c r="B180" s="121"/>
      <c r="C180" s="121"/>
      <c r="D180" s="121"/>
      <c r="E180" s="25">
        <f>B155</f>
        <v>39.007029474950976</v>
      </c>
      <c r="F180" s="5" t="s">
        <v>77</v>
      </c>
      <c r="G180" s="1"/>
      <c r="H180" s="1"/>
    </row>
    <row r="181" spans="1:15" ht="15.5" x14ac:dyDescent="0.35">
      <c r="A181" s="121" t="s">
        <v>37</v>
      </c>
      <c r="B181" s="121"/>
      <c r="C181" s="121"/>
      <c r="D181" s="121"/>
      <c r="E181" s="36">
        <f>H16</f>
        <v>5</v>
      </c>
      <c r="F181" s="5" t="s">
        <v>1</v>
      </c>
      <c r="G181" s="1"/>
      <c r="H181" s="1"/>
    </row>
    <row r="182" spans="1:15" ht="15.5" x14ac:dyDescent="0.35">
      <c r="A182" s="1"/>
      <c r="B182" s="1"/>
      <c r="C182" s="1"/>
      <c r="D182" s="1"/>
      <c r="E182" s="1"/>
      <c r="F182" s="1"/>
      <c r="G182" s="1"/>
      <c r="H182" s="1"/>
    </row>
    <row r="183" spans="1:15" ht="15.5" x14ac:dyDescent="0.35">
      <c r="A183" s="1"/>
      <c r="B183" s="1"/>
      <c r="C183" s="1"/>
      <c r="D183" s="1"/>
      <c r="E183" s="1"/>
      <c r="F183" s="1"/>
      <c r="G183" s="1"/>
      <c r="H183" s="1"/>
    </row>
    <row r="184" spans="1:15" ht="15.5" x14ac:dyDescent="0.35">
      <c r="A184" s="116" t="s">
        <v>76</v>
      </c>
      <c r="B184" s="116"/>
      <c r="C184" s="116"/>
      <c r="D184" s="116"/>
      <c r="E184" s="116"/>
      <c r="F184" s="116"/>
      <c r="G184" s="116"/>
      <c r="H184" s="116"/>
    </row>
    <row r="185" spans="1:15" ht="15.5" x14ac:dyDescent="0.35">
      <c r="A185" s="1"/>
      <c r="B185" s="1"/>
      <c r="C185" s="1"/>
      <c r="D185" s="1"/>
      <c r="E185" s="1"/>
      <c r="F185" s="1"/>
      <c r="G185" s="1"/>
      <c r="H185" s="1"/>
    </row>
    <row r="186" spans="1:15" ht="15.5" x14ac:dyDescent="0.35">
      <c r="A186" s="121" t="s">
        <v>75</v>
      </c>
      <c r="B186" s="121"/>
      <c r="C186" s="35">
        <f>E176*E175</f>
        <v>22.801836562364699</v>
      </c>
      <c r="D186" s="5" t="s">
        <v>7</v>
      </c>
      <c r="E186" s="1"/>
      <c r="F186" s="1"/>
      <c r="G186" s="1"/>
      <c r="H186" s="1"/>
    </row>
    <row r="187" spans="1:15" ht="15.5" x14ac:dyDescent="0.35">
      <c r="A187" s="121" t="s">
        <v>39</v>
      </c>
      <c r="B187" s="121"/>
      <c r="C187" s="5">
        <f>E167*E168</f>
        <v>1600</v>
      </c>
      <c r="D187" s="5" t="s">
        <v>7</v>
      </c>
      <c r="E187" s="1"/>
      <c r="F187" s="1"/>
      <c r="G187" s="1"/>
      <c r="H187" s="1"/>
    </row>
    <row r="188" spans="1:15" ht="15.5" x14ac:dyDescent="0.35">
      <c r="A188" s="121" t="s">
        <v>74</v>
      </c>
      <c r="B188" s="121"/>
      <c r="C188" s="5">
        <f>C187*0.01</f>
        <v>16</v>
      </c>
      <c r="D188" s="5" t="s">
        <v>7</v>
      </c>
      <c r="E188" s="1"/>
      <c r="F188" s="1"/>
      <c r="G188" s="1"/>
      <c r="H188" s="1"/>
    </row>
    <row r="189" spans="1:15" ht="15.5" x14ac:dyDescent="0.35">
      <c r="A189" s="1"/>
      <c r="B189" s="34" t="s">
        <v>73</v>
      </c>
      <c r="C189" s="5">
        <v>0.7</v>
      </c>
      <c r="D189" s="1"/>
      <c r="E189" s="1"/>
      <c r="F189" s="1"/>
      <c r="G189" s="1"/>
      <c r="H189" s="1"/>
    </row>
    <row r="190" spans="1:15" ht="15.5" x14ac:dyDescent="0.35">
      <c r="A190" s="1"/>
      <c r="B190" s="33"/>
      <c r="C190" s="1"/>
      <c r="D190" s="1"/>
      <c r="E190" s="1"/>
      <c r="F190" s="1"/>
      <c r="G190" s="1"/>
      <c r="H190" s="1"/>
    </row>
    <row r="191" spans="1:15" ht="15.5" x14ac:dyDescent="0.35">
      <c r="A191" s="27" t="s">
        <v>72</v>
      </c>
      <c r="B191" s="32"/>
      <c r="C191" s="27"/>
      <c r="D191" s="1"/>
      <c r="E191" s="1"/>
      <c r="F191" s="1"/>
      <c r="G191" s="1"/>
      <c r="H191" s="1"/>
    </row>
    <row r="192" spans="1:15" ht="15.5" x14ac:dyDescent="0.35">
      <c r="A192" s="1"/>
      <c r="B192" s="1"/>
      <c r="C192" s="1"/>
      <c r="D192" s="1"/>
      <c r="E192" s="1"/>
      <c r="F192" s="1"/>
      <c r="G192" s="1"/>
      <c r="H192" s="1"/>
    </row>
    <row r="193" spans="1:8" ht="15.5" x14ac:dyDescent="0.35">
      <c r="A193" s="123" t="s">
        <v>71</v>
      </c>
      <c r="B193" s="25">
        <f>C189*0.85*E172*(C187-C186)+(C186*E173)</f>
        <v>327772.80767620017</v>
      </c>
      <c r="C193" s="26" t="s">
        <v>70</v>
      </c>
      <c r="D193" s="1"/>
      <c r="E193" s="1"/>
      <c r="F193" s="1"/>
      <c r="G193" s="1"/>
      <c r="H193" s="1"/>
    </row>
    <row r="194" spans="1:8" ht="15.5" x14ac:dyDescent="0.35">
      <c r="A194" s="123"/>
      <c r="B194" s="25">
        <f>B193/1000</f>
        <v>327.77280767620016</v>
      </c>
      <c r="C194" s="26" t="s">
        <v>69</v>
      </c>
      <c r="D194" s="1"/>
      <c r="E194" s="1"/>
      <c r="F194" s="1"/>
      <c r="G194" s="1"/>
      <c r="H194" s="1"/>
    </row>
    <row r="195" spans="1:8" ht="15.5" x14ac:dyDescent="0.35">
      <c r="A195" s="1"/>
      <c r="B195" s="1"/>
      <c r="C195" s="1"/>
      <c r="D195" s="1"/>
      <c r="E195" s="1"/>
      <c r="F195" s="1"/>
      <c r="G195" s="1"/>
      <c r="H195" s="10"/>
    </row>
    <row r="196" spans="1:8" ht="15.5" x14ac:dyDescent="0.35">
      <c r="A196" s="1"/>
      <c r="B196" s="1"/>
      <c r="C196" s="1"/>
      <c r="D196" s="1"/>
      <c r="E196" s="1"/>
      <c r="F196" s="1"/>
      <c r="G196" s="1"/>
      <c r="H196" s="1"/>
    </row>
    <row r="197" spans="1:8" ht="15.5" x14ac:dyDescent="0.35">
      <c r="A197" s="116" t="s">
        <v>68</v>
      </c>
      <c r="B197" s="116"/>
      <c r="C197" s="116"/>
      <c r="D197" s="116"/>
      <c r="E197" s="116"/>
      <c r="F197" s="116"/>
      <c r="G197" s="116"/>
      <c r="H197" s="116"/>
    </row>
    <row r="198" spans="1:8" ht="15.5" x14ac:dyDescent="0.35">
      <c r="A198" s="1"/>
      <c r="B198" s="1"/>
      <c r="C198" s="1"/>
      <c r="D198" s="1"/>
      <c r="E198" s="1"/>
      <c r="F198" s="1"/>
      <c r="G198" s="1"/>
      <c r="H198" s="1"/>
    </row>
    <row r="199" spans="1:8" ht="18.5" x14ac:dyDescent="0.45">
      <c r="A199" s="15" t="s">
        <v>67</v>
      </c>
      <c r="B199" s="25">
        <f>E179/E178</f>
        <v>1.0911057195790483</v>
      </c>
      <c r="C199" s="1"/>
      <c r="D199" s="1"/>
      <c r="E199" s="1"/>
      <c r="F199" s="1"/>
      <c r="G199" s="1"/>
      <c r="H199" s="1"/>
    </row>
    <row r="200" spans="1:8" ht="18.5" x14ac:dyDescent="0.45">
      <c r="A200" s="15" t="s">
        <v>66</v>
      </c>
      <c r="B200" s="25">
        <f>E180/E178</f>
        <v>1.0911057195790483</v>
      </c>
      <c r="C200" s="1"/>
      <c r="D200" s="1"/>
      <c r="E200" s="1"/>
      <c r="F200" s="1"/>
      <c r="G200" s="1"/>
      <c r="H200" s="1"/>
    </row>
    <row r="201" spans="1:8" ht="15.5" x14ac:dyDescent="0.35">
      <c r="A201" s="1"/>
      <c r="B201" s="1"/>
      <c r="C201" s="1"/>
      <c r="D201" s="1"/>
      <c r="E201" s="1"/>
      <c r="F201" s="1"/>
      <c r="G201" s="1"/>
      <c r="H201" s="1"/>
    </row>
    <row r="202" spans="1:8" ht="15.5" x14ac:dyDescent="0.35">
      <c r="A202" s="116" t="s">
        <v>65</v>
      </c>
      <c r="B202" s="116"/>
      <c r="C202" s="116"/>
      <c r="D202" s="116"/>
      <c r="E202" s="116"/>
      <c r="F202" s="116"/>
      <c r="G202" s="116"/>
      <c r="H202" s="116"/>
    </row>
    <row r="203" spans="1:8" ht="15.5" x14ac:dyDescent="0.35">
      <c r="A203" s="1"/>
      <c r="B203" s="1"/>
      <c r="C203" s="1"/>
      <c r="D203" s="1"/>
      <c r="E203" s="1"/>
      <c r="F203" s="1"/>
      <c r="G203" s="1"/>
      <c r="H203" s="1"/>
    </row>
    <row r="204" spans="1:8" ht="15.5" x14ac:dyDescent="0.35">
      <c r="A204" s="5" t="s">
        <v>64</v>
      </c>
      <c r="B204" s="5">
        <f>E167-E181-E181</f>
        <v>30</v>
      </c>
      <c r="C204" s="5" t="s">
        <v>1</v>
      </c>
      <c r="D204" s="1"/>
      <c r="E204" s="1"/>
      <c r="F204" s="1"/>
      <c r="G204" s="1"/>
      <c r="H204" s="1"/>
    </row>
    <row r="205" spans="1:8" ht="15.5" x14ac:dyDescent="0.35">
      <c r="A205" s="5" t="s">
        <v>63</v>
      </c>
      <c r="B205" s="5">
        <f>E168-E181-E181</f>
        <v>30</v>
      </c>
      <c r="C205" s="5" t="s">
        <v>1</v>
      </c>
      <c r="D205" s="1"/>
      <c r="E205" s="1"/>
      <c r="F205" s="1"/>
      <c r="G205" s="1"/>
      <c r="H205" s="1"/>
    </row>
    <row r="206" spans="1:8" ht="15.5" x14ac:dyDescent="0.35">
      <c r="A206" s="5" t="s">
        <v>57</v>
      </c>
      <c r="B206" s="25">
        <f>B204/E167</f>
        <v>0.75</v>
      </c>
      <c r="C206" s="1"/>
      <c r="D206" s="1"/>
      <c r="E206" s="1"/>
      <c r="F206" s="1"/>
      <c r="G206" s="1"/>
      <c r="H206" s="1"/>
    </row>
    <row r="207" spans="1:8" ht="15.5" x14ac:dyDescent="0.35">
      <c r="A207" s="5" t="s">
        <v>56</v>
      </c>
      <c r="B207" s="25">
        <f>B205/E168</f>
        <v>0.75</v>
      </c>
      <c r="C207" s="1"/>
      <c r="D207" s="1"/>
      <c r="E207" s="1"/>
      <c r="F207" s="1"/>
      <c r="G207" s="1"/>
      <c r="H207" s="1"/>
    </row>
    <row r="208" spans="1:8" ht="15.5" x14ac:dyDescent="0.35">
      <c r="A208" s="1"/>
      <c r="B208" s="1"/>
      <c r="C208" s="1"/>
      <c r="D208" s="1"/>
      <c r="E208" s="1"/>
      <c r="F208" s="1"/>
      <c r="G208" s="1"/>
      <c r="H208" s="1"/>
    </row>
    <row r="209" spans="1:8" ht="15.5" x14ac:dyDescent="0.35">
      <c r="A209" s="116" t="s">
        <v>62</v>
      </c>
      <c r="B209" s="116"/>
      <c r="C209" s="116"/>
      <c r="D209" s="116"/>
      <c r="E209" s="116"/>
      <c r="F209" s="116"/>
      <c r="G209" s="116"/>
      <c r="H209" s="116"/>
    </row>
    <row r="210" spans="1:8" ht="15.5" x14ac:dyDescent="0.35">
      <c r="A210" s="1"/>
      <c r="B210" s="1"/>
      <c r="C210" s="1"/>
      <c r="D210" s="1"/>
      <c r="E210" s="1"/>
      <c r="F210" s="1"/>
      <c r="G210" s="1"/>
      <c r="H210" s="1"/>
    </row>
    <row r="211" spans="1:8" ht="18.5" x14ac:dyDescent="0.45">
      <c r="A211" s="5" t="s">
        <v>55</v>
      </c>
      <c r="B211" s="25">
        <f>(C186*E173)/(0.85*E172*C187)</f>
        <v>0.16766056295856396</v>
      </c>
      <c r="C211" s="1"/>
      <c r="D211" s="1"/>
      <c r="E211" s="1"/>
      <c r="F211" s="1"/>
      <c r="G211" s="1"/>
      <c r="H211" s="1"/>
    </row>
    <row r="212" spans="1:8" ht="15.5" x14ac:dyDescent="0.35">
      <c r="A212" s="1"/>
      <c r="B212" s="1"/>
      <c r="C212" s="1"/>
      <c r="D212" s="1"/>
      <c r="E212" s="1"/>
      <c r="F212" s="1"/>
      <c r="G212" s="1"/>
      <c r="H212" s="1"/>
    </row>
    <row r="213" spans="1:8" ht="18.5" x14ac:dyDescent="0.45">
      <c r="A213" s="140" t="s">
        <v>61</v>
      </c>
      <c r="B213" s="140"/>
      <c r="C213" s="140"/>
      <c r="D213" s="31"/>
      <c r="E213" s="141" t="s">
        <v>60</v>
      </c>
      <c r="F213" s="142"/>
      <c r="G213" s="143"/>
      <c r="H213" s="31"/>
    </row>
    <row r="214" spans="1:8" ht="15.5" x14ac:dyDescent="0.35">
      <c r="A214" s="5" t="s">
        <v>59</v>
      </c>
      <c r="B214" s="25">
        <f>B199/G167</f>
        <v>2.7277642989476205</v>
      </c>
      <c r="C214" s="144">
        <v>0.2</v>
      </c>
      <c r="D214" s="1"/>
      <c r="E214" s="5" t="s">
        <v>58</v>
      </c>
      <c r="F214" s="25">
        <f>B200/G168</f>
        <v>2.7277642989476205</v>
      </c>
      <c r="G214" s="145">
        <v>0.25</v>
      </c>
      <c r="H214" s="1"/>
    </row>
    <row r="215" spans="1:8" ht="15.5" x14ac:dyDescent="0.35">
      <c r="A215" s="5" t="s">
        <v>57</v>
      </c>
      <c r="B215" s="25">
        <f>B206</f>
        <v>0.75</v>
      </c>
      <c r="C215" s="144"/>
      <c r="D215" s="1"/>
      <c r="E215" s="5" t="s">
        <v>56</v>
      </c>
      <c r="F215" s="25">
        <f>B207</f>
        <v>0.75</v>
      </c>
      <c r="G215" s="145"/>
      <c r="H215" s="1"/>
    </row>
    <row r="216" spans="1:8" ht="18.5" x14ac:dyDescent="0.45">
      <c r="A216" s="5" t="s">
        <v>55</v>
      </c>
      <c r="B216" s="25">
        <f>B211</f>
        <v>0.16766056295856396</v>
      </c>
      <c r="C216" s="144"/>
      <c r="D216" s="30"/>
      <c r="E216" s="5" t="s">
        <v>55</v>
      </c>
      <c r="F216" s="25">
        <f>B211</f>
        <v>0.16766056295856396</v>
      </c>
      <c r="G216" s="145"/>
      <c r="H216" s="1"/>
    </row>
    <row r="217" spans="1:8" ht="15.5" x14ac:dyDescent="0.35">
      <c r="A217" s="1"/>
      <c r="B217" s="1"/>
      <c r="C217" s="1"/>
      <c r="D217" s="1"/>
      <c r="E217" s="1"/>
      <c r="F217" s="1"/>
      <c r="G217" s="1"/>
      <c r="H217" s="1"/>
    </row>
    <row r="218" spans="1:8" ht="15.5" x14ac:dyDescent="0.35">
      <c r="A218" s="116" t="s">
        <v>54</v>
      </c>
      <c r="B218" s="116"/>
      <c r="C218" s="116"/>
      <c r="D218" s="116"/>
      <c r="E218" s="116"/>
      <c r="F218" s="116"/>
      <c r="G218" s="116"/>
      <c r="H218" s="116"/>
    </row>
    <row r="219" spans="1:8" ht="15.5" x14ac:dyDescent="0.35">
      <c r="A219" s="1"/>
      <c r="B219" s="1"/>
      <c r="C219" s="1"/>
      <c r="D219" s="1"/>
      <c r="E219" s="1"/>
      <c r="F219" s="1"/>
      <c r="G219" s="1"/>
      <c r="H219" s="1"/>
    </row>
    <row r="220" spans="1:8" ht="15.5" x14ac:dyDescent="0.35">
      <c r="A220" s="5" t="s">
        <v>53</v>
      </c>
      <c r="B220" s="29">
        <f>C214*E172*E167*E168</f>
        <v>89920</v>
      </c>
      <c r="C220" s="1"/>
      <c r="D220" s="1"/>
      <c r="E220" s="1"/>
      <c r="F220" s="1"/>
      <c r="G220" s="1"/>
      <c r="H220" s="1"/>
    </row>
    <row r="221" spans="1:8" ht="15.5" x14ac:dyDescent="0.35">
      <c r="A221" s="5" t="s">
        <v>52</v>
      </c>
      <c r="B221" s="29">
        <f>G214*E172*E167*E168</f>
        <v>112400</v>
      </c>
      <c r="C221" s="1"/>
      <c r="D221" s="1"/>
      <c r="E221" s="1"/>
      <c r="F221" s="1"/>
      <c r="G221" s="1"/>
      <c r="H221" s="1"/>
    </row>
    <row r="222" spans="1:8" ht="15.5" x14ac:dyDescent="0.35">
      <c r="A222" s="1"/>
      <c r="B222" s="1"/>
      <c r="C222" s="1"/>
      <c r="D222" s="1"/>
      <c r="E222" s="1"/>
      <c r="F222" s="1"/>
      <c r="G222" s="1"/>
      <c r="H222" s="1"/>
    </row>
    <row r="223" spans="1:8" ht="15.5" x14ac:dyDescent="0.35">
      <c r="A223" s="126" t="s">
        <v>49</v>
      </c>
      <c r="B223" s="29">
        <f>(B220*B221*B193)/((B221*B193)+(B220*B193)-(B220*B221))</f>
        <v>58938.286152071851</v>
      </c>
      <c r="C223" s="1"/>
      <c r="D223" s="1"/>
      <c r="E223" s="1"/>
      <c r="F223" s="1"/>
      <c r="G223" s="1"/>
      <c r="H223" s="1"/>
    </row>
    <row r="224" spans="1:8" ht="15.5" x14ac:dyDescent="0.35">
      <c r="A224" s="126"/>
      <c r="B224" s="28">
        <f>B223/1000</f>
        <v>58.938286152071854</v>
      </c>
      <c r="C224" s="1"/>
      <c r="D224" s="1"/>
      <c r="E224" s="1"/>
      <c r="F224" s="1"/>
      <c r="G224" s="1"/>
      <c r="H224" s="1"/>
    </row>
    <row r="225" spans="1:8" ht="15.5" x14ac:dyDescent="0.35">
      <c r="A225" s="1"/>
      <c r="B225" s="1"/>
      <c r="C225" s="1"/>
      <c r="D225" s="1"/>
      <c r="E225" s="1"/>
      <c r="F225" s="1"/>
      <c r="G225" s="1"/>
      <c r="H225" s="1"/>
    </row>
    <row r="226" spans="1:8" ht="15.5" x14ac:dyDescent="0.35">
      <c r="A226" s="116" t="s">
        <v>51</v>
      </c>
      <c r="B226" s="116"/>
      <c r="C226" s="116"/>
      <c r="D226" s="116"/>
      <c r="E226" s="116"/>
      <c r="F226" s="116"/>
      <c r="G226" s="116"/>
      <c r="H226" s="116"/>
    </row>
    <row r="227" spans="1:8" ht="15.5" x14ac:dyDescent="0.35">
      <c r="A227" s="1" t="s">
        <v>50</v>
      </c>
      <c r="B227" s="26">
        <f>E178</f>
        <v>35.75</v>
      </c>
      <c r="C227" s="1"/>
      <c r="D227" s="1"/>
      <c r="E227" s="1"/>
      <c r="F227" s="1"/>
      <c r="G227" s="1"/>
      <c r="H227" s="1"/>
    </row>
    <row r="228" spans="1:8" ht="15.5" x14ac:dyDescent="0.35">
      <c r="A228" s="1" t="s">
        <v>49</v>
      </c>
      <c r="B228" s="25">
        <f>B224</f>
        <v>58.938286152071854</v>
      </c>
      <c r="C228" s="1"/>
      <c r="D228" s="1"/>
      <c r="E228" s="1"/>
      <c r="F228" s="1"/>
      <c r="G228" s="1"/>
      <c r="H228" s="1"/>
    </row>
    <row r="229" spans="1:8" ht="15.5" x14ac:dyDescent="0.35">
      <c r="A229" s="1"/>
      <c r="B229" s="1"/>
      <c r="C229" s="1"/>
      <c r="D229" s="146" t="str">
        <f>IF(B228&gt;B227,"SI CUMPLE","NO CUMPLE")</f>
        <v>SI CUMPLE</v>
      </c>
      <c r="E229" s="146"/>
      <c r="F229" s="1"/>
      <c r="G229" s="1"/>
      <c r="H229" s="1"/>
    </row>
    <row r="230" spans="1:8" ht="15.5" x14ac:dyDescent="0.35">
      <c r="A230" s="1"/>
      <c r="B230" s="1"/>
      <c r="C230" s="1"/>
      <c r="D230" s="1"/>
      <c r="E230" s="1"/>
      <c r="F230" s="1"/>
      <c r="G230" s="1"/>
      <c r="H230" s="1"/>
    </row>
    <row r="231" spans="1:8" ht="15" customHeight="1" x14ac:dyDescent="0.35">
      <c r="A231" s="24" t="s">
        <v>48</v>
      </c>
      <c r="B231" s="24"/>
      <c r="C231" s="24"/>
      <c r="D231" s="24"/>
      <c r="E231" s="24"/>
      <c r="F231" s="24"/>
      <c r="G231" s="24"/>
      <c r="H231" s="24"/>
    </row>
    <row r="232" spans="1:8" ht="15.5" x14ac:dyDescent="0.35">
      <c r="A232" s="1"/>
      <c r="B232" s="1"/>
      <c r="C232" s="1"/>
      <c r="D232" s="1"/>
      <c r="E232" s="1"/>
      <c r="F232" s="1"/>
      <c r="G232" s="1"/>
      <c r="H232" s="1"/>
    </row>
    <row r="233" spans="1:8" ht="15.5" x14ac:dyDescent="0.35">
      <c r="A233" s="147" t="s">
        <v>47</v>
      </c>
      <c r="B233" s="148"/>
      <c r="C233" s="148"/>
      <c r="D233" s="149"/>
      <c r="F233" s="1"/>
      <c r="G233" s="1"/>
      <c r="H233" s="1"/>
    </row>
    <row r="234" spans="1:8" ht="15.5" x14ac:dyDescent="0.35">
      <c r="A234" s="150" t="s">
        <v>46</v>
      </c>
      <c r="B234" s="150"/>
      <c r="C234" s="150"/>
      <c r="D234" s="18">
        <f>D28</f>
        <v>40</v>
      </c>
      <c r="E234" s="1"/>
      <c r="F234" s="1"/>
      <c r="G234" s="1"/>
      <c r="H234" s="1"/>
    </row>
    <row r="235" spans="1:8" ht="15.5" x14ac:dyDescent="0.35">
      <c r="A235" s="151" t="s">
        <v>45</v>
      </c>
      <c r="B235" s="151"/>
      <c r="C235" s="151"/>
      <c r="D235" s="18">
        <f>E167</f>
        <v>40</v>
      </c>
      <c r="E235" s="1"/>
      <c r="F235" s="1"/>
      <c r="G235" s="1"/>
      <c r="H235" s="1"/>
    </row>
    <row r="236" spans="1:8" ht="15.5" x14ac:dyDescent="0.35">
      <c r="A236" s="151" t="s">
        <v>44</v>
      </c>
      <c r="B236" s="151"/>
      <c r="C236" s="151"/>
      <c r="D236" s="23">
        <f>E169</f>
        <v>400</v>
      </c>
      <c r="E236" s="1"/>
      <c r="F236" s="1"/>
      <c r="G236" s="1"/>
      <c r="H236" s="1"/>
    </row>
    <row r="237" spans="1:8" ht="15.5" x14ac:dyDescent="0.35">
      <c r="A237" s="151" t="s">
        <v>43</v>
      </c>
      <c r="B237" s="151"/>
      <c r="C237" s="151"/>
      <c r="D237" s="23">
        <f>E170</f>
        <v>300</v>
      </c>
      <c r="E237" s="1"/>
      <c r="F237" s="1"/>
      <c r="G237" s="1"/>
      <c r="H237" s="1"/>
    </row>
    <row r="238" spans="1:8" ht="15.5" x14ac:dyDescent="0.35">
      <c r="A238" s="152" t="s">
        <v>42</v>
      </c>
      <c r="B238" s="153"/>
      <c r="C238" s="153"/>
      <c r="D238" s="153"/>
      <c r="E238" s="1"/>
      <c r="F238" s="1"/>
      <c r="G238" s="1"/>
      <c r="H238" s="1"/>
    </row>
    <row r="239" spans="1:8" ht="15.5" x14ac:dyDescent="0.35">
      <c r="A239" s="151" t="s">
        <v>41</v>
      </c>
      <c r="B239" s="151"/>
      <c r="C239" s="151"/>
      <c r="D239" s="22">
        <f>E172</f>
        <v>281</v>
      </c>
      <c r="E239" s="1"/>
      <c r="F239" s="1"/>
      <c r="G239" s="1"/>
      <c r="H239" s="1"/>
    </row>
    <row r="240" spans="1:8" ht="15.5" x14ac:dyDescent="0.35">
      <c r="A240" s="151" t="s">
        <v>40</v>
      </c>
      <c r="B240" s="151"/>
      <c r="C240" s="151"/>
      <c r="D240" s="22">
        <f>E173</f>
        <v>2810</v>
      </c>
      <c r="E240" s="1"/>
      <c r="F240" s="1"/>
      <c r="G240" s="1"/>
      <c r="H240" s="1"/>
    </row>
    <row r="241" spans="1:8" ht="15.5" x14ac:dyDescent="0.35">
      <c r="A241" s="151" t="s">
        <v>8</v>
      </c>
      <c r="B241" s="151"/>
      <c r="C241" s="154">
        <v>4</v>
      </c>
      <c r="D241" s="21">
        <f>VLOOKUP(C241,L167:M177,2,FALSE)</f>
        <v>1.27</v>
      </c>
      <c r="E241" s="1"/>
      <c r="F241" s="1"/>
      <c r="G241" s="1"/>
      <c r="H241" s="1"/>
    </row>
    <row r="242" spans="1:8" ht="15.5" x14ac:dyDescent="0.35">
      <c r="A242" s="151"/>
      <c r="B242" s="151"/>
      <c r="C242" s="154"/>
      <c r="D242" s="20">
        <f>VLOOKUP(C241,N167:O177,2,FALSE)</f>
        <v>1.2667716600000001</v>
      </c>
      <c r="E242" s="1"/>
      <c r="F242" s="1"/>
      <c r="G242" s="1"/>
      <c r="H242" s="1"/>
    </row>
    <row r="243" spans="1:8" ht="15.5" x14ac:dyDescent="0.35">
      <c r="A243" s="155"/>
      <c r="B243" s="155"/>
      <c r="C243" s="155"/>
      <c r="D243" s="155"/>
      <c r="F243" s="1"/>
      <c r="G243" s="1"/>
      <c r="H243" s="1"/>
    </row>
    <row r="244" spans="1:8" ht="15.5" x14ac:dyDescent="0.35">
      <c r="A244" s="121" t="s">
        <v>5</v>
      </c>
      <c r="B244" s="121"/>
      <c r="C244" s="121"/>
      <c r="D244" s="18">
        <f>(E168-E181-E181)</f>
        <v>30</v>
      </c>
      <c r="E244" s="1"/>
      <c r="F244" s="1"/>
      <c r="G244" s="1"/>
      <c r="H244" s="1"/>
    </row>
    <row r="245" spans="1:8" ht="15.5" x14ac:dyDescent="0.35">
      <c r="A245" s="133" t="s">
        <v>4</v>
      </c>
      <c r="B245" s="134"/>
      <c r="C245" s="135"/>
      <c r="D245" s="18">
        <f>(E167-E181-E181)</f>
        <v>30</v>
      </c>
      <c r="E245" s="1"/>
      <c r="F245" s="1"/>
      <c r="G245" s="1"/>
      <c r="H245" s="1"/>
    </row>
    <row r="246" spans="1:8" ht="15.5" x14ac:dyDescent="0.35">
      <c r="A246" s="121" t="s">
        <v>39</v>
      </c>
      <c r="B246" s="121"/>
      <c r="C246" s="121"/>
      <c r="D246" s="20">
        <f>D234*D235</f>
        <v>1600</v>
      </c>
      <c r="E246" s="1"/>
      <c r="F246" s="1"/>
      <c r="G246" s="1"/>
      <c r="H246" s="1"/>
    </row>
    <row r="247" spans="1:8" ht="15.5" x14ac:dyDescent="0.35">
      <c r="A247" s="121" t="s">
        <v>38</v>
      </c>
      <c r="B247" s="121"/>
      <c r="C247" s="121"/>
      <c r="D247" s="20">
        <f>D244*D245</f>
        <v>900</v>
      </c>
      <c r="E247" s="1"/>
      <c r="F247" s="1"/>
      <c r="G247" s="1"/>
      <c r="H247" s="1"/>
    </row>
    <row r="248" spans="1:8" ht="15.5" x14ac:dyDescent="0.35">
      <c r="A248" s="121" t="s">
        <v>37</v>
      </c>
      <c r="B248" s="121"/>
      <c r="C248" s="121"/>
      <c r="D248" s="18">
        <f>E181</f>
        <v>5</v>
      </c>
      <c r="E248" s="1"/>
      <c r="F248" s="1"/>
      <c r="G248" s="1"/>
      <c r="H248" s="1"/>
    </row>
    <row r="249" spans="1:8" ht="15.5" x14ac:dyDescent="0.35">
      <c r="A249" s="1"/>
      <c r="B249" s="1"/>
      <c r="C249" s="1"/>
      <c r="D249" s="1"/>
      <c r="E249" s="1"/>
      <c r="F249" s="1"/>
      <c r="G249" s="1"/>
      <c r="H249" s="1"/>
    </row>
    <row r="250" spans="1:8" ht="15.5" x14ac:dyDescent="0.35">
      <c r="A250" s="156" t="s">
        <v>36</v>
      </c>
      <c r="B250" s="156"/>
      <c r="C250" s="156"/>
      <c r="D250" s="156"/>
      <c r="E250" s="156"/>
      <c r="F250" s="156"/>
      <c r="G250" s="156"/>
      <c r="H250" s="156"/>
    </row>
    <row r="251" spans="1:8" ht="15.5" x14ac:dyDescent="0.35">
      <c r="A251" s="1"/>
      <c r="B251" s="1"/>
      <c r="C251" s="1"/>
      <c r="D251" s="1"/>
      <c r="E251" s="1"/>
      <c r="F251" s="1"/>
      <c r="G251" s="1"/>
      <c r="H251" s="1"/>
    </row>
    <row r="252" spans="1:8" ht="15.5" x14ac:dyDescent="0.35">
      <c r="A252" s="5" t="s">
        <v>35</v>
      </c>
      <c r="B252" s="19">
        <f>(D236)/6</f>
        <v>66.666666666666671</v>
      </c>
      <c r="C252" s="5" t="s">
        <v>1</v>
      </c>
      <c r="D252" s="1"/>
      <c r="E252" s="1"/>
      <c r="F252" s="1"/>
      <c r="G252" s="1"/>
      <c r="H252" s="1"/>
    </row>
    <row r="253" spans="1:8" ht="15.5" x14ac:dyDescent="0.35">
      <c r="A253" s="5" t="s">
        <v>34</v>
      </c>
      <c r="B253" s="18">
        <f>D235</f>
        <v>40</v>
      </c>
      <c r="C253" s="5" t="s">
        <v>1</v>
      </c>
      <c r="D253" s="1"/>
      <c r="E253" s="1"/>
      <c r="F253" s="1"/>
      <c r="G253" s="1"/>
      <c r="H253" s="1"/>
    </row>
    <row r="254" spans="1:8" ht="15.5" x14ac:dyDescent="0.35">
      <c r="A254" s="5" t="s">
        <v>33</v>
      </c>
      <c r="B254" s="17">
        <f>18*2.54</f>
        <v>45.72</v>
      </c>
      <c r="C254" s="5" t="s">
        <v>1</v>
      </c>
      <c r="D254" s="1"/>
      <c r="E254" s="1"/>
      <c r="F254" s="1"/>
      <c r="G254" s="1"/>
      <c r="H254" s="1"/>
    </row>
    <row r="255" spans="1:8" ht="15.5" x14ac:dyDescent="0.35">
      <c r="A255" s="1"/>
      <c r="B255" s="1"/>
      <c r="C255" s="1"/>
      <c r="D255" s="1"/>
      <c r="E255" s="1"/>
      <c r="F255" s="1"/>
      <c r="G255" s="1"/>
      <c r="H255" s="1"/>
    </row>
    <row r="256" spans="1:8" ht="18.5" x14ac:dyDescent="0.45">
      <c r="A256" s="15" t="s">
        <v>32</v>
      </c>
      <c r="B256" s="16">
        <f>MAXA(B252,B253,B254)</f>
        <v>66.666666666666671</v>
      </c>
      <c r="C256" s="15" t="s">
        <v>1</v>
      </c>
      <c r="D256" s="1"/>
      <c r="E256" s="1"/>
      <c r="F256" s="1"/>
      <c r="G256" s="1"/>
      <c r="H256" s="1"/>
    </row>
    <row r="257" spans="1:18" ht="15.5" x14ac:dyDescent="0.35">
      <c r="A257" s="1"/>
      <c r="B257" s="1"/>
      <c r="C257" s="1"/>
      <c r="D257" s="1"/>
      <c r="E257" s="1"/>
      <c r="F257" s="1"/>
      <c r="G257" s="1"/>
      <c r="H257" s="1"/>
    </row>
    <row r="258" spans="1:18" ht="15.5" x14ac:dyDescent="0.35">
      <c r="A258" s="156" t="s">
        <v>31</v>
      </c>
      <c r="B258" s="156"/>
      <c r="C258" s="156"/>
      <c r="D258" s="156"/>
      <c r="E258" s="156"/>
      <c r="F258" s="156"/>
      <c r="G258" s="156"/>
      <c r="H258" s="156"/>
    </row>
    <row r="259" spans="1:18" ht="15.5" x14ac:dyDescent="0.35">
      <c r="A259" s="1"/>
      <c r="B259" s="1"/>
      <c r="C259" s="1"/>
      <c r="D259" s="1"/>
      <c r="E259" s="1"/>
      <c r="F259" s="1"/>
      <c r="G259" s="1"/>
      <c r="H259" s="1"/>
    </row>
    <row r="260" spans="1:18" ht="15.5" x14ac:dyDescent="0.35">
      <c r="A260" s="14" t="s">
        <v>30</v>
      </c>
      <c r="B260" s="13">
        <f>0.45*(D239/D240)*((0.2*0.2)/(0.15*0.15)-1)</f>
        <v>3.5000000000000017E-2</v>
      </c>
      <c r="C260" s="1"/>
      <c r="D260" s="1"/>
      <c r="E260" s="1"/>
      <c r="F260" s="1"/>
      <c r="G260" s="1"/>
      <c r="H260" s="1"/>
    </row>
    <row r="261" spans="1:18" ht="15.5" x14ac:dyDescent="0.35">
      <c r="A261" s="1"/>
      <c r="B261" s="1"/>
      <c r="C261" s="1"/>
      <c r="D261" s="1"/>
      <c r="E261" s="1"/>
      <c r="F261" s="1"/>
      <c r="G261" s="1"/>
      <c r="H261" s="1"/>
    </row>
    <row r="262" spans="1:18" ht="15.5" x14ac:dyDescent="0.35">
      <c r="A262" s="156" t="s">
        <v>29</v>
      </c>
      <c r="B262" s="156"/>
      <c r="C262" s="156"/>
      <c r="D262" s="156"/>
      <c r="E262" s="156"/>
      <c r="F262" s="156"/>
      <c r="G262" s="156"/>
      <c r="H262" s="156"/>
    </row>
    <row r="263" spans="1:18" ht="15.5" x14ac:dyDescent="0.35">
      <c r="A263" s="1"/>
      <c r="B263" s="1"/>
      <c r="C263" s="1"/>
      <c r="D263" s="1"/>
      <c r="E263" s="1"/>
      <c r="F263" s="1"/>
      <c r="G263" s="1"/>
      <c r="H263" s="1"/>
    </row>
    <row r="264" spans="1:18" ht="15.5" x14ac:dyDescent="0.35">
      <c r="A264" s="5"/>
      <c r="B264" s="12"/>
      <c r="C264" s="5"/>
      <c r="J264" s="11">
        <f>(4/3)*Q264</f>
        <v>3.3866666666666667</v>
      </c>
      <c r="K264" s="1" t="s">
        <v>28</v>
      </c>
      <c r="L264" s="1" t="s">
        <v>27</v>
      </c>
      <c r="M264" s="1" t="s">
        <v>26</v>
      </c>
      <c r="N264" s="1"/>
      <c r="P264" s="10" t="s">
        <v>25</v>
      </c>
      <c r="Q264">
        <f>2.54*1</f>
        <v>2.54</v>
      </c>
      <c r="R264" t="s">
        <v>24</v>
      </c>
    </row>
    <row r="265" spans="1:18" ht="18.5" x14ac:dyDescent="0.45">
      <c r="A265" s="157"/>
      <c r="B265" s="157"/>
      <c r="C265" s="157"/>
      <c r="J265" s="11">
        <f>16*Q265</f>
        <v>30.48</v>
      </c>
      <c r="K265" s="1" t="s">
        <v>23</v>
      </c>
      <c r="L265" s="1" t="s">
        <v>22</v>
      </c>
      <c r="M265" s="1" t="s">
        <v>21</v>
      </c>
      <c r="N265" s="1"/>
      <c r="P265" s="10" t="s">
        <v>20</v>
      </c>
      <c r="Q265">
        <f>6*(2.54/8)</f>
        <v>1.905</v>
      </c>
    </row>
    <row r="266" spans="1:18" ht="15.5" x14ac:dyDescent="0.35">
      <c r="A266" s="118"/>
      <c r="B266" s="118"/>
      <c r="C266" s="118"/>
      <c r="J266" s="11">
        <f>48*Q266</f>
        <v>60.96</v>
      </c>
      <c r="K266" s="1" t="s">
        <v>19</v>
      </c>
      <c r="L266" s="1"/>
      <c r="M266" s="1"/>
      <c r="N266" s="1"/>
      <c r="P266" s="10" t="s">
        <v>18</v>
      </c>
      <c r="Q266">
        <f>4*(2.54/8)</f>
        <v>1.27</v>
      </c>
    </row>
    <row r="267" spans="1:18" ht="15.5" x14ac:dyDescent="0.35">
      <c r="A267" s="1"/>
      <c r="B267" s="1"/>
      <c r="C267" s="1"/>
      <c r="J267" s="11">
        <v>30</v>
      </c>
      <c r="K267" s="1" t="s">
        <v>17</v>
      </c>
      <c r="L267" s="1"/>
      <c r="M267" s="1"/>
      <c r="N267" s="1"/>
      <c r="P267" s="10"/>
    </row>
    <row r="268" spans="1:18" ht="15.5" x14ac:dyDescent="0.35">
      <c r="A268" s="162" t="s">
        <v>16</v>
      </c>
      <c r="B268" s="162"/>
      <c r="C268" s="162"/>
      <c r="D268" s="162"/>
      <c r="E268" s="162"/>
      <c r="F268" s="162"/>
      <c r="G268" s="1"/>
      <c r="H268" s="1"/>
    </row>
    <row r="269" spans="1:18" ht="15.5" x14ac:dyDescent="0.35">
      <c r="A269" s="9" t="s">
        <v>15</v>
      </c>
      <c r="B269" s="163" t="s">
        <v>14</v>
      </c>
      <c r="C269" s="163"/>
      <c r="D269" s="163"/>
      <c r="E269" s="163"/>
      <c r="F269" s="163"/>
      <c r="G269" s="1"/>
      <c r="H269" s="1"/>
    </row>
    <row r="270" spans="1:18" ht="15.5" x14ac:dyDescent="0.35">
      <c r="A270" s="9" t="s">
        <v>13</v>
      </c>
      <c r="B270" s="163" t="s">
        <v>12</v>
      </c>
      <c r="C270" s="163"/>
      <c r="D270" s="163"/>
      <c r="E270" s="163"/>
      <c r="F270" s="163"/>
      <c r="G270" s="1"/>
      <c r="H270" s="1"/>
    </row>
    <row r="271" spans="1:18" ht="15.5" x14ac:dyDescent="0.35">
      <c r="A271" s="9" t="s">
        <v>11</v>
      </c>
      <c r="B271" s="163" t="s">
        <v>10</v>
      </c>
      <c r="C271" s="163"/>
      <c r="D271" s="163"/>
      <c r="E271" s="163"/>
      <c r="F271" s="163"/>
      <c r="G271" s="1"/>
      <c r="H271" s="1"/>
    </row>
    <row r="272" spans="1:18" ht="15.5" x14ac:dyDescent="0.35">
      <c r="A272" s="1"/>
      <c r="B272" s="1"/>
      <c r="C272" s="1"/>
      <c r="D272" s="1"/>
      <c r="E272" s="1"/>
      <c r="F272" s="1"/>
      <c r="G272" s="1"/>
      <c r="H272" s="1"/>
    </row>
    <row r="273" spans="1:8" ht="18.5" x14ac:dyDescent="0.45">
      <c r="A273" s="8" t="s">
        <v>9</v>
      </c>
      <c r="B273" s="8"/>
      <c r="C273" s="8"/>
      <c r="D273" s="8"/>
      <c r="E273" s="8"/>
      <c r="F273" s="8"/>
      <c r="G273" s="7"/>
      <c r="H273" s="7"/>
    </row>
    <row r="274" spans="1:8" ht="15.5" x14ac:dyDescent="0.35">
      <c r="A274" s="1"/>
      <c r="B274" s="1"/>
      <c r="C274" s="1"/>
      <c r="D274" s="1"/>
      <c r="E274" s="1"/>
      <c r="F274" s="1"/>
      <c r="G274" s="1"/>
      <c r="H274" s="1"/>
    </row>
    <row r="275" spans="1:8" ht="15.5" x14ac:dyDescent="0.35">
      <c r="A275" s="151" t="s">
        <v>8</v>
      </c>
      <c r="B275" s="151"/>
      <c r="C275" s="164">
        <v>4</v>
      </c>
      <c r="D275" s="3">
        <f>VLOOKUP(C275,L167:M177,2,FALSE)</f>
        <v>1.27</v>
      </c>
      <c r="E275" s="5" t="s">
        <v>1</v>
      </c>
      <c r="F275" s="1"/>
      <c r="G275" s="1"/>
      <c r="H275" s="1"/>
    </row>
    <row r="276" spans="1:8" ht="15.5" x14ac:dyDescent="0.35">
      <c r="A276" s="151"/>
      <c r="B276" s="151"/>
      <c r="C276" s="164"/>
      <c r="D276" s="4">
        <f>VLOOKUP(C275,N167:O177,2,FALSE)</f>
        <v>1.2667716600000001</v>
      </c>
      <c r="E276" s="5" t="s">
        <v>7</v>
      </c>
      <c r="F276" s="1"/>
      <c r="G276" s="1"/>
      <c r="H276" s="1"/>
    </row>
    <row r="277" spans="1:8" ht="15.5" x14ac:dyDescent="0.35">
      <c r="A277" s="1"/>
      <c r="B277" s="1"/>
      <c r="C277" s="1"/>
      <c r="D277" s="1"/>
      <c r="E277" s="1"/>
      <c r="F277" s="1"/>
      <c r="G277" s="1"/>
      <c r="H277" s="1"/>
    </row>
    <row r="278" spans="1:8" ht="15.5" x14ac:dyDescent="0.35">
      <c r="A278" s="3" t="s">
        <v>2</v>
      </c>
      <c r="B278" s="4">
        <f>(2*D276)/(D244*B260)</f>
        <v>2.4128983999999991</v>
      </c>
      <c r="C278" s="3" t="s">
        <v>1</v>
      </c>
      <c r="D278" s="1"/>
      <c r="E278" s="1"/>
      <c r="F278" s="1"/>
      <c r="G278" s="1"/>
      <c r="H278" s="1"/>
    </row>
    <row r="279" spans="1:8" ht="18.5" x14ac:dyDescent="0.45">
      <c r="A279" s="157" t="str">
        <f>IF(B278&gt;3,"CHEQUEA","NO CHEQUEA")</f>
        <v>NO CHEQUEA</v>
      </c>
      <c r="B279" s="157"/>
      <c r="C279" s="157"/>
      <c r="D279" s="1"/>
      <c r="E279" s="1"/>
      <c r="F279" s="1"/>
      <c r="G279" s="1"/>
      <c r="H279" s="1"/>
    </row>
    <row r="280" spans="1:8" ht="15.5" x14ac:dyDescent="0.35">
      <c r="A280" s="158"/>
      <c r="B280" s="159"/>
      <c r="C280" s="160"/>
      <c r="D280" s="1"/>
      <c r="E280" s="1"/>
      <c r="F280" s="1"/>
      <c r="G280" s="1"/>
      <c r="H280" s="1"/>
    </row>
    <row r="281" spans="1:8" ht="15.5" x14ac:dyDescent="0.35">
      <c r="A281" s="1"/>
      <c r="B281" s="1"/>
      <c r="C281" s="1"/>
      <c r="D281" s="1"/>
      <c r="E281" s="1"/>
      <c r="F281" s="1"/>
      <c r="G281" s="1"/>
      <c r="H281" s="1"/>
    </row>
    <row r="282" spans="1:8" ht="18.5" x14ac:dyDescent="0.45">
      <c r="A282" s="8" t="s">
        <v>6</v>
      </c>
      <c r="B282" s="8"/>
      <c r="C282" s="8"/>
      <c r="D282" s="8"/>
      <c r="E282" s="8"/>
      <c r="F282" s="8"/>
      <c r="G282" s="7"/>
      <c r="H282" s="7"/>
    </row>
    <row r="283" spans="1:8" ht="15.5" x14ac:dyDescent="0.35">
      <c r="A283" s="1"/>
      <c r="B283" s="1"/>
      <c r="C283" s="1"/>
      <c r="D283" s="1"/>
      <c r="E283" s="1"/>
      <c r="F283" s="1"/>
      <c r="G283" s="1"/>
      <c r="H283" s="1"/>
    </row>
    <row r="284" spans="1:8" ht="15.5" x14ac:dyDescent="0.35">
      <c r="A284" s="5" t="s">
        <v>5</v>
      </c>
      <c r="B284" s="6">
        <f>D244/2</f>
        <v>15</v>
      </c>
      <c r="C284" s="5" t="s">
        <v>1</v>
      </c>
      <c r="D284" s="1"/>
      <c r="E284" s="1"/>
      <c r="F284" s="1"/>
      <c r="G284" s="1"/>
      <c r="H284" s="1"/>
    </row>
    <row r="285" spans="1:8" ht="15.5" x14ac:dyDescent="0.35">
      <c r="A285" s="5" t="s">
        <v>4</v>
      </c>
      <c r="B285" s="5">
        <f>D245/2</f>
        <v>15</v>
      </c>
      <c r="C285" s="5" t="s">
        <v>1</v>
      </c>
      <c r="D285" s="1"/>
      <c r="E285" s="1"/>
      <c r="F285" s="1"/>
      <c r="G285" s="1"/>
      <c r="H285" s="1"/>
    </row>
    <row r="286" spans="1:8" ht="15.5" x14ac:dyDescent="0.35">
      <c r="A286" s="1"/>
      <c r="B286" s="1"/>
      <c r="C286" s="1"/>
      <c r="D286" s="1"/>
      <c r="E286" s="1"/>
      <c r="F286" s="1"/>
      <c r="G286" s="1"/>
      <c r="H286" s="1"/>
    </row>
    <row r="287" spans="1:8" ht="15.5" x14ac:dyDescent="0.35">
      <c r="A287" s="3" t="s">
        <v>3</v>
      </c>
      <c r="B287" s="3">
        <f>MAXA(B284,B285)</f>
        <v>15</v>
      </c>
      <c r="C287" s="3" t="s">
        <v>1</v>
      </c>
      <c r="D287" s="1"/>
      <c r="E287" s="1"/>
      <c r="F287" s="1"/>
      <c r="G287" s="1"/>
      <c r="H287" s="1"/>
    </row>
    <row r="288" spans="1:8" ht="15.5" x14ac:dyDescent="0.35">
      <c r="A288" s="3" t="s">
        <v>2</v>
      </c>
      <c r="B288" s="4">
        <f>(2*D242)/(B287*B260)</f>
        <v>4.8257967999999982</v>
      </c>
      <c r="C288" s="3" t="s">
        <v>1</v>
      </c>
      <c r="D288" s="1"/>
      <c r="E288" s="1"/>
      <c r="F288" s="1"/>
      <c r="G288" s="1"/>
      <c r="H288" s="1"/>
    </row>
    <row r="289" spans="1:8" ht="15.5" x14ac:dyDescent="0.35">
      <c r="A289" s="1"/>
      <c r="B289" s="1" t="s">
        <v>0</v>
      </c>
      <c r="C289" s="1"/>
      <c r="D289" s="1"/>
      <c r="E289" s="1"/>
      <c r="F289" s="1"/>
      <c r="G289" s="1"/>
      <c r="H289" s="1"/>
    </row>
    <row r="290" spans="1:8" ht="21" x14ac:dyDescent="0.5">
      <c r="A290" s="161" t="str">
        <f>IF(B288&gt;3,"CHEQUEA","NO CHQUEA")</f>
        <v>CHEQUEA</v>
      </c>
      <c r="B290" s="161"/>
      <c r="C290" s="161"/>
      <c r="D290" s="1"/>
      <c r="E290" s="1"/>
      <c r="F290" s="1"/>
      <c r="G290" s="1"/>
      <c r="H290" s="1"/>
    </row>
    <row r="291" spans="1:8" ht="15.5" x14ac:dyDescent="0.35">
      <c r="A291" s="2"/>
      <c r="B291" s="2"/>
      <c r="C291" s="2"/>
      <c r="D291" s="1"/>
      <c r="E291" s="1"/>
      <c r="F291" s="1"/>
      <c r="G291" s="1"/>
      <c r="H291" s="1"/>
    </row>
    <row r="292" spans="1:8" ht="15.5" x14ac:dyDescent="0.35">
      <c r="A292" s="1"/>
      <c r="B292" s="1"/>
      <c r="C292" s="1"/>
      <c r="D292" s="1"/>
      <c r="E292" s="1"/>
      <c r="F292" s="1"/>
      <c r="G292" s="1"/>
      <c r="H292" s="1"/>
    </row>
  </sheetData>
  <mergeCells count="106">
    <mergeCell ref="A248:C248"/>
    <mergeCell ref="A250:H250"/>
    <mergeCell ref="A258:H258"/>
    <mergeCell ref="A262:H262"/>
    <mergeCell ref="A265:C265"/>
    <mergeCell ref="A279:C279"/>
    <mergeCell ref="A280:C280"/>
    <mergeCell ref="A290:C290"/>
    <mergeCell ref="A266:C266"/>
    <mergeCell ref="A268:F268"/>
    <mergeCell ref="B269:F269"/>
    <mergeCell ref="B270:F270"/>
    <mergeCell ref="B271:F271"/>
    <mergeCell ref="A275:B276"/>
    <mergeCell ref="C275:C276"/>
    <mergeCell ref="A239:C239"/>
    <mergeCell ref="A240:C240"/>
    <mergeCell ref="A241:B242"/>
    <mergeCell ref="C241:C242"/>
    <mergeCell ref="A243:D243"/>
    <mergeCell ref="A244:C244"/>
    <mergeCell ref="A245:C245"/>
    <mergeCell ref="A246:C246"/>
    <mergeCell ref="A247:C247"/>
    <mergeCell ref="A223:A224"/>
    <mergeCell ref="A226:H226"/>
    <mergeCell ref="D229:E229"/>
    <mergeCell ref="A233:D233"/>
    <mergeCell ref="A234:C234"/>
    <mergeCell ref="A235:C235"/>
    <mergeCell ref="A236:C236"/>
    <mergeCell ref="A237:C237"/>
    <mergeCell ref="A238:D238"/>
    <mergeCell ref="A193:A194"/>
    <mergeCell ref="A197:H197"/>
    <mergeCell ref="A202:H202"/>
    <mergeCell ref="A209:H209"/>
    <mergeCell ref="A213:C213"/>
    <mergeCell ref="E213:G213"/>
    <mergeCell ref="C214:C216"/>
    <mergeCell ref="G214:G216"/>
    <mergeCell ref="A218:H218"/>
    <mergeCell ref="A177:F177"/>
    <mergeCell ref="A178:D178"/>
    <mergeCell ref="A179:D179"/>
    <mergeCell ref="A180:D180"/>
    <mergeCell ref="A181:D181"/>
    <mergeCell ref="A184:H184"/>
    <mergeCell ref="A186:B186"/>
    <mergeCell ref="A187:B187"/>
    <mergeCell ref="A188:B188"/>
    <mergeCell ref="A168:D168"/>
    <mergeCell ref="A169:D169"/>
    <mergeCell ref="A170:D170"/>
    <mergeCell ref="A171:F171"/>
    <mergeCell ref="A172:D172"/>
    <mergeCell ref="A173:D173"/>
    <mergeCell ref="A174:C175"/>
    <mergeCell ref="D174:D175"/>
    <mergeCell ref="A176:D176"/>
    <mergeCell ref="A148:H148"/>
    <mergeCell ref="A151:B151"/>
    <mergeCell ref="A153:H153"/>
    <mergeCell ref="J165:J166"/>
    <mergeCell ref="K165:K166"/>
    <mergeCell ref="M165:M166"/>
    <mergeCell ref="O165:O166"/>
    <mergeCell ref="A166:F166"/>
    <mergeCell ref="A167:D167"/>
    <mergeCell ref="E121:E122"/>
    <mergeCell ref="F121:F122"/>
    <mergeCell ref="G121:H121"/>
    <mergeCell ref="A125:F125"/>
    <mergeCell ref="A130:C130"/>
    <mergeCell ref="A135:H135"/>
    <mergeCell ref="G137:H137"/>
    <mergeCell ref="A140:A141"/>
    <mergeCell ref="A144:H144"/>
    <mergeCell ref="A104:E104"/>
    <mergeCell ref="A105:B105"/>
    <mergeCell ref="A106:B106"/>
    <mergeCell ref="G106:H107"/>
    <mergeCell ref="A107:B107"/>
    <mergeCell ref="A108:B108"/>
    <mergeCell ref="A113:E113"/>
    <mergeCell ref="D114:D115"/>
    <mergeCell ref="A117:E117"/>
    <mergeCell ref="A67:C67"/>
    <mergeCell ref="A71:H71"/>
    <mergeCell ref="F74:G74"/>
    <mergeCell ref="A78:A79"/>
    <mergeCell ref="A82:H82"/>
    <mergeCell ref="A87:H87"/>
    <mergeCell ref="A90:B90"/>
    <mergeCell ref="A93:H93"/>
    <mergeCell ref="A102:H102"/>
    <mergeCell ref="A1:E1"/>
    <mergeCell ref="G7:H7"/>
    <mergeCell ref="A11:H11"/>
    <mergeCell ref="D12:D13"/>
    <mergeCell ref="F42:G43"/>
    <mergeCell ref="A50:E50"/>
    <mergeCell ref="D51:D52"/>
    <mergeCell ref="E58:E59"/>
    <mergeCell ref="F58:F59"/>
    <mergeCell ref="G58:H58"/>
  </mergeCells>
  <conditionalFormatting sqref="A90:B90">
    <cfRule type="containsText" dxfId="11" priority="8" operator="containsText" text="SI CUMPLE">
      <formula>NOT(ISERROR(SEARCH("SI CUMPLE",A90)))</formula>
    </cfRule>
    <cfRule type="containsText" dxfId="10" priority="9" operator="containsText" text="NO CUMPLE">
      <formula>NOT(ISERROR(SEARCH("NO CUMPLE",A90)))</formula>
    </cfRule>
  </conditionalFormatting>
  <conditionalFormatting sqref="A151:B151">
    <cfRule type="containsText" dxfId="9" priority="5" operator="containsText" text="No Cumple">
      <formula>NOT(ISERROR(SEARCH("No Cumple",A151)))</formula>
    </cfRule>
    <cfRule type="containsText" dxfId="8" priority="6" operator="containsText" text="SI CUMPLE">
      <formula>NOT(ISERROR(SEARCH("SI CUMPLE",A151)))</formula>
    </cfRule>
  </conditionalFormatting>
  <conditionalFormatting sqref="A67:C67 A130:C130">
    <cfRule type="containsText" dxfId="7" priority="7" operator="containsText" text="NO">
      <formula>NOT(ISERROR(SEARCH("NO",A67)))</formula>
    </cfRule>
  </conditionalFormatting>
  <conditionalFormatting sqref="B3:B5">
    <cfRule type="containsText" dxfId="6" priority="10" operator="containsText" text="OK">
      <formula>NOT(ISERROR(SEARCH("OK",B3)))</formula>
    </cfRule>
  </conditionalFormatting>
  <conditionalFormatting sqref="C186">
    <cfRule type="cellIs" dxfId="5" priority="3" operator="lessThan">
      <formula>$C$188</formula>
    </cfRule>
    <cfRule type="cellIs" dxfId="4" priority="4" operator="greaterThan">
      <formula>$C$188</formula>
    </cfRule>
  </conditionalFormatting>
  <conditionalFormatting sqref="D12:D13">
    <cfRule type="containsText" dxfId="3" priority="11" operator="containsText" text="OK">
      <formula>NOT(ISERROR(SEARCH("OK",D12)))</formula>
    </cfRule>
    <cfRule type="containsText" dxfId="2" priority="12" operator="containsText" text="NO OK">
      <formula>NOT(ISERROR(SEARCH("NO OK",D12)))</formula>
    </cfRule>
  </conditionalFormatting>
  <conditionalFormatting sqref="D229:E229">
    <cfRule type="containsText" dxfId="1" priority="1" operator="containsText" text="NO CUMPLE">
      <formula>NOT(ISERROR(SEARCH("NO CUMPLE",D229)))</formula>
    </cfRule>
    <cfRule type="containsText" dxfId="0" priority="2" operator="containsText" text="SI CUMPLE">
      <formula>NOT(ISERROR(SEARCH("SI CUMPLE",D229)))</formula>
    </cfRule>
  </conditionalFormatting>
  <dataValidations count="2">
    <dataValidation type="list" allowBlank="1" showInputMessage="1" showErrorMessage="1" sqref="C275" xr:uid="{00000000-0002-0000-0000-000000000000}">
      <formula1>$J$162:$J$169</formula1>
    </dataValidation>
    <dataValidation type="list" allowBlank="1" showInputMessage="1" showErrorMessage="1" sqref="D174:D175 C241:C242" xr:uid="{00000000-0002-0000-0000-000001000000}">
      <formula1>$J$167:$J$177</formula1>
    </dataValidation>
  </dataValidations>
  <pageMargins left="0.7" right="0.7" top="0.75" bottom="0.75" header="0.3" footer="0.3"/>
  <pageSetup paperSize="9" scale="91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COLUMNA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familia santos</dc:creator>
  <cp:lastModifiedBy>Marlon Ivan Carreto Rivera</cp:lastModifiedBy>
  <dcterms:created xsi:type="dcterms:W3CDTF">2024-10-28T02:16:42Z</dcterms:created>
  <dcterms:modified xsi:type="dcterms:W3CDTF">2024-11-10T10:17:12Z</dcterms:modified>
</cp:coreProperties>
</file>