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MRod\OneDrive\Desktop\"/>
    </mc:Choice>
  </mc:AlternateContent>
  <xr:revisionPtr revIDLastSave="0" documentId="8_{6DFFE8F5-3048-487F-BA8E-6E8535808A6C}" xr6:coauthVersionLast="47" xr6:coauthVersionMax="47" xr10:uidLastSave="{00000000-0000-0000-0000-000000000000}"/>
  <bookViews>
    <workbookView xWindow="-108" yWindow="-108" windowWidth="23256" windowHeight="12456" xr2:uid="{AA84C412-A786-4AB4-B140-581F9BB62518}"/>
  </bookViews>
  <sheets>
    <sheet name="Hoja1" sheetId="1" r:id="rId1"/>
    <sheet name="Hoja2" sheetId="2" r:id="rId2"/>
  </sheets>
  <externalReferences>
    <externalReference r:id="rId3"/>
  </externalReferences>
  <definedNames>
    <definedName name="_xlnm.Print_Area" localSheetId="0">Hoja1!$AZ$16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D95" i="2"/>
  <c r="D87" i="2"/>
  <c r="D91" i="2" s="1"/>
  <c r="D90" i="2"/>
  <c r="D94" i="2" s="1"/>
  <c r="G90" i="2"/>
  <c r="G94" i="2" s="1"/>
  <c r="A90" i="2"/>
  <c r="A94" i="2" s="1"/>
  <c r="E40" i="2"/>
  <c r="H74" i="2"/>
  <c r="G74" i="2"/>
  <c r="F74" i="2"/>
  <c r="E74" i="2"/>
  <c r="D74" i="2"/>
  <c r="E70" i="2"/>
  <c r="D70" i="2"/>
  <c r="F68" i="2"/>
  <c r="F70" i="2" s="1"/>
  <c r="E68" i="2"/>
  <c r="D68" i="2"/>
  <c r="F66" i="2"/>
  <c r="E66" i="2"/>
  <c r="D66" i="2"/>
  <c r="F64" i="2"/>
  <c r="E64" i="2"/>
  <c r="D64" i="2"/>
  <c r="F62" i="2"/>
  <c r="E62" i="2"/>
  <c r="D62" i="2"/>
  <c r="G60" i="2"/>
  <c r="G62" i="2" s="1"/>
  <c r="G66" i="2" s="1"/>
  <c r="E60" i="2"/>
  <c r="D60" i="2"/>
  <c r="H58" i="2"/>
  <c r="I58" i="2" s="1"/>
  <c r="E58" i="2"/>
  <c r="D58" i="2"/>
  <c r="H55" i="2"/>
  <c r="E55" i="2"/>
  <c r="D55" i="2"/>
  <c r="H52" i="2"/>
  <c r="E52" i="2"/>
  <c r="D52" i="2"/>
  <c r="E48" i="2"/>
  <c r="H60" i="2" l="1"/>
  <c r="I60" i="2" s="1"/>
  <c r="J60" i="2" s="1"/>
  <c r="E71" i="2"/>
  <c r="E44" i="2"/>
  <c r="G68" i="2"/>
  <c r="H66" i="2"/>
  <c r="I66" i="2" s="1"/>
  <c r="H62" i="2"/>
  <c r="J58" i="2"/>
  <c r="G64" i="2"/>
  <c r="H64" i="2" s="1"/>
  <c r="I64" i="2" s="1"/>
  <c r="I52" i="2"/>
  <c r="J52" i="2" s="1"/>
  <c r="I55" i="2"/>
  <c r="J55" i="2" s="1"/>
  <c r="B39" i="2"/>
  <c r="B43" i="2" s="1"/>
  <c r="B47" i="2" s="1"/>
  <c r="E39" i="2"/>
  <c r="E43" i="2" s="1"/>
  <c r="E47" i="2" s="1"/>
  <c r="H39" i="2"/>
  <c r="H43" i="2" s="1"/>
  <c r="H47" i="2" s="1"/>
  <c r="J33" i="2"/>
  <c r="J34" i="2"/>
  <c r="J35" i="2"/>
  <c r="J36" i="2"/>
  <c r="J37" i="2"/>
  <c r="J31" i="2"/>
  <c r="E12" i="2"/>
  <c r="H26" i="2"/>
  <c r="G26" i="2"/>
  <c r="F26" i="2"/>
  <c r="E26" i="2"/>
  <c r="D26" i="2"/>
  <c r="D12" i="2"/>
  <c r="E24" i="2"/>
  <c r="D24" i="2"/>
  <c r="F22" i="2"/>
  <c r="F24" i="2" s="1"/>
  <c r="E22" i="2"/>
  <c r="D22" i="2"/>
  <c r="F20" i="2"/>
  <c r="E20" i="2"/>
  <c r="D20" i="2"/>
  <c r="E18" i="2"/>
  <c r="D18" i="2"/>
  <c r="F16" i="2"/>
  <c r="F18" i="2" s="1"/>
  <c r="E16" i="2"/>
  <c r="D16" i="2"/>
  <c r="F14" i="2"/>
  <c r="E14" i="2"/>
  <c r="D14" i="2"/>
  <c r="G12" i="2"/>
  <c r="G16" i="2" s="1"/>
  <c r="F12" i="2"/>
  <c r="H10" i="2"/>
  <c r="E10" i="2"/>
  <c r="D10" i="2"/>
  <c r="H7" i="2"/>
  <c r="E7" i="2"/>
  <c r="D7" i="2"/>
  <c r="H4" i="2"/>
  <c r="E4" i="2"/>
  <c r="D4" i="2"/>
  <c r="BK21" i="1"/>
  <c r="BJ23" i="1"/>
  <c r="BJ22" i="1"/>
  <c r="BJ21" i="1"/>
  <c r="BI23" i="1"/>
  <c r="BK23" i="1" s="1"/>
  <c r="BI22" i="1"/>
  <c r="BK22" i="1" s="1"/>
  <c r="BI21" i="1"/>
  <c r="BF23" i="1"/>
  <c r="BF22" i="1"/>
  <c r="BF21" i="1"/>
  <c r="BI17" i="1"/>
  <c r="BE18" i="1" s="1"/>
  <c r="BF5" i="1"/>
  <c r="BF4" i="1"/>
  <c r="BF3" i="1"/>
  <c r="H5" i="1"/>
  <c r="BG6" i="1"/>
  <c r="BF6" i="1"/>
  <c r="BC43" i="1"/>
  <c r="AZ43" i="1"/>
  <c r="BC35" i="1"/>
  <c r="BB35" i="1"/>
  <c r="BB34" i="1"/>
  <c r="AY34" i="1"/>
  <c r="BC34" i="1" s="1"/>
  <c r="AY35" i="1"/>
  <c r="AY33" i="1"/>
  <c r="BC40" i="1"/>
  <c r="BC39" i="1"/>
  <c r="BB39" i="1"/>
  <c r="BC38" i="1"/>
  <c r="BC37" i="1"/>
  <c r="BC36" i="1"/>
  <c r="BC33" i="1"/>
  <c r="AY20" i="1"/>
  <c r="BC20" i="1" s="1"/>
  <c r="AY25" i="1"/>
  <c r="BC25" i="1" s="1"/>
  <c r="BC10" i="1"/>
  <c r="BC4" i="1"/>
  <c r="BC8" i="1"/>
  <c r="BC3" i="1"/>
  <c r="BB10" i="1"/>
  <c r="BB4" i="1"/>
  <c r="BB8" i="1"/>
  <c r="AY10" i="1"/>
  <c r="AY27" i="1" s="1"/>
  <c r="AY9" i="1"/>
  <c r="BC9" i="1" s="1"/>
  <c r="AY4" i="1"/>
  <c r="AY21" i="1" s="1"/>
  <c r="AY5" i="1"/>
  <c r="AY22" i="1" s="1"/>
  <c r="BC22" i="1" s="1"/>
  <c r="AY6" i="1"/>
  <c r="BC6" i="1" s="1"/>
  <c r="AY7" i="1"/>
  <c r="BC7" i="1" s="1"/>
  <c r="AY8" i="1"/>
  <c r="AY3" i="1"/>
  <c r="BB3" i="1" s="1"/>
  <c r="AQ26" i="1"/>
  <c r="AT24" i="1"/>
  <c r="AR24" i="1"/>
  <c r="AQ24" i="1"/>
  <c r="AW22" i="1"/>
  <c r="AU22" i="1"/>
  <c r="AT22" i="1"/>
  <c r="AQ22" i="1"/>
  <c r="AS22" i="1"/>
  <c r="AA16" i="1"/>
  <c r="AO18" i="1" s="1"/>
  <c r="AA17" i="1"/>
  <c r="AO19" i="1" s="1"/>
  <c r="AA18" i="1"/>
  <c r="AO20" i="1" s="1"/>
  <c r="AA15" i="1"/>
  <c r="AO17" i="1" s="1"/>
  <c r="AA9" i="1"/>
  <c r="AO11" i="1" s="1"/>
  <c r="AA10" i="1"/>
  <c r="AO12" i="1" s="1"/>
  <c r="AA11" i="1"/>
  <c r="AO13" i="1" s="1"/>
  <c r="AA8" i="1"/>
  <c r="AO10" i="1" s="1"/>
  <c r="Y16" i="1"/>
  <c r="AM18" i="1" s="1"/>
  <c r="Y17" i="1"/>
  <c r="AM19" i="1" s="1"/>
  <c r="Y18" i="1"/>
  <c r="AM20" i="1" s="1"/>
  <c r="Y15" i="1"/>
  <c r="AM17" i="1" s="1"/>
  <c r="Y9" i="1"/>
  <c r="AM11" i="1" s="1"/>
  <c r="Y10" i="1"/>
  <c r="AM12" i="1" s="1"/>
  <c r="Y11" i="1"/>
  <c r="AM13" i="1" s="1"/>
  <c r="Y8" i="1"/>
  <c r="AM10" i="1" s="1"/>
  <c r="W16" i="1"/>
  <c r="AK18" i="1" s="1"/>
  <c r="W17" i="1"/>
  <c r="AK19" i="1" s="1"/>
  <c r="W18" i="1"/>
  <c r="AK20" i="1" s="1"/>
  <c r="W15" i="1"/>
  <c r="AK17" i="1" s="1"/>
  <c r="W9" i="1"/>
  <c r="AK11" i="1" s="1"/>
  <c r="W10" i="1"/>
  <c r="AK12" i="1" s="1"/>
  <c r="W11" i="1"/>
  <c r="AK13" i="1" s="1"/>
  <c r="W8" i="1"/>
  <c r="AK10" i="1" s="1"/>
  <c r="AP40" i="1"/>
  <c r="AK41" i="1"/>
  <c r="AG22" i="1"/>
  <c r="AF22" i="1"/>
  <c r="F18" i="1"/>
  <c r="B15" i="1"/>
  <c r="B40" i="2" l="1"/>
  <c r="A95" i="2" s="1"/>
  <c r="G95" i="2" s="1"/>
  <c r="J76" i="2"/>
  <c r="J82" i="2" s="1"/>
  <c r="J64" i="2"/>
  <c r="G70" i="2"/>
  <c r="H70" i="2" s="1"/>
  <c r="H68" i="2"/>
  <c r="J66" i="2"/>
  <c r="I62" i="2"/>
  <c r="J62" i="2" s="1"/>
  <c r="E25" i="2"/>
  <c r="G18" i="2"/>
  <c r="H18" i="2" s="1"/>
  <c r="I18" i="2" s="1"/>
  <c r="H16" i="2"/>
  <c r="I16" i="2" s="1"/>
  <c r="G20" i="2"/>
  <c r="J16" i="2"/>
  <c r="H12" i="2"/>
  <c r="I12" i="2" s="1"/>
  <c r="I10" i="2"/>
  <c r="J10" i="2" s="1"/>
  <c r="G14" i="2"/>
  <c r="H14" i="2" s="1"/>
  <c r="I14" i="2" s="1"/>
  <c r="I7" i="2"/>
  <c r="J7" i="2" s="1"/>
  <c r="I4" i="2"/>
  <c r="J4" i="2" s="1"/>
  <c r="BK24" i="1"/>
  <c r="BH22" i="1"/>
  <c r="BH21" i="1"/>
  <c r="BH23" i="1"/>
  <c r="BB27" i="1"/>
  <c r="BC27" i="1"/>
  <c r="BC11" i="1"/>
  <c r="BC16" i="1" s="1"/>
  <c r="BC21" i="1"/>
  <c r="BB21" i="1"/>
  <c r="BC5" i="1"/>
  <c r="BB20" i="1"/>
  <c r="AY11" i="1"/>
  <c r="AY28" i="1" s="1"/>
  <c r="AY41" i="1" s="1"/>
  <c r="AY26" i="1"/>
  <c r="BC26" i="1" s="1"/>
  <c r="BB9" i="1"/>
  <c r="AY24" i="1"/>
  <c r="BB5" i="1"/>
  <c r="AY23" i="1"/>
  <c r="BB23" i="1" s="1"/>
  <c r="BB7" i="1"/>
  <c r="BB6" i="1"/>
  <c r="BB11" i="1" s="1"/>
  <c r="AZ16" i="1" s="1"/>
  <c r="BC41" i="1"/>
  <c r="BB38" i="1"/>
  <c r="BB36" i="1"/>
  <c r="BB40" i="1"/>
  <c r="BB33" i="1"/>
  <c r="BB37" i="1"/>
  <c r="BB25" i="1"/>
  <c r="BB26" i="1"/>
  <c r="BC23" i="1"/>
  <c r="BC28" i="1" s="1"/>
  <c r="BC29" i="1" s="1"/>
  <c r="BB24" i="1"/>
  <c r="BB22" i="1"/>
  <c r="I39" i="1"/>
  <c r="N38" i="1"/>
  <c r="AL41" i="1"/>
  <c r="AP41" i="1"/>
  <c r="AN39" i="1"/>
  <c r="AW1" i="1" s="1"/>
  <c r="AP20" i="1"/>
  <c r="AP19" i="1"/>
  <c r="AT26" i="1" s="1"/>
  <c r="AP18" i="1"/>
  <c r="AS26" i="1" s="1"/>
  <c r="AP17" i="1"/>
  <c r="AR26" i="1" s="1"/>
  <c r="AW27" i="1" s="1"/>
  <c r="AP12" i="1"/>
  <c r="AP11" i="1"/>
  <c r="L37" i="1"/>
  <c r="U1" i="1" s="1"/>
  <c r="AB38" i="1"/>
  <c r="W39" i="1"/>
  <c r="X39" i="1" s="1"/>
  <c r="AI22" i="1"/>
  <c r="AC22" i="1"/>
  <c r="AE22" i="1"/>
  <c r="AB39" i="1"/>
  <c r="V1" i="1"/>
  <c r="AJ1" i="1" s="1"/>
  <c r="W1" i="1"/>
  <c r="AK1" i="1" s="1"/>
  <c r="X1" i="1"/>
  <c r="AL1" i="1" s="1"/>
  <c r="Y1" i="1"/>
  <c r="AM1" i="1" s="1"/>
  <c r="Z1" i="1"/>
  <c r="AN1" i="1" s="1"/>
  <c r="X2" i="1"/>
  <c r="AL2" i="1" s="1"/>
  <c r="Z37" i="1"/>
  <c r="AB18" i="1"/>
  <c r="AF24" i="1" s="1"/>
  <c r="AB17" i="1"/>
  <c r="AE24" i="1" s="1"/>
  <c r="AB16" i="1"/>
  <c r="AD24" i="1" s="1"/>
  <c r="AB15" i="1"/>
  <c r="AC24" i="1" s="1"/>
  <c r="S22" i="1"/>
  <c r="R22" i="1"/>
  <c r="O22" i="1"/>
  <c r="H40" i="2" l="1"/>
  <c r="H44" i="2" s="1"/>
  <c r="B44" i="2"/>
  <c r="B48" i="2"/>
  <c r="H48" i="2" s="1"/>
  <c r="J14" i="2"/>
  <c r="I70" i="2"/>
  <c r="J70" i="2"/>
  <c r="I68" i="2"/>
  <c r="J68" i="2"/>
  <c r="J75" i="2" s="1"/>
  <c r="J12" i="2"/>
  <c r="J28" i="2" s="1"/>
  <c r="G22" i="2"/>
  <c r="H20" i="2"/>
  <c r="J18" i="2"/>
  <c r="J27" i="2" s="1"/>
  <c r="BH24" i="1"/>
  <c r="AI2" i="1"/>
  <c r="BB28" i="1"/>
  <c r="AZ29" i="1" s="1"/>
  <c r="BB41" i="1"/>
  <c r="AI4" i="1"/>
  <c r="AI1" i="1"/>
  <c r="AI3" i="1" s="1"/>
  <c r="AW4" i="1"/>
  <c r="AU8" i="1" s="1"/>
  <c r="AW2" i="1"/>
  <c r="AW3" i="1" s="1"/>
  <c r="AW5" i="1" s="1"/>
  <c r="AU7" i="1" s="1"/>
  <c r="AN21" i="1"/>
  <c r="AE27" i="1"/>
  <c r="AB10" i="1"/>
  <c r="AE26" i="1" s="1"/>
  <c r="AB9" i="1"/>
  <c r="AD26" i="1" s="1"/>
  <c r="AB8" i="1"/>
  <c r="AC26" i="1" s="1"/>
  <c r="U22" i="1"/>
  <c r="Q22" i="1"/>
  <c r="Z19" i="1"/>
  <c r="AB11" i="1"/>
  <c r="AF26" i="1" s="1"/>
  <c r="J81" i="2" l="1"/>
  <c r="J78" i="2"/>
  <c r="J84" i="2" s="1"/>
  <c r="J77" i="2"/>
  <c r="J83" i="2" s="1"/>
  <c r="I20" i="2"/>
  <c r="J20" i="2"/>
  <c r="J29" i="2" s="1"/>
  <c r="H22" i="2"/>
  <c r="G24" i="2"/>
  <c r="H24" i="2" s="1"/>
  <c r="Z12" i="1"/>
  <c r="AD18" i="1" s="1"/>
  <c r="AI27" i="1"/>
  <c r="AG8" i="1"/>
  <c r="AI5" i="1"/>
  <c r="AG7" i="1" s="1"/>
  <c r="J39" i="1"/>
  <c r="N39" i="1"/>
  <c r="J79" i="2" l="1"/>
  <c r="J85" i="2"/>
  <c r="I24" i="2"/>
  <c r="J24" i="2"/>
  <c r="I22" i="2"/>
  <c r="J22" i="2" s="1"/>
  <c r="U4" i="1"/>
  <c r="S8" i="1" s="1"/>
  <c r="U2" i="1"/>
  <c r="AD22" i="1"/>
  <c r="AD19" i="1"/>
  <c r="N1" i="1"/>
  <c r="K2" i="1"/>
  <c r="N18" i="1"/>
  <c r="R24" i="1" s="1"/>
  <c r="N17" i="1"/>
  <c r="Q24" i="1" s="1"/>
  <c r="N16" i="1"/>
  <c r="P24" i="1" s="1"/>
  <c r="N15" i="1"/>
  <c r="O24" i="1" s="1"/>
  <c r="N11" i="1"/>
  <c r="R26" i="1" s="1"/>
  <c r="N10" i="1"/>
  <c r="Q26" i="1" s="1"/>
  <c r="N9" i="1"/>
  <c r="P26" i="1" s="1"/>
  <c r="N8" i="1"/>
  <c r="O26" i="1" s="1"/>
  <c r="D22" i="1"/>
  <c r="E22" i="1" s="1"/>
  <c r="D10" i="1"/>
  <c r="AL25" i="1" s="1"/>
  <c r="C10" i="1"/>
  <c r="B10" i="1"/>
  <c r="H2" i="1" s="1"/>
  <c r="J30" i="2" l="1"/>
  <c r="A87" i="2"/>
  <c r="U27" i="1"/>
  <c r="J5" i="1"/>
  <c r="AB1" i="1"/>
  <c r="AP1" i="1" s="1"/>
  <c r="AL5" i="1" s="1"/>
  <c r="U3" i="1"/>
  <c r="U5" i="1" s="1"/>
  <c r="S7" i="1" s="1"/>
  <c r="V2" i="1"/>
  <c r="I5" i="1"/>
  <c r="W2" i="1"/>
  <c r="AK2" i="1" s="1"/>
  <c r="AK5" i="1" s="1"/>
  <c r="K5" i="1"/>
  <c r="Y2" i="1"/>
  <c r="AM2" i="1" s="1"/>
  <c r="AM5" i="1" s="1"/>
  <c r="Q27" i="1"/>
  <c r="L12" i="1"/>
  <c r="N23" i="1" s="1"/>
  <c r="L19" i="1"/>
  <c r="J23" i="1" s="1"/>
  <c r="A91" i="2" l="1"/>
  <c r="G87" i="2"/>
  <c r="G91" i="2" s="1"/>
  <c r="V5" i="1"/>
  <c r="AJ2" i="1"/>
  <c r="AJ5" i="1" s="1"/>
  <c r="AP4" i="1" s="1"/>
  <c r="W5" i="1"/>
  <c r="Y5" i="1"/>
  <c r="AP10" i="1"/>
  <c r="X5" i="1"/>
  <c r="AB23" i="1"/>
  <c r="X23" i="1"/>
  <c r="L24" i="1"/>
  <c r="P18" i="1"/>
  <c r="N4" i="1"/>
  <c r="Z24" i="1" l="1"/>
  <c r="AP13" i="1"/>
  <c r="AN14" i="1" s="1"/>
  <c r="AB4" i="1"/>
  <c r="P22" i="1"/>
  <c r="P19" i="1"/>
  <c r="S29" i="1" s="1"/>
  <c r="AR18" i="1" l="1"/>
  <c r="AP25" i="1"/>
  <c r="AS24" i="1" s="1"/>
  <c r="AS27" i="1" s="1"/>
  <c r="AG29" i="1"/>
  <c r="AR22" i="1" l="1"/>
  <c r="AR19" i="1"/>
  <c r="AN26" i="1"/>
  <c r="AU29" i="1" l="1"/>
  <c r="AU33" i="1" s="1"/>
</calcChain>
</file>

<file path=xl/sharedStrings.xml><?xml version="1.0" encoding="utf-8"?>
<sst xmlns="http://schemas.openxmlformats.org/spreadsheetml/2006/main" count="499" uniqueCount="184">
  <si>
    <t xml:space="preserve"> </t>
  </si>
  <si>
    <t>CARGA (Kg/m^2)</t>
  </si>
  <si>
    <t>VIVA</t>
  </si>
  <si>
    <t>S-LOSA</t>
  </si>
  <si>
    <t>BAJO LOSA</t>
  </si>
  <si>
    <t>SOBRE CARGA</t>
  </si>
  <si>
    <t>TECHO</t>
  </si>
  <si>
    <t xml:space="preserve">ENTREPISO </t>
  </si>
  <si>
    <t>COLUMNAS</t>
  </si>
  <si>
    <t>VY</t>
  </si>
  <si>
    <t>VX</t>
  </si>
  <si>
    <t>Tipo</t>
  </si>
  <si>
    <t>CA</t>
  </si>
  <si>
    <t>V-1</t>
  </si>
  <si>
    <t>V-2</t>
  </si>
  <si>
    <t>Uso</t>
  </si>
  <si>
    <t>Bodega</t>
  </si>
  <si>
    <t>Base</t>
  </si>
  <si>
    <t xml:space="preserve">Ubicación </t>
  </si>
  <si>
    <t xml:space="preserve">Solola </t>
  </si>
  <si>
    <t>Altura</t>
  </si>
  <si>
    <t>Pisos</t>
  </si>
  <si>
    <t>Área</t>
  </si>
  <si>
    <t>MUROS</t>
  </si>
  <si>
    <t>ELEVADOR</t>
  </si>
  <si>
    <t>t</t>
  </si>
  <si>
    <t xml:space="preserve">Un lado corto </t>
  </si>
  <si>
    <t>ϒ</t>
  </si>
  <si>
    <t>w</t>
  </si>
  <si>
    <t>xm1</t>
  </si>
  <si>
    <t>Un lado Largo</t>
  </si>
  <si>
    <t>xm2</t>
  </si>
  <si>
    <t>Espesor</t>
  </si>
  <si>
    <t>Losa</t>
  </si>
  <si>
    <t>tcritico</t>
  </si>
  <si>
    <t>CONCRETO</t>
  </si>
  <si>
    <t>f´c</t>
  </si>
  <si>
    <t>W</t>
  </si>
  <si>
    <t>Ec</t>
  </si>
  <si>
    <t>Gc</t>
  </si>
  <si>
    <t>PESO DE COLUMNA (NIVEL 3)</t>
  </si>
  <si>
    <t>Elemento</t>
  </si>
  <si>
    <t xml:space="preserve">Columnas </t>
  </si>
  <si>
    <t>Muro 1</t>
  </si>
  <si>
    <t xml:space="preserve">Muro 2 </t>
  </si>
  <si>
    <t>Elevadores</t>
  </si>
  <si>
    <t>Cantidad</t>
  </si>
  <si>
    <t>Altura (m)</t>
  </si>
  <si>
    <t>EJE "Y"</t>
  </si>
  <si>
    <t>EJE A</t>
  </si>
  <si>
    <t>+</t>
  </si>
  <si>
    <t>EJE B</t>
  </si>
  <si>
    <t>EJE C</t>
  </si>
  <si>
    <t xml:space="preserve">EJE D </t>
  </si>
  <si>
    <t>Longirud"Y"</t>
  </si>
  <si>
    <t>EJE "X"</t>
  </si>
  <si>
    <t>EJE 1</t>
  </si>
  <si>
    <t>EJE 2</t>
  </si>
  <si>
    <t>EJE 3</t>
  </si>
  <si>
    <t>EJE 4</t>
  </si>
  <si>
    <t>Wviga-x</t>
  </si>
  <si>
    <t>Wviga-y</t>
  </si>
  <si>
    <t>Wtotal-vigas</t>
  </si>
  <si>
    <t>Longirud"X"</t>
  </si>
  <si>
    <t>Area de Columna</t>
  </si>
  <si>
    <t>Area de Muro 1</t>
  </si>
  <si>
    <t>Area de Muro 2</t>
  </si>
  <si>
    <t>Area de Elevador</t>
  </si>
  <si>
    <t>Peso especifico del concreto</t>
  </si>
  <si>
    <t>Wcol</t>
  </si>
  <si>
    <t>Wmuro1</t>
  </si>
  <si>
    <t>Wmuro2</t>
  </si>
  <si>
    <t>Welevador</t>
  </si>
  <si>
    <t>Wtotal-columnas</t>
  </si>
  <si>
    <t>CALCULO DE PESO POR LOSA (NIVEL 3)</t>
  </si>
  <si>
    <t>LOSA</t>
  </si>
  <si>
    <t>AREA</t>
  </si>
  <si>
    <t>Areatotal-losas</t>
  </si>
  <si>
    <t>Sobre Carga</t>
  </si>
  <si>
    <t>V1</t>
  </si>
  <si>
    <t>Peso Propio (Wp)</t>
  </si>
  <si>
    <t>Wp</t>
  </si>
  <si>
    <t>Wsc</t>
  </si>
  <si>
    <t>Peso Muerto (Wm)</t>
  </si>
  <si>
    <t>Wm</t>
  </si>
  <si>
    <t>Peso por carga viva (Wv)</t>
  </si>
  <si>
    <t>Wv</t>
  </si>
  <si>
    <t>Peso sísmico nivel 3 (Ws-3)</t>
  </si>
  <si>
    <t>%Wv=</t>
  </si>
  <si>
    <t>Ws-3</t>
  </si>
  <si>
    <t>%Wm=</t>
  </si>
  <si>
    <t>Wtotal-losas</t>
  </si>
  <si>
    <t>WcargaViva</t>
  </si>
  <si>
    <t>Peso por muros (Nivel 3)</t>
  </si>
  <si>
    <t xml:space="preserve">El peso debido a muros de relleno, se calculará de la siguiente forma: </t>
  </si>
  <si>
    <t>Wc</t>
  </si>
  <si>
    <t xml:space="preserve">Altura </t>
  </si>
  <si>
    <t>Longitud</t>
  </si>
  <si>
    <t>Wmuro</t>
  </si>
  <si>
    <t>Hpiso</t>
  </si>
  <si>
    <t>Hmuro</t>
  </si>
  <si>
    <t>A</t>
  </si>
  <si>
    <t>B</t>
  </si>
  <si>
    <t>C</t>
  </si>
  <si>
    <t>D</t>
  </si>
  <si>
    <t>E</t>
  </si>
  <si>
    <t>F</t>
  </si>
  <si>
    <t>G</t>
  </si>
  <si>
    <t>Total Ejes Y</t>
  </si>
  <si>
    <t>Total Ejes X</t>
  </si>
  <si>
    <t>Hviga2</t>
  </si>
  <si>
    <t>Hviga1</t>
  </si>
  <si>
    <t>Peso sismicoo de nivel en analisis</t>
  </si>
  <si>
    <t>Peso de muerto de nivel en analisis</t>
  </si>
  <si>
    <t>PESO DE COLUMNA (NIVEL 2)</t>
  </si>
  <si>
    <t>CALCULO DE PESO POR LOSA (NIVEL 2)</t>
  </si>
  <si>
    <t>PESO DE COLUMNA (NIVEL 1)</t>
  </si>
  <si>
    <t>Un lado largo</t>
  </si>
  <si>
    <t>CALCULO DE PESO POR LOSA (NIVEL 1)</t>
  </si>
  <si>
    <t>Peso por muros (Nivel 1)</t>
  </si>
  <si>
    <t>Peso por muros (Nivel 2)</t>
  </si>
  <si>
    <t>Peso final de la estructura</t>
  </si>
  <si>
    <t xml:space="preserve">CENTRO DE MASA PARA EL NIVEL 1 </t>
  </si>
  <si>
    <t>Losa 1</t>
  </si>
  <si>
    <t>Losa2</t>
  </si>
  <si>
    <t>Losa 3</t>
  </si>
  <si>
    <t>Losa 4</t>
  </si>
  <si>
    <t>Losa 5</t>
  </si>
  <si>
    <t>Losa 6</t>
  </si>
  <si>
    <t>Losa 7</t>
  </si>
  <si>
    <t>Losa 8</t>
  </si>
  <si>
    <t>ECUACIONES A UTILIZAR</t>
  </si>
  <si>
    <t>Xcm</t>
  </si>
  <si>
    <t>Ycm</t>
  </si>
  <si>
    <t>CENTRO DE MASA PARA EL NIVEL 2</t>
  </si>
  <si>
    <t>CENTRO DE MASA PARA EL NIVEL 3</t>
  </si>
  <si>
    <t xml:space="preserve"> PESO SISMICO</t>
  </si>
  <si>
    <t>NIVEL</t>
  </si>
  <si>
    <t>Wsismico</t>
  </si>
  <si>
    <t>hacum</t>
  </si>
  <si>
    <t>Sumatoria</t>
  </si>
  <si>
    <t xml:space="preserve">DISTRIBUCION DE PISO </t>
  </si>
  <si>
    <t>Cs</t>
  </si>
  <si>
    <t>CORTE BASAL (Vb)</t>
  </si>
  <si>
    <t>Vb= Cs*Wsismico</t>
  </si>
  <si>
    <t>hn</t>
  </si>
  <si>
    <t>bx</t>
  </si>
  <si>
    <t>Ftop</t>
  </si>
  <si>
    <t>ECUACION AUXILIAR &gt; .25</t>
  </si>
  <si>
    <t>Ws</t>
  </si>
  <si>
    <t>Hacum</t>
  </si>
  <si>
    <t>Ws*hacum^K</t>
  </si>
  <si>
    <t>Cx</t>
  </si>
  <si>
    <t>Fx</t>
  </si>
  <si>
    <t>Fp</t>
  </si>
  <si>
    <t>RIGIDEZ DE SISMO INGRESA EN Y-Y</t>
  </si>
  <si>
    <t>COLUMNA Y EXTERNO</t>
  </si>
  <si>
    <t>b</t>
  </si>
  <si>
    <t>h</t>
  </si>
  <si>
    <t>INERCIA</t>
  </si>
  <si>
    <t>hcol</t>
  </si>
  <si>
    <t>delta</t>
  </si>
  <si>
    <t>COLUMNA Y INTERNO IZQUIERDO</t>
  </si>
  <si>
    <t>COLUMNA Y INTERNO DERECHO</t>
  </si>
  <si>
    <t>ELEVADOR IZQUIERDO</t>
  </si>
  <si>
    <t>ELEVADOR DERECHO</t>
  </si>
  <si>
    <t>MURO A-1</t>
  </si>
  <si>
    <t>MURO A-4</t>
  </si>
  <si>
    <t>MURO C-4</t>
  </si>
  <si>
    <t>MURO D-1</t>
  </si>
  <si>
    <t>MURO D-3</t>
  </si>
  <si>
    <t>EJE</t>
  </si>
  <si>
    <t>NUMERO DE COLUMNAS</t>
  </si>
  <si>
    <t>K eje</t>
  </si>
  <si>
    <t>dx</t>
  </si>
  <si>
    <t>Keje*dx</t>
  </si>
  <si>
    <t xml:space="preserve">NIVEL 1 </t>
  </si>
  <si>
    <t xml:space="preserve">NIVEL 2 </t>
  </si>
  <si>
    <t>RIGIDEZ DE SISMO INGRESA EN X-X</t>
  </si>
  <si>
    <t>CENTRO DE RIGIDEZ</t>
  </si>
  <si>
    <t>CENTRO DE MASA</t>
  </si>
  <si>
    <t>EXCENTRICIDAD</t>
  </si>
  <si>
    <t>NIVEL 3</t>
  </si>
  <si>
    <t>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</si>
</sst>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&quot;m&quot;"/>
    <numFmt numFmtId="165" formatCode="0.00&quot;m²&quot;"/>
    <numFmt numFmtId="166" formatCode="0.0&quot;kg/m³&quot;"/>
    <numFmt numFmtId="167" formatCode="0.00&quot;kg/m²&quot;"/>
    <numFmt numFmtId="168" formatCode="0.00&quot;Ton&quot;"/>
    <numFmt numFmtId="169" formatCode="0.0&quot;kg/m²&quot;"/>
    <numFmt numFmtId="170" formatCode="0&quot;kg/m²&quot;"/>
    <numFmt numFmtId="171" formatCode="0.0"/>
    <numFmt numFmtId="172" formatCode="0.00\ &quot;m&quot;"/>
    <numFmt numFmtId="173" formatCode="0.0&quot;Ton/m²&quot;"/>
    <numFmt numFmtId="174" formatCode="0.000&quot;Ton/m²&quot;"/>
    <numFmt numFmtId="175" formatCode="0.000&quot;kg/m²&quot;"/>
    <numFmt numFmtId="176" formatCode="0.00000"/>
    <numFmt numFmtId="177" formatCode="0.00\ &quot;kg&quot;"/>
    <numFmt numFmtId="178" formatCode="0.00\ &quot;kg/m²&quot;"/>
    <numFmt numFmtId="179" formatCode="0.00000\ &quot;Ton&quot;"/>
    <numFmt numFmtId="180" formatCode="0.00\ &quot;Ton&quot;"/>
    <numFmt numFmtId="181" formatCode="0\ &quot;m&quot;"/>
    <numFmt numFmtId="182" formatCode="0.000000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7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0" borderId="25" xfId="0" applyFont="1" applyBorder="1" applyAlignment="1">
      <alignment horizontal="center"/>
    </xf>
    <xf numFmtId="173" fontId="0" fillId="0" borderId="26" xfId="0" applyNumberFormat="1" applyBorder="1" applyAlignment="1">
      <alignment horizontal="center"/>
    </xf>
    <xf numFmtId="167" fontId="0" fillId="0" borderId="27" xfId="0" applyNumberForma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7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74" fontId="0" fillId="0" borderId="30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168" fontId="0" fillId="0" borderId="3" xfId="0" applyNumberFormat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14" xfId="0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168" fontId="0" fillId="0" borderId="36" xfId="0" applyNumberFormat="1" applyBorder="1" applyAlignment="1">
      <alignment horizontal="center"/>
    </xf>
    <xf numFmtId="168" fontId="0" fillId="0" borderId="37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6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9" fillId="2" borderId="12" xfId="0" applyNumberFormat="1" applyFont="1" applyFill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180" fontId="0" fillId="3" borderId="5" xfId="0" applyNumberFormat="1" applyFill="1" applyBorder="1" applyAlignment="1">
      <alignment horizontal="center"/>
    </xf>
    <xf numFmtId="181" fontId="0" fillId="3" borderId="5" xfId="0" applyNumberFormat="1" applyFill="1" applyBorder="1" applyAlignment="1">
      <alignment horizontal="center"/>
    </xf>
    <xf numFmtId="168" fontId="0" fillId="0" borderId="35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2" xfId="0" applyFon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3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82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/>
    </xf>
    <xf numFmtId="182" fontId="0" fillId="0" borderId="9" xfId="0" applyNumberFormat="1" applyBorder="1" applyAlignment="1">
      <alignment horizontal="center"/>
    </xf>
    <xf numFmtId="0" fontId="11" fillId="0" borderId="35" xfId="0" applyFont="1" applyBorder="1" applyAlignment="1">
      <alignment horizontal="center"/>
    </xf>
    <xf numFmtId="1" fontId="11" fillId="0" borderId="35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179" fontId="0" fillId="0" borderId="12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3" xfId="0" applyBorder="1" applyAlignment="1">
      <alignment horizontal="center"/>
    </xf>
    <xf numFmtId="168" fontId="0" fillId="0" borderId="33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168" fontId="5" fillId="0" borderId="3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2" xfId="0" applyFont="1" applyBorder="1" applyAlignment="1">
      <alignment horizontal="center"/>
    </xf>
    <xf numFmtId="168" fontId="0" fillId="0" borderId="37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0</xdr:row>
      <xdr:rowOff>335280</xdr:rowOff>
    </xdr:from>
    <xdr:to>
      <xdr:col>1</xdr:col>
      <xdr:colOff>0</xdr:colOff>
      <xdr:row>1</xdr:row>
      <xdr:rowOff>259825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108C220-EE26-4E9F-93E2-D3E1C008E0EB}"/>
            </a:ext>
          </a:extLst>
        </xdr:cNvPr>
        <xdr:cNvSpPr>
          <a:spLocks noChangeAspect="1" noChangeArrowheads="1"/>
        </xdr:cNvSpPr>
      </xdr:nvSpPr>
      <xdr:spPr bwMode="auto">
        <a:xfrm>
          <a:off x="5029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6350</xdr:colOff>
      <xdr:row>23</xdr:row>
      <xdr:rowOff>3385</xdr:rowOff>
    </xdr:from>
    <xdr:ext cx="5441950" cy="1065621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C91FFC8-98AC-4E3B-A390-D512B62C6CF0}"/>
            </a:ext>
          </a:extLst>
        </xdr:cNvPr>
        <xdr:cNvSpPr txBox="1"/>
      </xdr:nvSpPr>
      <xdr:spPr>
        <a:xfrm>
          <a:off x="6350" y="5733625"/>
          <a:ext cx="5441950" cy="1065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Las áreas tributarias determinarán la altura de las columnas, considerando la mitad de la columna del piso inferior y la mitad del piso en análisis como se indica en la figura 1.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Debido a que los muros de corto y elevadores llegan hasta la parte más alta de la estructura, se debe considerar la mitad de la viga del último piso; ya que las áreas tributarias toman como referencia el eje de la viga 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5775960" cy="28020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FC09C19-FB06-4278-91BA-2B59D519ACEE}"/>
            </a:ext>
          </a:extLst>
        </xdr:cNvPr>
        <xdr:cNvSpPr txBox="1"/>
      </xdr:nvSpPr>
      <xdr:spPr>
        <a:xfrm>
          <a:off x="0" y="0"/>
          <a:ext cx="577596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200" b="0"/>
            <a:t>A continuación, se presenta el diseño de</a:t>
          </a:r>
          <a:r>
            <a:rPr lang="es-GT" sz="1200" b="0" baseline="0"/>
            <a:t> una Bodega para lubricantes ubicado en Solola </a:t>
          </a:r>
          <a:endParaRPr lang="es-GT" sz="1200" b="0"/>
        </a:p>
      </xdr:txBody>
    </xdr:sp>
    <xdr:clientData/>
  </xdr:oneCellAnchor>
  <xdr:twoCellAnchor editAs="oneCell">
    <xdr:from>
      <xdr:col>5</xdr:col>
      <xdr:colOff>225041</xdr:colOff>
      <xdr:row>27</xdr:row>
      <xdr:rowOff>135309</xdr:rowOff>
    </xdr:from>
    <xdr:to>
      <xdr:col>6</xdr:col>
      <xdr:colOff>638616</xdr:colOff>
      <xdr:row>33</xdr:row>
      <xdr:rowOff>70041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961BF9B-CE8C-77DD-D412-749D2E8C4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7789" y="5561888"/>
          <a:ext cx="1246791" cy="1176398"/>
        </a:xfrm>
        <a:prstGeom prst="rect">
          <a:avLst/>
        </a:prstGeom>
      </xdr:spPr>
    </xdr:pic>
    <xdr:clientData/>
  </xdr:twoCellAnchor>
  <xdr:twoCellAnchor editAs="oneCell">
    <xdr:from>
      <xdr:col>5</xdr:col>
      <xdr:colOff>368396</xdr:colOff>
      <xdr:row>34</xdr:row>
      <xdr:rowOff>115794</xdr:rowOff>
    </xdr:from>
    <xdr:to>
      <xdr:col>6</xdr:col>
      <xdr:colOff>577982</xdr:colOff>
      <xdr:row>40</xdr:row>
      <xdr:rowOff>23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6155BA-B978-C96C-CFA1-3452567A9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1144" y="6838486"/>
          <a:ext cx="1042802" cy="1059253"/>
        </a:xfrm>
        <a:prstGeom prst="rect">
          <a:avLst/>
        </a:prstGeom>
      </xdr:spPr>
    </xdr:pic>
    <xdr:clientData/>
  </xdr:twoCellAnchor>
  <xdr:oneCellAnchor>
    <xdr:from>
      <xdr:col>1</xdr:col>
      <xdr:colOff>76200</xdr:colOff>
      <xdr:row>39</xdr:row>
      <xdr:rowOff>152399</xdr:rowOff>
    </xdr:from>
    <xdr:ext cx="3947160" cy="655821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0E5293B-ED01-4E0D-91C7-74AE7D9CD42B}"/>
            </a:ext>
          </a:extLst>
        </xdr:cNvPr>
        <xdr:cNvSpPr txBox="1"/>
      </xdr:nvSpPr>
      <xdr:spPr>
        <a:xfrm>
          <a:off x="883920" y="7818119"/>
          <a:ext cx="3947160" cy="655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Wcol=Peso Específico del concreto*Área de Columna*Altura *No.Columnas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Muro1*Altura*No.Muro1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Muro2*Altura*No.Muro2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Welevador=Peso Específico del concreto*Área del Elevador*Altura*No.Muro1</a:t>
          </a:r>
          <a:endParaRPr lang="es-GT" sz="900"/>
        </a:p>
      </xdr:txBody>
    </xdr:sp>
    <xdr:clientData/>
  </xdr:oneCellAnchor>
  <xdr:oneCellAnchor>
    <xdr:from>
      <xdr:col>7</xdr:col>
      <xdr:colOff>0</xdr:colOff>
      <xdr:row>19</xdr:row>
      <xdr:rowOff>158750</xdr:rowOff>
    </xdr:from>
    <xdr:ext cx="557212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26D2451E-B74F-4AB0-8AEB-7121B9F67EDA}"/>
            </a:ext>
          </a:extLst>
        </xdr:cNvPr>
        <xdr:cNvSpPr txBox="1"/>
      </xdr:nvSpPr>
      <xdr:spPr>
        <a:xfrm>
          <a:off x="5981700" y="2800350"/>
          <a:ext cx="55721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Wviga=Peso Específico del concreto*Área de Viga*Longitud</a:t>
          </a:r>
          <a:endParaRPr lang="es-GT" sz="1200"/>
        </a:p>
      </xdr:txBody>
    </xdr:sp>
    <xdr:clientData/>
  </xdr:oneCellAnchor>
  <xdr:oneCellAnchor>
    <xdr:from>
      <xdr:col>7</xdr:col>
      <xdr:colOff>7620</xdr:colOff>
      <xdr:row>25</xdr:row>
      <xdr:rowOff>105339</xdr:rowOff>
    </xdr:from>
    <xdr:ext cx="5541125" cy="691298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B853107-23D0-4E84-BB96-7566223730B9}"/>
            </a:ext>
          </a:extLst>
        </xdr:cNvPr>
        <xdr:cNvSpPr txBox="1"/>
      </xdr:nvSpPr>
      <xdr:spPr>
        <a:xfrm>
          <a:off x="5847311" y="4912866"/>
          <a:ext cx="5541125" cy="691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muerta: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peso propio y el peso por sobrecargas.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viva: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el equivalente al producto de la carga viva por el área donde se aplica.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sísmico: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100 por ciento (100%) de la carga muerta más (+) el 25 por ciento de la carga viva (25%).</a:t>
          </a:r>
          <a:endParaRPr lang="es-GT" sz="1000"/>
        </a:p>
      </xdr:txBody>
    </xdr:sp>
    <xdr:clientData/>
  </xdr:oneCellAnchor>
  <xdr:oneCellAnchor>
    <xdr:from>
      <xdr:col>16</xdr:col>
      <xdr:colOff>323850</xdr:colOff>
      <xdr:row>0</xdr:row>
      <xdr:rowOff>0</xdr:rowOff>
    </xdr:from>
    <xdr:ext cx="179677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A6BF8A9-6947-4AF4-8A4B-BA20A3A251CF}"/>
                </a:ext>
              </a:extLst>
            </xdr:cNvPr>
            <xdr:cNvSpPr txBox="1"/>
          </xdr:nvSpPr>
          <xdr:spPr>
            <a:xfrm>
              <a:off x="13628370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𝑉𝑜𝑙𝑢𝑚𝑒𝑛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𝑡𝑙𝑜𝑠𝑎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A6BF8A9-6947-4AF4-8A4B-BA20A3A251CF}"/>
                </a:ext>
              </a:extLst>
            </xdr:cNvPr>
            <xdr:cNvSpPr txBox="1"/>
          </xdr:nvSpPr>
          <xdr:spPr>
            <a:xfrm>
              <a:off x="13628370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𝑊𝑝=</a:t>
              </a:r>
              <a:r>
                <a:rPr lang="es-G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𝛾∗𝑉𝑜𝑙𝑢𝑚𝑒𝑛∗𝑡𝑙𝑜𝑠𝑎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16</xdr:col>
      <xdr:colOff>304800</xdr:colOff>
      <xdr:row>1</xdr:row>
      <xdr:rowOff>6235</xdr:rowOff>
    </xdr:from>
    <xdr:ext cx="1867371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63EAE788-4592-44C6-A05A-B843D4E2D10D}"/>
                </a:ext>
              </a:extLst>
            </xdr:cNvPr>
            <xdr:cNvSpPr txBox="1"/>
          </xdr:nvSpPr>
          <xdr:spPr>
            <a:xfrm>
              <a:off x="13609320" y="341515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𝑆𝑜𝑏𝑟𝑒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63EAE788-4592-44C6-A05A-B843D4E2D10D}"/>
                </a:ext>
              </a:extLst>
            </xdr:cNvPr>
            <xdr:cNvSpPr txBox="1"/>
          </xdr:nvSpPr>
          <xdr:spPr>
            <a:xfrm>
              <a:off x="13609320" y="341515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𝑊𝑠𝑐=𝑆𝑜𝑏𝑟𝑒 𝐶𝑎𝑟𝑔𝑎∗Á𝑟𝑒𝑎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16</xdr:col>
      <xdr:colOff>594360</xdr:colOff>
      <xdr:row>1</xdr:row>
      <xdr:rowOff>345671</xdr:rowOff>
    </xdr:from>
    <xdr:ext cx="121706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552604A-6291-48EB-A073-C1F795190C41}"/>
                </a:ext>
              </a:extLst>
            </xdr:cNvPr>
            <xdr:cNvSpPr txBox="1"/>
          </xdr:nvSpPr>
          <xdr:spPr>
            <a:xfrm>
              <a:off x="13666124" y="705889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𝑊𝑚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552604A-6291-48EB-A073-C1F795190C41}"/>
                </a:ext>
              </a:extLst>
            </xdr:cNvPr>
            <xdr:cNvSpPr txBox="1"/>
          </xdr:nvSpPr>
          <xdr:spPr>
            <a:xfrm>
              <a:off x="13666124" y="705889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𝑊𝑚=𝑊𝑝+𝑊𝑠𝑐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16</xdr:col>
      <xdr:colOff>373380</xdr:colOff>
      <xdr:row>2</xdr:row>
      <xdr:rowOff>179416</xdr:rowOff>
    </xdr:from>
    <xdr:ext cx="1727652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E922F15-3722-4109-82BF-5181587824E9}"/>
                </a:ext>
              </a:extLst>
            </xdr:cNvPr>
            <xdr:cNvSpPr txBox="1"/>
          </xdr:nvSpPr>
          <xdr:spPr>
            <a:xfrm>
              <a:off x="13445144" y="899852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𝑊𝑣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𝑉𝑖𝑣𝑎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E922F15-3722-4109-82BF-5181587824E9}"/>
                </a:ext>
              </a:extLst>
            </xdr:cNvPr>
            <xdr:cNvSpPr txBox="1"/>
          </xdr:nvSpPr>
          <xdr:spPr>
            <a:xfrm>
              <a:off x="13445144" y="899852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𝑊𝑣=𝐶𝑎𝑟𝑔𝑎 𝑉𝑖𝑣𝑎∗Á𝑟𝑒𝑎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14</xdr:col>
      <xdr:colOff>109515</xdr:colOff>
      <xdr:row>9</xdr:row>
      <xdr:rowOff>155589</xdr:rowOff>
    </xdr:from>
    <xdr:ext cx="5580744" cy="609013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73E0A551-726D-4E0B-898E-8D4D33CFFF69}"/>
            </a:ext>
          </a:extLst>
        </xdr:cNvPr>
        <xdr:cNvSpPr txBox="1"/>
      </xdr:nvSpPr>
      <xdr:spPr>
        <a:xfrm>
          <a:off x="11574151" y="2129862"/>
          <a:ext cx="558074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 b="1"/>
            <a:t>La altura de los muros de relleno se determina</a:t>
          </a:r>
          <a:r>
            <a:rPr lang="es-GT" sz="1100" b="1" baseline="0"/>
            <a:t> por áreas tributarias, es decir, se considerara la mitad  de la columna del piso inferior y la mitad del piso en analisis. Además, se le restará el alto de la viga del nivel en analisis.</a:t>
          </a:r>
          <a:endParaRPr lang="es-GT" sz="1100" b="1"/>
        </a:p>
      </xdr:txBody>
    </xdr:sp>
    <xdr:clientData/>
  </xdr:oneCellAnchor>
  <xdr:oneCellAnchor>
    <xdr:from>
      <xdr:col>16</xdr:col>
      <xdr:colOff>451301</xdr:colOff>
      <xdr:row>14</xdr:row>
      <xdr:rowOff>126892</xdr:rowOff>
    </xdr:from>
    <xdr:ext cx="3206299" cy="749821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92F9ED04-81C1-48D0-8B20-7DECD689DF0C}"/>
            </a:ext>
          </a:extLst>
        </xdr:cNvPr>
        <xdr:cNvSpPr txBox="1"/>
      </xdr:nvSpPr>
      <xdr:spPr>
        <a:xfrm>
          <a:off x="13523065" y="3029419"/>
          <a:ext cx="3206299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400" b="1"/>
            <a:t>Los</a:t>
          </a:r>
          <a:r>
            <a:rPr lang="es-GT" sz="1400" b="1" baseline="0"/>
            <a:t> muros de relleno, para los niveles inferiroes se calculan siguiente algoritmo:</a:t>
          </a:r>
          <a:endParaRPr lang="es-GT" sz="1400" b="1"/>
        </a:p>
      </xdr:txBody>
    </xdr:sp>
    <xdr:clientData/>
  </xdr:oneCellAnchor>
  <xdr:oneCellAnchor>
    <xdr:from>
      <xdr:col>14</xdr:col>
      <xdr:colOff>72958</xdr:colOff>
      <xdr:row>31</xdr:row>
      <xdr:rowOff>3385</xdr:rowOff>
    </xdr:from>
    <xdr:ext cx="5544766" cy="1018019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65AA76BF-EBD8-469F-AE57-B276D2D2905E}"/>
            </a:ext>
          </a:extLst>
        </xdr:cNvPr>
        <xdr:cNvSpPr txBox="1"/>
      </xdr:nvSpPr>
      <xdr:spPr>
        <a:xfrm>
          <a:off x="11527277" y="6131811"/>
          <a:ext cx="5544766" cy="1018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Las áreas tributarias determinarán la altura de las columnas, considerando la mitad de la columna del piso inferior y la mitad del piso en análisis como se indica en la figura 1.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Debido a que los muros de corto y elevadores llegan hasta la parte más alta de la estructura, se debe considerar la mitad de la viga del último piso; ya que las áreas tributarias toman como referencia el eje de la viga 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oneCellAnchor>
  <xdr:oneCellAnchor>
    <xdr:from>
      <xdr:col>14</xdr:col>
      <xdr:colOff>12700</xdr:colOff>
      <xdr:row>40</xdr:row>
      <xdr:rowOff>14779</xdr:rowOff>
    </xdr:from>
    <xdr:ext cx="5534198" cy="655821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BA14C535-9C5C-4063-B08F-88D889E38DF7}"/>
            </a:ext>
          </a:extLst>
        </xdr:cNvPr>
        <xdr:cNvSpPr txBox="1"/>
      </xdr:nvSpPr>
      <xdr:spPr>
        <a:xfrm>
          <a:off x="11430000" y="7558579"/>
          <a:ext cx="5534198" cy="655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Wcol=Peso Específico del concreto*Área de Columna*Altura *No.Columnas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Muro1*Altura*No.Muro1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Muro2*Altura*No.Muro2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Welevador=Peso Específico del concreto*Área del Elevador*Altura*No.Muro1</a:t>
          </a:r>
          <a:endParaRPr lang="es-GT" sz="900"/>
        </a:p>
      </xdr:txBody>
    </xdr:sp>
    <xdr:clientData/>
  </xdr:oneCellAnchor>
  <xdr:oneCellAnchor>
    <xdr:from>
      <xdr:col>21</xdr:col>
      <xdr:colOff>0</xdr:colOff>
      <xdr:row>19</xdr:row>
      <xdr:rowOff>158750</xdr:rowOff>
    </xdr:from>
    <xdr:ext cx="5572125" cy="280205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C2EC4758-0D04-4D3F-B7BB-CB65E9EFFEE6}"/>
            </a:ext>
          </a:extLst>
        </xdr:cNvPr>
        <xdr:cNvSpPr txBox="1"/>
      </xdr:nvSpPr>
      <xdr:spPr>
        <a:xfrm>
          <a:off x="5836596" y="4049814"/>
          <a:ext cx="55721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Wviga=Peso Específico del concreto*Área de Viga*Longitud</a:t>
          </a:r>
          <a:endParaRPr lang="es-GT" sz="1200"/>
        </a:p>
      </xdr:txBody>
    </xdr:sp>
    <xdr:clientData/>
  </xdr:oneCellAnchor>
  <xdr:oneCellAnchor>
    <xdr:from>
      <xdr:col>21</xdr:col>
      <xdr:colOff>7620</xdr:colOff>
      <xdr:row>25</xdr:row>
      <xdr:rowOff>105339</xdr:rowOff>
    </xdr:from>
    <xdr:ext cx="5541125" cy="691298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B916B47-ED7F-4789-B81C-82EEA2F90915}"/>
            </a:ext>
          </a:extLst>
        </xdr:cNvPr>
        <xdr:cNvSpPr txBox="1"/>
      </xdr:nvSpPr>
      <xdr:spPr>
        <a:xfrm>
          <a:off x="5844216" y="5098871"/>
          <a:ext cx="5541125" cy="691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muerta: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peso propio y el peso por sobrecargas.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viva: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el equivalente al producto de la carga viva por el área donde se aplica.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sísmico: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100 por ciento (100%) de la carga muerta más (+) el 25 por ciento de la carga viva (25%).</a:t>
          </a:r>
          <a:endParaRPr lang="es-GT" sz="1000"/>
        </a:p>
      </xdr:txBody>
    </xdr:sp>
    <xdr:clientData/>
  </xdr:oneCellAnchor>
  <xdr:oneCellAnchor>
    <xdr:from>
      <xdr:col>30</xdr:col>
      <xdr:colOff>323850</xdr:colOff>
      <xdr:row>0</xdr:row>
      <xdr:rowOff>0</xdr:rowOff>
    </xdr:from>
    <xdr:ext cx="179677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676CA4B-D9A6-4200-822B-E679905D8815}"/>
                </a:ext>
              </a:extLst>
            </xdr:cNvPr>
            <xdr:cNvSpPr txBox="1"/>
          </xdr:nvSpPr>
          <xdr:spPr>
            <a:xfrm>
              <a:off x="13383233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𝑉𝑜𝑙𝑢𝑚𝑒𝑛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𝑡𝑙𝑜𝑠𝑎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676CA4B-D9A6-4200-822B-E679905D8815}"/>
                </a:ext>
              </a:extLst>
            </xdr:cNvPr>
            <xdr:cNvSpPr txBox="1"/>
          </xdr:nvSpPr>
          <xdr:spPr>
            <a:xfrm>
              <a:off x="13383233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𝑊𝑝=</a:t>
              </a:r>
              <a:r>
                <a:rPr lang="es-G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𝛾∗𝑉𝑜𝑙𝑢𝑚𝑒𝑛∗𝑡𝑙𝑜𝑠𝑎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30</xdr:col>
      <xdr:colOff>304800</xdr:colOff>
      <xdr:row>1</xdr:row>
      <xdr:rowOff>6235</xdr:rowOff>
    </xdr:from>
    <xdr:ext cx="1867371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1165BC81-3379-4D5A-ACA8-C925231EF6D0}"/>
                </a:ext>
              </a:extLst>
            </xdr:cNvPr>
            <xdr:cNvSpPr txBox="1"/>
          </xdr:nvSpPr>
          <xdr:spPr>
            <a:xfrm>
              <a:off x="13364183" y="362916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𝑆𝑜𝑏𝑟𝑒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1165BC81-3379-4D5A-ACA8-C925231EF6D0}"/>
                </a:ext>
              </a:extLst>
            </xdr:cNvPr>
            <xdr:cNvSpPr txBox="1"/>
          </xdr:nvSpPr>
          <xdr:spPr>
            <a:xfrm>
              <a:off x="13364183" y="362916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𝑊𝑠𝑐=𝑆𝑜𝑏𝑟𝑒 𝐶𝑎𝑟𝑔𝑎∗Á𝑟𝑒𝑎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30</xdr:col>
      <xdr:colOff>594360</xdr:colOff>
      <xdr:row>1</xdr:row>
      <xdr:rowOff>345671</xdr:rowOff>
    </xdr:from>
    <xdr:ext cx="121706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E6EA1D8-838E-4E82-AED1-6654BDCFA533}"/>
                </a:ext>
              </a:extLst>
            </xdr:cNvPr>
            <xdr:cNvSpPr txBox="1"/>
          </xdr:nvSpPr>
          <xdr:spPr>
            <a:xfrm>
              <a:off x="13653743" y="702352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𝑊𝑚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E6EA1D8-838E-4E82-AED1-6654BDCFA533}"/>
                </a:ext>
              </a:extLst>
            </xdr:cNvPr>
            <xdr:cNvSpPr txBox="1"/>
          </xdr:nvSpPr>
          <xdr:spPr>
            <a:xfrm>
              <a:off x="13653743" y="702352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𝑊𝑚=𝑊𝑝+𝑊𝑠𝑐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30</xdr:col>
      <xdr:colOff>373380</xdr:colOff>
      <xdr:row>2</xdr:row>
      <xdr:rowOff>179416</xdr:rowOff>
    </xdr:from>
    <xdr:ext cx="1727652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20EA6299-C961-4942-848C-63469F61A5FE}"/>
                </a:ext>
              </a:extLst>
            </xdr:cNvPr>
            <xdr:cNvSpPr txBox="1"/>
          </xdr:nvSpPr>
          <xdr:spPr>
            <a:xfrm>
              <a:off x="13432763" y="892778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𝑊𝑣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𝑉𝑖𝑣𝑎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20EA6299-C961-4942-848C-63469F61A5FE}"/>
                </a:ext>
              </a:extLst>
            </xdr:cNvPr>
            <xdr:cNvSpPr txBox="1"/>
          </xdr:nvSpPr>
          <xdr:spPr>
            <a:xfrm>
              <a:off x="13432763" y="892778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𝑊𝑣=𝐶𝑎𝑟𝑔𝑎 𝑉𝑖𝑣𝑎∗Á𝑟𝑒𝑎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28</xdr:col>
      <xdr:colOff>109515</xdr:colOff>
      <xdr:row>9</xdr:row>
      <xdr:rowOff>155589</xdr:rowOff>
    </xdr:from>
    <xdr:ext cx="5580744" cy="609013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37E8EA54-DB7E-4868-AE0A-08421CDCE531}"/>
            </a:ext>
          </a:extLst>
        </xdr:cNvPr>
        <xdr:cNvSpPr txBox="1"/>
      </xdr:nvSpPr>
      <xdr:spPr>
        <a:xfrm>
          <a:off x="11563834" y="2174078"/>
          <a:ext cx="558074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 b="1"/>
            <a:t>La altura de los muros de relleno se determina</a:t>
          </a:r>
          <a:r>
            <a:rPr lang="es-GT" sz="1100" b="1" baseline="0"/>
            <a:t> por áreas tributarias, es decir, se considerara la mitad  de la columna del piso inferior y la mitad del piso en analisis. Además, se le restará el alto de la viga del nivel en analisis.</a:t>
          </a:r>
          <a:endParaRPr lang="es-GT" sz="1100" b="1"/>
        </a:p>
      </xdr:txBody>
    </xdr:sp>
    <xdr:clientData/>
  </xdr:oneCellAnchor>
  <xdr:oneCellAnchor>
    <xdr:from>
      <xdr:col>30</xdr:col>
      <xdr:colOff>451301</xdr:colOff>
      <xdr:row>14</xdr:row>
      <xdr:rowOff>126892</xdr:rowOff>
    </xdr:from>
    <xdr:ext cx="3206299" cy="749821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539A271F-F513-4BE2-AA21-0E7962C8A44F}"/>
            </a:ext>
          </a:extLst>
        </xdr:cNvPr>
        <xdr:cNvSpPr txBox="1"/>
      </xdr:nvSpPr>
      <xdr:spPr>
        <a:xfrm>
          <a:off x="13510684" y="3093828"/>
          <a:ext cx="3206299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400" b="1"/>
            <a:t>Los</a:t>
          </a:r>
          <a:r>
            <a:rPr lang="es-GT" sz="1400" b="1" baseline="0"/>
            <a:t> muros de relleno, para los niveles inferiroes se calculan siguiente algoritmo:</a:t>
          </a:r>
          <a:endParaRPr lang="es-GT" sz="1400" b="1"/>
        </a:p>
      </xdr:txBody>
    </xdr:sp>
    <xdr:clientData/>
  </xdr:oneCellAnchor>
  <xdr:oneCellAnchor>
    <xdr:from>
      <xdr:col>28</xdr:col>
      <xdr:colOff>72958</xdr:colOff>
      <xdr:row>31</xdr:row>
      <xdr:rowOff>3385</xdr:rowOff>
    </xdr:from>
    <xdr:ext cx="5544766" cy="1018019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B145FE71-CC7A-4C73-9629-18557CF4E32D}"/>
            </a:ext>
          </a:extLst>
        </xdr:cNvPr>
        <xdr:cNvSpPr txBox="1"/>
      </xdr:nvSpPr>
      <xdr:spPr>
        <a:xfrm>
          <a:off x="11527277" y="6139917"/>
          <a:ext cx="5544766" cy="10180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Las áreas tributarias determinarán la altura de las columnas, considerando la mitad de la columna del piso inferior y la mitad del piso en análisis como se indica en la figura 1.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1" algn="l" rtl="0"/>
          <a:r>
            <a:rPr lang="es-GT" sz="105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Debido a que los muros de corto y elevadores llegan hasta la parte más alta de la estructura, se debe considerar la mitad de la viga del último piso; ya que las áreas tributarias toman como referencia el eje de la viga </a:t>
          </a:r>
          <a:endParaRPr lang="es-ES" sz="1050" b="1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oneCellAnchor>
  <xdr:oneCellAnchor>
    <xdr:from>
      <xdr:col>28</xdr:col>
      <xdr:colOff>12700</xdr:colOff>
      <xdr:row>40</xdr:row>
      <xdr:rowOff>14779</xdr:rowOff>
    </xdr:from>
    <xdr:ext cx="5534198" cy="655821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41BEEC73-B4F0-4B2B-9C5B-49AC4A0BC145}"/>
            </a:ext>
          </a:extLst>
        </xdr:cNvPr>
        <xdr:cNvSpPr txBox="1"/>
      </xdr:nvSpPr>
      <xdr:spPr>
        <a:xfrm>
          <a:off x="11467019" y="7796907"/>
          <a:ext cx="5534198" cy="655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Wcol=Peso Específico del concreto*Área de Columna*Altura *No.Columnas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Muro1*Altura*No.Muro1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Wmuro1=Peso Específico del concreto*Área del Muro2*Altura*No.Muro2</a:t>
          </a:r>
        </a:p>
        <a:p>
          <a:pPr algn="ctr"/>
          <a:r>
            <a:rPr lang="es-GT" sz="9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Welevador=Peso Específico del concreto*Área del Elevador*Altura*No.Muro1</a:t>
          </a:r>
          <a:endParaRPr lang="es-GT" sz="900"/>
        </a:p>
      </xdr:txBody>
    </xdr:sp>
    <xdr:clientData/>
  </xdr:oneCellAnchor>
  <xdr:oneCellAnchor>
    <xdr:from>
      <xdr:col>35</xdr:col>
      <xdr:colOff>0</xdr:colOff>
      <xdr:row>21</xdr:row>
      <xdr:rowOff>158750</xdr:rowOff>
    </xdr:from>
    <xdr:ext cx="5572125" cy="280205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AC010012-2C21-4EB2-8D33-795442B22C19}"/>
            </a:ext>
          </a:extLst>
        </xdr:cNvPr>
        <xdr:cNvSpPr txBox="1"/>
      </xdr:nvSpPr>
      <xdr:spPr>
        <a:xfrm>
          <a:off x="17072043" y="4057920"/>
          <a:ext cx="55721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2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Wviga=Peso Específico del concreto*Área de Viga*Longitud</a:t>
          </a:r>
          <a:endParaRPr lang="es-GT" sz="1200"/>
        </a:p>
      </xdr:txBody>
    </xdr:sp>
    <xdr:clientData/>
  </xdr:oneCellAnchor>
  <xdr:oneCellAnchor>
    <xdr:from>
      <xdr:col>34</xdr:col>
      <xdr:colOff>791392</xdr:colOff>
      <xdr:row>27</xdr:row>
      <xdr:rowOff>170653</xdr:rowOff>
    </xdr:from>
    <xdr:ext cx="5541125" cy="691298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BC27189D-23D9-444B-810E-63D2077AEF03}"/>
            </a:ext>
          </a:extLst>
        </xdr:cNvPr>
        <xdr:cNvSpPr txBox="1"/>
      </xdr:nvSpPr>
      <xdr:spPr>
        <a:xfrm>
          <a:off x="29301078" y="5569967"/>
          <a:ext cx="5541125" cy="6912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muerta: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peso propio y el peso por sobrecargas.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por carga viva: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el equivalente al producto de la carga viva por el área donde se aplica.</a:t>
          </a:r>
        </a:p>
        <a:p>
          <a:r>
            <a:rPr lang="es-GT" sz="10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El peso sísmico: </a:t>
          </a:r>
          <a:r>
            <a:rPr lang="es-GT" sz="10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Será la suma del 100 por ciento (100%) de la carga muerta más (+) el 25 por ciento de la carga viva (25%).</a:t>
          </a:r>
          <a:endParaRPr lang="es-GT" sz="1000"/>
        </a:p>
      </xdr:txBody>
    </xdr:sp>
    <xdr:clientData/>
  </xdr:oneCellAnchor>
  <xdr:twoCellAnchor editAs="oneCell">
    <xdr:from>
      <xdr:col>0</xdr:col>
      <xdr:colOff>152402</xdr:colOff>
      <xdr:row>29</xdr:row>
      <xdr:rowOff>95429</xdr:rowOff>
    </xdr:from>
    <xdr:to>
      <xdr:col>2</xdr:col>
      <xdr:colOff>93134</xdr:colOff>
      <xdr:row>35</xdr:row>
      <xdr:rowOff>74663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485F4AB-1CF7-7553-39AA-6F5AA5175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2" y="5912029"/>
          <a:ext cx="1667932" cy="1090727"/>
        </a:xfrm>
        <a:prstGeom prst="rect">
          <a:avLst/>
        </a:prstGeom>
      </xdr:spPr>
    </xdr:pic>
    <xdr:clientData/>
  </xdr:twoCellAnchor>
  <xdr:twoCellAnchor editAs="oneCell">
    <xdr:from>
      <xdr:col>2</xdr:col>
      <xdr:colOff>313268</xdr:colOff>
      <xdr:row>30</xdr:row>
      <xdr:rowOff>25901</xdr:rowOff>
    </xdr:from>
    <xdr:to>
      <xdr:col>4</xdr:col>
      <xdr:colOff>372533</xdr:colOff>
      <xdr:row>35</xdr:row>
      <xdr:rowOff>18837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1D6D81B1-1C19-9169-D4AC-4D5587926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8135" y="6028768"/>
          <a:ext cx="1786465" cy="910057"/>
        </a:xfrm>
        <a:prstGeom prst="rect">
          <a:avLst/>
        </a:prstGeom>
      </xdr:spPr>
    </xdr:pic>
    <xdr:clientData/>
  </xdr:twoCellAnchor>
  <xdr:oneCellAnchor>
    <xdr:from>
      <xdr:col>44</xdr:col>
      <xdr:colOff>323850</xdr:colOff>
      <xdr:row>0</xdr:row>
      <xdr:rowOff>0</xdr:rowOff>
    </xdr:from>
    <xdr:ext cx="179677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D3661FEE-B7E1-4CEB-AD2B-AD55D27370A3}"/>
                </a:ext>
              </a:extLst>
            </xdr:cNvPr>
            <xdr:cNvSpPr txBox="1"/>
          </xdr:nvSpPr>
          <xdr:spPr>
            <a:xfrm>
              <a:off x="25513393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𝑉𝑜𝑙𝑢𝑚𝑒𝑛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s-G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𝑡𝑙𝑜𝑠𝑎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D3661FEE-B7E1-4CEB-AD2B-AD55D27370A3}"/>
                </a:ext>
              </a:extLst>
            </xdr:cNvPr>
            <xdr:cNvSpPr txBox="1"/>
          </xdr:nvSpPr>
          <xdr:spPr>
            <a:xfrm>
              <a:off x="25513393" y="0"/>
              <a:ext cx="179677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𝑊𝑝=</a:t>
              </a:r>
              <a:r>
                <a:rPr lang="es-G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𝛾∗𝑉𝑜𝑙𝑢𝑚𝑒𝑛∗𝑡𝑙𝑜𝑠𝑎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44</xdr:col>
      <xdr:colOff>304800</xdr:colOff>
      <xdr:row>1</xdr:row>
      <xdr:rowOff>6235</xdr:rowOff>
    </xdr:from>
    <xdr:ext cx="1867371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93B588C8-9495-442E-A320-ED2FD46A31F6}"/>
                </a:ext>
              </a:extLst>
            </xdr:cNvPr>
            <xdr:cNvSpPr txBox="1"/>
          </xdr:nvSpPr>
          <xdr:spPr>
            <a:xfrm>
              <a:off x="25494343" y="365464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𝑆𝑜𝑏𝑟𝑒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93B588C8-9495-442E-A320-ED2FD46A31F6}"/>
                </a:ext>
              </a:extLst>
            </xdr:cNvPr>
            <xdr:cNvSpPr txBox="1"/>
          </xdr:nvSpPr>
          <xdr:spPr>
            <a:xfrm>
              <a:off x="25494343" y="365464"/>
              <a:ext cx="186737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𝑊𝑠𝑐=𝑆𝑜𝑏𝑟𝑒 𝐶𝑎𝑟𝑔𝑎∗Á𝑟𝑒𝑎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44</xdr:col>
      <xdr:colOff>594360</xdr:colOff>
      <xdr:row>1</xdr:row>
      <xdr:rowOff>345671</xdr:rowOff>
    </xdr:from>
    <xdr:ext cx="121706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20E9E48-93E0-407A-A1FF-F90C147603F6}"/>
                </a:ext>
              </a:extLst>
            </xdr:cNvPr>
            <xdr:cNvSpPr txBox="1"/>
          </xdr:nvSpPr>
          <xdr:spPr>
            <a:xfrm>
              <a:off x="25783903" y="704900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𝑊𝑚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𝑊𝑝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𝑊𝑠𝑐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20E9E48-93E0-407A-A1FF-F90C147603F6}"/>
                </a:ext>
              </a:extLst>
            </xdr:cNvPr>
            <xdr:cNvSpPr txBox="1"/>
          </xdr:nvSpPr>
          <xdr:spPr>
            <a:xfrm>
              <a:off x="25783903" y="704900"/>
              <a:ext cx="121706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𝑊𝑚=𝑊𝑝+𝑊𝑠𝑐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44</xdr:col>
      <xdr:colOff>373380</xdr:colOff>
      <xdr:row>2</xdr:row>
      <xdr:rowOff>179416</xdr:rowOff>
    </xdr:from>
    <xdr:ext cx="1727652" cy="199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5508D8E-69AF-4B7A-85A1-ADF9B5094C2D}"/>
                </a:ext>
              </a:extLst>
            </xdr:cNvPr>
            <xdr:cNvSpPr txBox="1"/>
          </xdr:nvSpPr>
          <xdr:spPr>
            <a:xfrm>
              <a:off x="25562923" y="897873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200" b="0" i="1">
                        <a:latin typeface="Cambria Math" panose="02040503050406030204" pitchFamily="18" charset="0"/>
                      </a:rPr>
                      <m:t>𝑊𝑣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𝐶𝑎𝑟𝑔𝑎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𝑉𝑖𝑣𝑎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∗Á</m:t>
                    </m:r>
                    <m:r>
                      <a:rPr lang="es-GT" sz="1200" b="0" i="1">
                        <a:latin typeface="Cambria Math" panose="02040503050406030204" pitchFamily="18" charset="0"/>
                      </a:rPr>
                      <m:t>𝑟𝑒𝑎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5508D8E-69AF-4B7A-85A1-ADF9B5094C2D}"/>
                </a:ext>
              </a:extLst>
            </xdr:cNvPr>
            <xdr:cNvSpPr txBox="1"/>
          </xdr:nvSpPr>
          <xdr:spPr>
            <a:xfrm>
              <a:off x="25562923" y="897873"/>
              <a:ext cx="172765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200" b="0" i="0">
                  <a:latin typeface="Cambria Math" panose="02040503050406030204" pitchFamily="18" charset="0"/>
                </a:rPr>
                <a:t>𝑊𝑣=𝐶𝑎𝑟𝑔𝑎 𝑉𝑖𝑣𝑎∗Á𝑟𝑒𝑎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42</xdr:col>
      <xdr:colOff>109515</xdr:colOff>
      <xdr:row>9</xdr:row>
      <xdr:rowOff>155589</xdr:rowOff>
    </xdr:from>
    <xdr:ext cx="5580744" cy="609013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FFA9CF0-6836-4E6A-A8BD-F8DC53977376}"/>
            </a:ext>
          </a:extLst>
        </xdr:cNvPr>
        <xdr:cNvSpPr txBox="1"/>
      </xdr:nvSpPr>
      <xdr:spPr>
        <a:xfrm>
          <a:off x="23502915" y="2169446"/>
          <a:ext cx="558074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 b="1"/>
            <a:t>La altura de los muros de relleno se determina</a:t>
          </a:r>
          <a:r>
            <a:rPr lang="es-GT" sz="1100" b="1" baseline="0"/>
            <a:t> por áreas tributarias, es decir, se considerara la mitad  de la columna del piso inferior y la mitad del piso en analisis. Además, se le restará el alto de la viga del nivel en analisis.</a:t>
          </a:r>
          <a:endParaRPr lang="es-GT" sz="1100" b="1"/>
        </a:p>
      </xdr:txBody>
    </xdr:sp>
    <xdr:clientData/>
  </xdr:oneCellAnchor>
  <xdr:oneCellAnchor>
    <xdr:from>
      <xdr:col>44</xdr:col>
      <xdr:colOff>451301</xdr:colOff>
      <xdr:row>14</xdr:row>
      <xdr:rowOff>126892</xdr:rowOff>
    </xdr:from>
    <xdr:ext cx="3206299" cy="749821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4468084C-20BA-4432-9559-E15CA3D3CFBE}"/>
            </a:ext>
          </a:extLst>
        </xdr:cNvPr>
        <xdr:cNvSpPr txBox="1"/>
      </xdr:nvSpPr>
      <xdr:spPr>
        <a:xfrm>
          <a:off x="25640844" y="3087806"/>
          <a:ext cx="3206299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GT" sz="1400" b="1"/>
            <a:t>Los</a:t>
          </a:r>
          <a:r>
            <a:rPr lang="es-GT" sz="1400" b="1" baseline="0"/>
            <a:t> muros de relleno, para los niveles inferiroes se calculan siguiente algoritmo:</a:t>
          </a:r>
          <a:endParaRPr lang="es-GT" sz="1400" b="1"/>
        </a:p>
      </xdr:txBody>
    </xdr:sp>
    <xdr:clientData/>
  </xdr:oneCellAnchor>
  <xdr:oneCellAnchor>
    <xdr:from>
      <xdr:col>51</xdr:col>
      <xdr:colOff>216626</xdr:colOff>
      <xdr:row>1</xdr:row>
      <xdr:rowOff>154577</xdr:rowOff>
    </xdr:from>
    <xdr:ext cx="297180" cy="137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BD6961F-1BD4-105C-45C7-3EEF4F024249}"/>
                </a:ext>
              </a:extLst>
            </xdr:cNvPr>
            <xdr:cNvSpPr txBox="1"/>
          </xdr:nvSpPr>
          <xdr:spPr>
            <a:xfrm>
              <a:off x="42975712" y="513806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BD6961F-1BD4-105C-45C7-3EEF4F024249}"/>
                </a:ext>
              </a:extLst>
            </xdr:cNvPr>
            <xdr:cNvSpPr txBox="1"/>
          </xdr:nvSpPr>
          <xdr:spPr>
            <a:xfrm>
              <a:off x="42975712" y="513806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𝑋 ̅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54</xdr:col>
      <xdr:colOff>243466</xdr:colOff>
      <xdr:row>12</xdr:row>
      <xdr:rowOff>12664</xdr:rowOff>
    </xdr:from>
    <xdr:to>
      <xdr:col>55</xdr:col>
      <xdr:colOff>627647</xdr:colOff>
      <xdr:row>13</xdr:row>
      <xdr:rowOff>199291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3F9FC45-8D20-1068-FFBE-2795A2C10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0389" b="6494"/>
        <a:stretch/>
      </xdr:blipFill>
      <xdr:spPr>
        <a:xfrm>
          <a:off x="45348004" y="2544849"/>
          <a:ext cx="1187212" cy="368334"/>
        </a:xfrm>
        <a:prstGeom prst="rect">
          <a:avLst/>
        </a:prstGeom>
      </xdr:spPr>
    </xdr:pic>
    <xdr:clientData/>
  </xdr:twoCellAnchor>
  <xdr:twoCellAnchor editAs="oneCell">
    <xdr:from>
      <xdr:col>51</xdr:col>
      <xdr:colOff>168232</xdr:colOff>
      <xdr:row>12</xdr:row>
      <xdr:rowOff>35712</xdr:rowOff>
    </xdr:from>
    <xdr:to>
      <xdr:col>52</xdr:col>
      <xdr:colOff>728785</xdr:colOff>
      <xdr:row>13</xdr:row>
      <xdr:rowOff>174927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C67D388-3073-A00F-967C-3711707EB6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0082" b="5268"/>
        <a:stretch/>
      </xdr:blipFill>
      <xdr:spPr>
        <a:xfrm>
          <a:off x="42831267" y="2590653"/>
          <a:ext cx="1362894" cy="322992"/>
        </a:xfrm>
        <a:prstGeom prst="rect">
          <a:avLst/>
        </a:prstGeom>
      </xdr:spPr>
    </xdr:pic>
    <xdr:clientData/>
  </xdr:twoCellAnchor>
  <xdr:oneCellAnchor>
    <xdr:from>
      <xdr:col>52</xdr:col>
      <xdr:colOff>366033</xdr:colOff>
      <xdr:row>1</xdr:row>
      <xdr:rowOff>175533</xdr:rowOff>
    </xdr:from>
    <xdr:ext cx="11484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D7D8EFE-7510-6BF8-8CBE-F213B248A3A0}"/>
                </a:ext>
              </a:extLst>
            </xdr:cNvPr>
            <xdr:cNvSpPr txBox="1"/>
          </xdr:nvSpPr>
          <xdr:spPr>
            <a:xfrm>
              <a:off x="43840854" y="536122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D7D8EFE-7510-6BF8-8CBE-F213B248A3A0}"/>
                </a:ext>
              </a:extLst>
            </xdr:cNvPr>
            <xdr:cNvSpPr txBox="1"/>
          </xdr:nvSpPr>
          <xdr:spPr>
            <a:xfrm>
              <a:off x="43840854" y="536122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𝑌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53</xdr:col>
      <xdr:colOff>360590</xdr:colOff>
      <xdr:row>1</xdr:row>
      <xdr:rowOff>183697</xdr:rowOff>
    </xdr:from>
    <xdr:ext cx="297180" cy="137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BD16C17-69A7-4F59-979D-208D6633145F}"/>
                </a:ext>
              </a:extLst>
            </xdr:cNvPr>
            <xdr:cNvSpPr txBox="1"/>
          </xdr:nvSpPr>
          <xdr:spPr>
            <a:xfrm>
              <a:off x="44638233" y="544286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BD16C17-69A7-4F59-979D-208D6633145F}"/>
                </a:ext>
              </a:extLst>
            </xdr:cNvPr>
            <xdr:cNvSpPr txBox="1"/>
          </xdr:nvSpPr>
          <xdr:spPr>
            <a:xfrm>
              <a:off x="44638233" y="544286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𝑋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54</xdr:col>
      <xdr:colOff>476250</xdr:colOff>
      <xdr:row>1</xdr:row>
      <xdr:rowOff>204107</xdr:rowOff>
    </xdr:from>
    <xdr:ext cx="11484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7CBCAA1A-9C33-46C8-8B0A-59757C22B372}"/>
                </a:ext>
              </a:extLst>
            </xdr:cNvPr>
            <xdr:cNvSpPr txBox="1"/>
          </xdr:nvSpPr>
          <xdr:spPr>
            <a:xfrm>
              <a:off x="45556714" y="564696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7CBCAA1A-9C33-46C8-8B0A-59757C22B372}"/>
                </a:ext>
              </a:extLst>
            </xdr:cNvPr>
            <xdr:cNvSpPr txBox="1"/>
          </xdr:nvSpPr>
          <xdr:spPr>
            <a:xfrm>
              <a:off x="45556714" y="564696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𝑌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51</xdr:col>
      <xdr:colOff>285899</xdr:colOff>
      <xdr:row>18</xdr:row>
      <xdr:rowOff>2177</xdr:rowOff>
    </xdr:from>
    <xdr:ext cx="297180" cy="137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FFB517B5-C791-4F12-A345-693A69CF3AE8}"/>
                </a:ext>
              </a:extLst>
            </xdr:cNvPr>
            <xdr:cNvSpPr txBox="1"/>
          </xdr:nvSpPr>
          <xdr:spPr>
            <a:xfrm>
              <a:off x="42992535" y="3632068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FFB517B5-C791-4F12-A345-693A69CF3AE8}"/>
                </a:ext>
              </a:extLst>
            </xdr:cNvPr>
            <xdr:cNvSpPr txBox="1"/>
          </xdr:nvSpPr>
          <xdr:spPr>
            <a:xfrm>
              <a:off x="42992535" y="3632068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𝑋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52</xdr:col>
      <xdr:colOff>345251</xdr:colOff>
      <xdr:row>18</xdr:row>
      <xdr:rowOff>30060</xdr:rowOff>
    </xdr:from>
    <xdr:ext cx="11484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FBDA09AA-5BD6-46E4-B08F-6FDAC36FD4AB}"/>
                </a:ext>
              </a:extLst>
            </xdr:cNvPr>
            <xdr:cNvSpPr txBox="1"/>
          </xdr:nvSpPr>
          <xdr:spPr>
            <a:xfrm>
              <a:off x="43855451" y="3659951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FBDA09AA-5BD6-46E4-B08F-6FDAC36FD4AB}"/>
                </a:ext>
              </a:extLst>
            </xdr:cNvPr>
            <xdr:cNvSpPr txBox="1"/>
          </xdr:nvSpPr>
          <xdr:spPr>
            <a:xfrm>
              <a:off x="43855451" y="3659951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𝑌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53</xdr:col>
      <xdr:colOff>346735</xdr:colOff>
      <xdr:row>18</xdr:row>
      <xdr:rowOff>3588</xdr:rowOff>
    </xdr:from>
    <xdr:ext cx="297180" cy="137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E4DBAA5D-98A5-42FA-BA7B-225F4C561118}"/>
                </a:ext>
              </a:extLst>
            </xdr:cNvPr>
            <xdr:cNvSpPr txBox="1"/>
          </xdr:nvSpPr>
          <xdr:spPr>
            <a:xfrm>
              <a:off x="44660499" y="3633479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E4DBAA5D-98A5-42FA-BA7B-225F4C561118}"/>
                </a:ext>
              </a:extLst>
            </xdr:cNvPr>
            <xdr:cNvSpPr txBox="1"/>
          </xdr:nvSpPr>
          <xdr:spPr>
            <a:xfrm>
              <a:off x="44660499" y="3633479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𝑋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54</xdr:col>
      <xdr:colOff>448541</xdr:colOff>
      <xdr:row>18</xdr:row>
      <xdr:rowOff>8065</xdr:rowOff>
    </xdr:from>
    <xdr:ext cx="11484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6474A1E0-F5ED-4D93-BAA9-E8A50CECF45B}"/>
                </a:ext>
              </a:extLst>
            </xdr:cNvPr>
            <xdr:cNvSpPr txBox="1"/>
          </xdr:nvSpPr>
          <xdr:spPr>
            <a:xfrm>
              <a:off x="45565868" y="3637956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6474A1E0-F5ED-4D93-BAA9-E8A50CECF45B}"/>
                </a:ext>
              </a:extLst>
            </xdr:cNvPr>
            <xdr:cNvSpPr txBox="1"/>
          </xdr:nvSpPr>
          <xdr:spPr>
            <a:xfrm>
              <a:off x="45565868" y="3637956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𝑌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51</xdr:col>
      <xdr:colOff>285899</xdr:colOff>
      <xdr:row>31</xdr:row>
      <xdr:rowOff>2177</xdr:rowOff>
    </xdr:from>
    <xdr:ext cx="297180" cy="137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BF5B1EAF-1AA7-4BC7-9EDB-DD53C1B2BC57}"/>
                </a:ext>
              </a:extLst>
            </xdr:cNvPr>
            <xdr:cNvSpPr txBox="1"/>
          </xdr:nvSpPr>
          <xdr:spPr>
            <a:xfrm>
              <a:off x="42992535" y="3632068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BF5B1EAF-1AA7-4BC7-9EDB-DD53C1B2BC57}"/>
                </a:ext>
              </a:extLst>
            </xdr:cNvPr>
            <xdr:cNvSpPr txBox="1"/>
          </xdr:nvSpPr>
          <xdr:spPr>
            <a:xfrm>
              <a:off x="42992535" y="3632068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𝑋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52</xdr:col>
      <xdr:colOff>345251</xdr:colOff>
      <xdr:row>31</xdr:row>
      <xdr:rowOff>30060</xdr:rowOff>
    </xdr:from>
    <xdr:ext cx="11484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D21AD696-4792-4D14-9C01-52F76FA36AAE}"/>
                </a:ext>
              </a:extLst>
            </xdr:cNvPr>
            <xdr:cNvSpPr txBox="1"/>
          </xdr:nvSpPr>
          <xdr:spPr>
            <a:xfrm>
              <a:off x="43855451" y="3659951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D21AD696-4792-4D14-9C01-52F76FA36AAE}"/>
                </a:ext>
              </a:extLst>
            </xdr:cNvPr>
            <xdr:cNvSpPr txBox="1"/>
          </xdr:nvSpPr>
          <xdr:spPr>
            <a:xfrm>
              <a:off x="43855451" y="3659951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𝑌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53</xdr:col>
      <xdr:colOff>346735</xdr:colOff>
      <xdr:row>31</xdr:row>
      <xdr:rowOff>3588</xdr:rowOff>
    </xdr:from>
    <xdr:ext cx="297180" cy="137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8B5D1112-6420-45C4-AED0-48FFB545BD37}"/>
                </a:ext>
              </a:extLst>
            </xdr:cNvPr>
            <xdr:cNvSpPr txBox="1"/>
          </xdr:nvSpPr>
          <xdr:spPr>
            <a:xfrm>
              <a:off x="44660499" y="3633479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8B5D1112-6420-45C4-AED0-48FFB545BD37}"/>
                </a:ext>
              </a:extLst>
            </xdr:cNvPr>
            <xdr:cNvSpPr txBox="1"/>
          </xdr:nvSpPr>
          <xdr:spPr>
            <a:xfrm>
              <a:off x="44660499" y="3633479"/>
              <a:ext cx="297180" cy="137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GT" sz="1100" b="0" i="0">
                  <a:latin typeface="Cambria Math" panose="02040503050406030204" pitchFamily="18" charset="0"/>
                </a:rPr>
                <a:t>𝑋 ̅</a:t>
              </a:r>
              <a:endParaRPr lang="es-GT" sz="1100"/>
            </a:p>
          </xdr:txBody>
        </xdr:sp>
      </mc:Fallback>
    </mc:AlternateContent>
    <xdr:clientData/>
  </xdr:oneCellAnchor>
  <xdr:oneCellAnchor>
    <xdr:from>
      <xdr:col>54</xdr:col>
      <xdr:colOff>448541</xdr:colOff>
      <xdr:row>31</xdr:row>
      <xdr:rowOff>8065</xdr:rowOff>
    </xdr:from>
    <xdr:ext cx="114840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4E57DBCF-943D-49C3-9997-1194ACC32A2F}"/>
                </a:ext>
              </a:extLst>
            </xdr:cNvPr>
            <xdr:cNvSpPr txBox="1"/>
          </xdr:nvSpPr>
          <xdr:spPr>
            <a:xfrm>
              <a:off x="45565868" y="3637956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G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GT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4E57DBCF-943D-49C3-9997-1194ACC32A2F}"/>
                </a:ext>
              </a:extLst>
            </xdr:cNvPr>
            <xdr:cNvSpPr txBox="1"/>
          </xdr:nvSpPr>
          <xdr:spPr>
            <a:xfrm>
              <a:off x="45565868" y="3637956"/>
              <a:ext cx="114840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GT" sz="1100" b="0" i="0">
                  <a:latin typeface="Cambria Math" panose="02040503050406030204" pitchFamily="18" charset="0"/>
                </a:rPr>
                <a:t>𝑌 ̅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56</xdr:col>
      <xdr:colOff>121869</xdr:colOff>
      <xdr:row>15</xdr:row>
      <xdr:rowOff>147525</xdr:rowOff>
    </xdr:from>
    <xdr:to>
      <xdr:col>57</xdr:col>
      <xdr:colOff>535677</xdr:colOff>
      <xdr:row>17</xdr:row>
      <xdr:rowOff>4618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AF88AEA-C4D7-4434-B338-B02097917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24819" y="2516075"/>
          <a:ext cx="1213908" cy="225393"/>
        </a:xfrm>
        <a:prstGeom prst="rect">
          <a:avLst/>
        </a:prstGeom>
      </xdr:spPr>
    </xdr:pic>
    <xdr:clientData/>
  </xdr:twoCellAnchor>
  <xdr:twoCellAnchor editAs="oneCell">
    <xdr:from>
      <xdr:col>60</xdr:col>
      <xdr:colOff>500305</xdr:colOff>
      <xdr:row>13</xdr:row>
      <xdr:rowOff>70555</xdr:rowOff>
    </xdr:from>
    <xdr:to>
      <xdr:col>62</xdr:col>
      <xdr:colOff>153828</xdr:colOff>
      <xdr:row>15</xdr:row>
      <xdr:rowOff>101248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6CFB378-DA68-4592-8258-66EC0E09A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659045" y="110895835"/>
          <a:ext cx="1253723" cy="4193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ISE&#209;O%20ESTRUCTURAL\Calculo%20Dise&#241;o.xlsx" TargetMode="External"/><Relationship Id="rId1" Type="http://schemas.openxmlformats.org/officeDocument/2006/relationships/externalLinkPath" Target="file:///E:\DISE&#209;O%20ESTRUCTURAL\Calculo%20Dise&#241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654">
          <cell r="L654">
            <v>0</v>
          </cell>
        </row>
        <row r="655">
          <cell r="L655">
            <v>738891.28486574057</v>
          </cell>
        </row>
        <row r="656">
          <cell r="L656">
            <v>2233732.6869408404</v>
          </cell>
        </row>
        <row r="657">
          <cell r="L657">
            <v>7713267.3788983505</v>
          </cell>
        </row>
        <row r="658">
          <cell r="J658">
            <v>1387680.412522285</v>
          </cell>
          <cell r="L658">
            <v>10685891.350704931</v>
          </cell>
        </row>
        <row r="660">
          <cell r="A660" t="str">
            <v>CENTRO DE RIGIDEZ</v>
          </cell>
          <cell r="D660" t="str">
            <v>CENTRO DE MASA</v>
          </cell>
          <cell r="G660" t="str">
            <v>EXCENTRICIDAD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C8A2-335B-4292-BF8E-924E0482C5E4}">
  <dimension ref="A1:BK43"/>
  <sheetViews>
    <sheetView tabSelected="1" view="pageLayout" zoomScale="90" zoomScaleNormal="100" zoomScalePageLayoutView="90" workbookViewId="0">
      <selection activeCell="E6" sqref="E6"/>
    </sheetView>
  </sheetViews>
  <sheetFormatPr baseColWidth="10" defaultRowHeight="13.8"/>
  <cols>
    <col min="1" max="1" width="11.19921875" style="61"/>
    <col min="2" max="2" width="12.8984375" style="61" customWidth="1"/>
    <col min="3" max="3" width="10.5" style="61" customWidth="1"/>
    <col min="4" max="4" width="13.59765625" style="61" customWidth="1"/>
    <col min="5" max="5" width="13.796875" style="61" customWidth="1"/>
    <col min="6" max="8" width="11.19921875" style="61"/>
    <col min="9" max="9" width="11.59765625" style="61" customWidth="1"/>
    <col min="10" max="10" width="12" style="61" customWidth="1"/>
    <col min="11" max="11" width="11.3984375" style="61" customWidth="1"/>
    <col min="12" max="13" width="11.19921875" style="61"/>
    <col min="14" max="14" width="12.59765625" style="61" customWidth="1"/>
    <col min="15" max="15" width="14.09765625" style="61" customWidth="1"/>
    <col min="16" max="16" width="12.69921875" style="61" customWidth="1"/>
    <col min="17" max="22" width="11.19921875" style="61"/>
    <col min="23" max="23" width="11.8984375" style="61" customWidth="1"/>
    <col min="24" max="24" width="11.5" style="61" customWidth="1"/>
    <col min="25" max="28" width="11.19921875" style="61"/>
    <col min="29" max="29" width="12.3984375" style="61" customWidth="1"/>
    <col min="30" max="30" width="12.69921875" style="61" bestFit="1" customWidth="1"/>
    <col min="31" max="32" width="11.19921875" style="61"/>
    <col min="33" max="33" width="12.59765625" style="61" customWidth="1"/>
    <col min="34" max="42" width="11.19921875" style="61"/>
    <col min="43" max="43" width="12.796875" style="61" customWidth="1"/>
    <col min="44" max="44" width="15.19921875" style="61" customWidth="1"/>
    <col min="45" max="45" width="13" style="61" bestFit="1" customWidth="1"/>
    <col min="46" max="46" width="11.19921875" style="61"/>
    <col min="47" max="47" width="11.8984375" style="61" customWidth="1"/>
    <col min="48" max="16384" width="11.19921875" style="61"/>
  </cols>
  <sheetData>
    <row r="1" spans="1:63" ht="28.2" thickBot="1">
      <c r="A1" s="1" t="s">
        <v>0</v>
      </c>
      <c r="B1" s="1"/>
      <c r="C1" s="1"/>
      <c r="D1" s="1"/>
      <c r="E1" s="1"/>
      <c r="F1" s="1"/>
      <c r="H1" s="2" t="s">
        <v>64</v>
      </c>
      <c r="I1" s="32" t="s">
        <v>65</v>
      </c>
      <c r="J1" s="32" t="s">
        <v>66</v>
      </c>
      <c r="K1" s="33" t="s">
        <v>67</v>
      </c>
      <c r="L1" s="178" t="s">
        <v>68</v>
      </c>
      <c r="M1" s="179"/>
      <c r="N1" s="92">
        <f>C22</f>
        <v>2.4</v>
      </c>
      <c r="O1" s="145" t="s">
        <v>80</v>
      </c>
      <c r="P1" s="146"/>
      <c r="Q1" s="146"/>
      <c r="R1" s="146"/>
      <c r="S1" s="146"/>
      <c r="T1" s="73" t="s">
        <v>81</v>
      </c>
      <c r="U1" s="47">
        <f>K38*L37*I38</f>
        <v>59.137919999999994</v>
      </c>
      <c r="V1" s="2" t="str">
        <f t="shared" ref="V1:AB2" si="0">H1</f>
        <v>Area de Columna</v>
      </c>
      <c r="W1" s="32" t="str">
        <f t="shared" si="0"/>
        <v>Area de Muro 1</v>
      </c>
      <c r="X1" s="32" t="str">
        <f t="shared" si="0"/>
        <v>Area de Muro 2</v>
      </c>
      <c r="Y1" s="33" t="str">
        <f t="shared" si="0"/>
        <v>Area de Elevador</v>
      </c>
      <c r="Z1" s="178" t="str">
        <f t="shared" si="0"/>
        <v>Peso especifico del concreto</v>
      </c>
      <c r="AA1" s="179"/>
      <c r="AB1" s="92">
        <f t="shared" si="0"/>
        <v>2.4</v>
      </c>
      <c r="AC1" s="145" t="s">
        <v>80</v>
      </c>
      <c r="AD1" s="146"/>
      <c r="AE1" s="146"/>
      <c r="AF1" s="146"/>
      <c r="AG1" s="146"/>
      <c r="AH1" s="73" t="s">
        <v>81</v>
      </c>
      <c r="AI1" s="47">
        <f>Y38*Z37*W38</f>
        <v>59.137919999999994</v>
      </c>
      <c r="AJ1" s="2" t="str">
        <f t="shared" ref="AJ1:AJ2" si="1">V1</f>
        <v>Area de Columna</v>
      </c>
      <c r="AK1" s="32" t="str">
        <f t="shared" ref="AK1:AK2" si="2">W1</f>
        <v>Area de Muro 1</v>
      </c>
      <c r="AL1" s="32" t="str">
        <f t="shared" ref="AL1:AL2" si="3">X1</f>
        <v>Area de Muro 2</v>
      </c>
      <c r="AM1" s="33" t="str">
        <f t="shared" ref="AM1:AM2" si="4">Y1</f>
        <v>Area de Elevador</v>
      </c>
      <c r="AN1" s="178" t="str">
        <f t="shared" ref="AN1" si="5">Z1</f>
        <v>Peso especifico del concreto</v>
      </c>
      <c r="AO1" s="179"/>
      <c r="AP1" s="92">
        <f t="shared" ref="AP1" si="6">AB1</f>
        <v>2.4</v>
      </c>
      <c r="AQ1" s="145" t="s">
        <v>80</v>
      </c>
      <c r="AR1" s="146"/>
      <c r="AS1" s="146"/>
      <c r="AT1" s="146"/>
      <c r="AU1" s="146"/>
      <c r="AV1" s="73" t="s">
        <v>81</v>
      </c>
      <c r="AW1" s="90">
        <f>+AK40*AM40*AN39</f>
        <v>64.247039999999984</v>
      </c>
      <c r="AX1" s="202" t="s">
        <v>122</v>
      </c>
      <c r="AY1" s="203"/>
      <c r="AZ1" s="203"/>
      <c r="BA1" s="203"/>
      <c r="BB1" s="203"/>
      <c r="BC1" s="204"/>
      <c r="BD1" s="65"/>
      <c r="BE1" s="208" t="s">
        <v>136</v>
      </c>
      <c r="BF1" s="208"/>
      <c r="BG1" s="208"/>
    </row>
    <row r="2" spans="1:63" ht="28.2" thickBot="1">
      <c r="A2" s="2" t="s">
        <v>1</v>
      </c>
      <c r="B2" s="73" t="s">
        <v>2</v>
      </c>
      <c r="C2" s="73" t="s">
        <v>3</v>
      </c>
      <c r="D2" s="73" t="s">
        <v>4</v>
      </c>
      <c r="E2" s="78" t="s">
        <v>5</v>
      </c>
      <c r="H2" s="34">
        <f>B10</f>
        <v>0.20250000000000001</v>
      </c>
      <c r="I2" s="10">
        <f>0.81*4.27</f>
        <v>3.4586999999999999</v>
      </c>
      <c r="J2" s="10">
        <v>0</v>
      </c>
      <c r="K2" s="11">
        <f>F18</f>
        <v>3.0929999999999995</v>
      </c>
      <c r="O2" s="147" t="s">
        <v>80</v>
      </c>
      <c r="P2" s="148"/>
      <c r="Q2" s="148"/>
      <c r="R2" s="148"/>
      <c r="S2" s="148"/>
      <c r="T2" s="66" t="s">
        <v>82</v>
      </c>
      <c r="U2" s="68">
        <f>L37*N39</f>
        <v>56.468500000000006</v>
      </c>
      <c r="V2" s="34">
        <f t="shared" si="0"/>
        <v>0.20250000000000001</v>
      </c>
      <c r="W2" s="10">
        <f t="shared" si="0"/>
        <v>3.4586999999999999</v>
      </c>
      <c r="X2" s="10">
        <f t="shared" si="0"/>
        <v>0</v>
      </c>
      <c r="Y2" s="11">
        <f t="shared" si="0"/>
        <v>3.0929999999999995</v>
      </c>
      <c r="AC2" s="147" t="s">
        <v>80</v>
      </c>
      <c r="AD2" s="148"/>
      <c r="AE2" s="148"/>
      <c r="AF2" s="148"/>
      <c r="AG2" s="148"/>
      <c r="AH2" s="66" t="s">
        <v>82</v>
      </c>
      <c r="AI2" s="68">
        <f>Z37*AB39</f>
        <v>56.468500000000006</v>
      </c>
      <c r="AJ2" s="34">
        <f t="shared" si="1"/>
        <v>0.20250000000000001</v>
      </c>
      <c r="AK2" s="10">
        <f t="shared" si="2"/>
        <v>3.4586999999999999</v>
      </c>
      <c r="AL2" s="10">
        <f t="shared" si="3"/>
        <v>0</v>
      </c>
      <c r="AM2" s="11">
        <f t="shared" si="4"/>
        <v>3.0929999999999995</v>
      </c>
      <c r="AQ2" s="147" t="s">
        <v>80</v>
      </c>
      <c r="AR2" s="148"/>
      <c r="AS2" s="148"/>
      <c r="AT2" s="148"/>
      <c r="AU2" s="148"/>
      <c r="AV2" s="66" t="s">
        <v>82</v>
      </c>
      <c r="AW2" s="91">
        <f>+AN39*AP41</f>
        <v>61.347000000000001</v>
      </c>
      <c r="AX2" s="74" t="s">
        <v>75</v>
      </c>
      <c r="AY2" s="66" t="s">
        <v>76</v>
      </c>
      <c r="AZ2" s="66"/>
      <c r="BA2" s="66"/>
      <c r="BB2" s="66" t="s">
        <v>101</v>
      </c>
      <c r="BC2" s="7" t="s">
        <v>101</v>
      </c>
      <c r="BE2" s="66" t="s">
        <v>137</v>
      </c>
      <c r="BF2" s="66" t="s">
        <v>138</v>
      </c>
      <c r="BG2" s="66" t="s">
        <v>139</v>
      </c>
    </row>
    <row r="3" spans="1:63" ht="14.4" thickBot="1">
      <c r="A3" s="74" t="s">
        <v>6</v>
      </c>
      <c r="B3" s="3">
        <v>150</v>
      </c>
      <c r="C3" s="3">
        <v>125</v>
      </c>
      <c r="D3" s="3">
        <v>125</v>
      </c>
      <c r="E3" s="4">
        <v>175</v>
      </c>
      <c r="O3" s="147" t="s">
        <v>83</v>
      </c>
      <c r="P3" s="148"/>
      <c r="Q3" s="148"/>
      <c r="R3" s="148"/>
      <c r="S3" s="148"/>
      <c r="T3" s="66" t="s">
        <v>84</v>
      </c>
      <c r="U3" s="68">
        <f>SUM(U1:U2)</f>
        <v>115.60642</v>
      </c>
      <c r="AC3" s="147" t="s">
        <v>83</v>
      </c>
      <c r="AD3" s="148"/>
      <c r="AE3" s="148"/>
      <c r="AF3" s="148"/>
      <c r="AG3" s="148"/>
      <c r="AH3" s="66" t="s">
        <v>84</v>
      </c>
      <c r="AI3" s="68">
        <f>SUM(AI1:AI2)</f>
        <v>115.60642</v>
      </c>
      <c r="AQ3" s="147" t="s">
        <v>83</v>
      </c>
      <c r="AR3" s="148"/>
      <c r="AS3" s="148"/>
      <c r="AT3" s="148"/>
      <c r="AU3" s="148"/>
      <c r="AV3" s="66" t="s">
        <v>84</v>
      </c>
      <c r="AW3" s="91">
        <f>SUM(AW1:AW2)</f>
        <v>125.59403999999998</v>
      </c>
      <c r="AX3" s="74" t="s">
        <v>123</v>
      </c>
      <c r="AY3" s="37">
        <f t="shared" ref="AY3:AY8" si="7">I31</f>
        <v>28.56</v>
      </c>
      <c r="AZ3" s="66">
        <v>2.73</v>
      </c>
      <c r="BA3" s="66">
        <v>2.48</v>
      </c>
      <c r="BB3" s="66">
        <f>AY3*AZ3</f>
        <v>77.968800000000002</v>
      </c>
      <c r="BC3" s="7">
        <f>BA3*AY3</f>
        <v>70.828800000000001</v>
      </c>
      <c r="BE3" s="66">
        <v>1</v>
      </c>
      <c r="BF3" s="106">
        <f>S29</f>
        <v>244.24649810000003</v>
      </c>
      <c r="BG3" s="27">
        <v>4.25</v>
      </c>
    </row>
    <row r="4" spans="1:63" ht="14.4" thickBot="1">
      <c r="A4" s="75" t="s">
        <v>7</v>
      </c>
      <c r="B4" s="5">
        <v>250</v>
      </c>
      <c r="C4" s="5">
        <v>125</v>
      </c>
      <c r="D4" s="5">
        <v>125</v>
      </c>
      <c r="E4" s="6">
        <v>275</v>
      </c>
      <c r="H4" s="72" t="s">
        <v>69</v>
      </c>
      <c r="I4" s="73" t="s">
        <v>70</v>
      </c>
      <c r="J4" s="73" t="s">
        <v>71</v>
      </c>
      <c r="K4" s="78" t="s">
        <v>72</v>
      </c>
      <c r="M4" s="180" t="s">
        <v>73</v>
      </c>
      <c r="N4" s="182">
        <f>SUM(H5:K5)</f>
        <v>43.844090399999992</v>
      </c>
      <c r="O4" s="147" t="s">
        <v>85</v>
      </c>
      <c r="P4" s="148"/>
      <c r="Q4" s="148"/>
      <c r="R4" s="148"/>
      <c r="S4" s="148"/>
      <c r="T4" s="66" t="s">
        <v>86</v>
      </c>
      <c r="U4" s="68">
        <f>J39*L37</f>
        <v>51.335000000000001</v>
      </c>
      <c r="V4" s="72" t="s">
        <v>69</v>
      </c>
      <c r="W4" s="73" t="s">
        <v>70</v>
      </c>
      <c r="X4" s="73" t="s">
        <v>71</v>
      </c>
      <c r="Y4" s="78" t="s">
        <v>72</v>
      </c>
      <c r="AA4" s="180" t="s">
        <v>73</v>
      </c>
      <c r="AB4" s="182">
        <f>SUM(V5:Y5)</f>
        <v>77.190299999999979</v>
      </c>
      <c r="AC4" s="147" t="s">
        <v>85</v>
      </c>
      <c r="AD4" s="148"/>
      <c r="AE4" s="148"/>
      <c r="AF4" s="148"/>
      <c r="AG4" s="148"/>
      <c r="AH4" s="66" t="s">
        <v>86</v>
      </c>
      <c r="AI4" s="68">
        <f>X39*Z37</f>
        <v>51.335000000000001</v>
      </c>
      <c r="AJ4" s="72" t="s">
        <v>69</v>
      </c>
      <c r="AK4" s="73" t="s">
        <v>70</v>
      </c>
      <c r="AL4" s="73" t="s">
        <v>71</v>
      </c>
      <c r="AM4" s="78" t="s">
        <v>72</v>
      </c>
      <c r="AO4" s="180" t="s">
        <v>73</v>
      </c>
      <c r="AP4" s="182">
        <f>SUM(AJ5:AM5)</f>
        <v>174.80969999999996</v>
      </c>
      <c r="AQ4" s="147" t="s">
        <v>85</v>
      </c>
      <c r="AR4" s="148"/>
      <c r="AS4" s="148"/>
      <c r="AT4" s="148"/>
      <c r="AU4" s="148"/>
      <c r="AV4" s="66" t="s">
        <v>86</v>
      </c>
      <c r="AW4" s="91">
        <f>+AN39*AL41</f>
        <v>55.769999999999996</v>
      </c>
      <c r="AX4" s="74" t="s">
        <v>124</v>
      </c>
      <c r="AY4" s="37">
        <f t="shared" si="7"/>
        <v>22.95</v>
      </c>
      <c r="AZ4" s="66">
        <v>7.85</v>
      </c>
      <c r="BA4" s="66">
        <v>2.48</v>
      </c>
      <c r="BB4" s="66">
        <f t="shared" ref="BB4:BB9" si="8">AY4*AZ4</f>
        <v>180.1575</v>
      </c>
      <c r="BC4" s="7">
        <f t="shared" ref="BC4:BC9" si="9">BA4*AY4</f>
        <v>56.915999999999997</v>
      </c>
      <c r="BE4" s="66">
        <v>2</v>
      </c>
      <c r="BF4" s="106">
        <f>AG29</f>
        <v>298.51055270000001</v>
      </c>
      <c r="BG4" s="27">
        <v>7.5</v>
      </c>
    </row>
    <row r="5" spans="1:63" ht="14.4" thickBot="1">
      <c r="H5" s="35">
        <f>H2*N1*(B39*B40)</f>
        <v>10.351799999999999</v>
      </c>
      <c r="I5" s="18">
        <f>I2*N1*(C39*C40)</f>
        <v>17.680874399999997</v>
      </c>
      <c r="J5" s="18">
        <f>N1*I2*(D39*D40)</f>
        <v>0</v>
      </c>
      <c r="K5" s="36">
        <f>K2*N1*(E39*E40)</f>
        <v>15.811415999999996</v>
      </c>
      <c r="M5" s="181"/>
      <c r="N5" s="183"/>
      <c r="O5" s="147" t="s">
        <v>87</v>
      </c>
      <c r="P5" s="148"/>
      <c r="Q5" s="66" t="s">
        <v>88</v>
      </c>
      <c r="R5" s="151">
        <v>0.25</v>
      </c>
      <c r="S5" s="151"/>
      <c r="T5" s="148" t="s">
        <v>89</v>
      </c>
      <c r="U5" s="162">
        <f>R5*U4+R6*U3</f>
        <v>128.44016999999999</v>
      </c>
      <c r="V5" s="35">
        <f>V2*AB1*(P39*P40)</f>
        <v>18.224999999999998</v>
      </c>
      <c r="W5" s="18">
        <f>W2*AB1*(Q39*Q40)</f>
        <v>31.128299999999996</v>
      </c>
      <c r="X5" s="18">
        <f>AB1*X2*(R39*R40)</f>
        <v>0</v>
      </c>
      <c r="Y5" s="36">
        <f>Y2*AB1*(S39*S40)</f>
        <v>27.836999999999996</v>
      </c>
      <c r="AA5" s="181"/>
      <c r="AB5" s="183"/>
      <c r="AC5" s="147" t="s">
        <v>87</v>
      </c>
      <c r="AD5" s="148"/>
      <c r="AE5" s="66" t="s">
        <v>88</v>
      </c>
      <c r="AF5" s="151">
        <v>0.25</v>
      </c>
      <c r="AG5" s="151"/>
      <c r="AH5" s="148" t="s">
        <v>89</v>
      </c>
      <c r="AI5" s="162">
        <f>AF5*AI4+AF6*AI3</f>
        <v>128.44016999999999</v>
      </c>
      <c r="AJ5" s="35">
        <f>AJ2*AP1*(AD39*AD40)</f>
        <v>15.795</v>
      </c>
      <c r="AK5" s="18">
        <f>AK2*AP1*(AE39*AE40)</f>
        <v>134.88929999999999</v>
      </c>
      <c r="AL5" s="18">
        <f>AP1*AL2*(AF39*AF40)</f>
        <v>0</v>
      </c>
      <c r="AM5" s="36">
        <f>AM2*AP1*(AG39*AG40)</f>
        <v>24.125399999999996</v>
      </c>
      <c r="AO5" s="181"/>
      <c r="AP5" s="183"/>
      <c r="AQ5" s="147" t="s">
        <v>87</v>
      </c>
      <c r="AR5" s="148"/>
      <c r="AS5" s="66" t="s">
        <v>88</v>
      </c>
      <c r="AT5" s="151">
        <v>0.25</v>
      </c>
      <c r="AU5" s="151"/>
      <c r="AV5" s="148" t="s">
        <v>89</v>
      </c>
      <c r="AW5" s="198">
        <f>AT5*AW4+AT6*AW3</f>
        <v>139.53653999999997</v>
      </c>
      <c r="AX5" s="74" t="s">
        <v>125</v>
      </c>
      <c r="AY5" s="37">
        <f t="shared" si="7"/>
        <v>28.56</v>
      </c>
      <c r="AZ5" s="66">
        <v>12.86</v>
      </c>
      <c r="BA5" s="66">
        <v>2.48</v>
      </c>
      <c r="BB5" s="66">
        <f t="shared" si="8"/>
        <v>367.28159999999997</v>
      </c>
      <c r="BC5" s="7">
        <f t="shared" si="9"/>
        <v>70.828800000000001</v>
      </c>
      <c r="BE5" s="66">
        <v>3</v>
      </c>
      <c r="BF5" s="106">
        <f>AU29</f>
        <v>403.18827249999993</v>
      </c>
      <c r="BG5" s="27">
        <v>13.05</v>
      </c>
    </row>
    <row r="6" spans="1:63" ht="14.4" thickBot="1">
      <c r="A6" s="145" t="s">
        <v>8</v>
      </c>
      <c r="B6" s="146"/>
      <c r="C6" s="73" t="s">
        <v>9</v>
      </c>
      <c r="D6" s="78" t="s">
        <v>10</v>
      </c>
      <c r="E6" s="61" t="s">
        <v>0</v>
      </c>
      <c r="O6" s="149"/>
      <c r="P6" s="150"/>
      <c r="Q6" s="67" t="s">
        <v>90</v>
      </c>
      <c r="R6" s="164">
        <v>1</v>
      </c>
      <c r="S6" s="164"/>
      <c r="T6" s="150"/>
      <c r="U6" s="163"/>
      <c r="AC6" s="149"/>
      <c r="AD6" s="150"/>
      <c r="AE6" s="67" t="s">
        <v>90</v>
      </c>
      <c r="AF6" s="164">
        <v>1</v>
      </c>
      <c r="AG6" s="164"/>
      <c r="AH6" s="150"/>
      <c r="AI6" s="163"/>
      <c r="AQ6" s="149"/>
      <c r="AR6" s="150"/>
      <c r="AS6" s="67" t="s">
        <v>90</v>
      </c>
      <c r="AT6" s="164">
        <v>1</v>
      </c>
      <c r="AU6" s="164"/>
      <c r="AV6" s="150"/>
      <c r="AW6" s="199"/>
      <c r="AX6" s="74" t="s">
        <v>126</v>
      </c>
      <c r="AY6" s="37">
        <f t="shared" si="7"/>
        <v>28</v>
      </c>
      <c r="AZ6" s="66">
        <v>2.73</v>
      </c>
      <c r="BA6" s="66">
        <v>7.6</v>
      </c>
      <c r="BB6" s="66">
        <f t="shared" si="8"/>
        <v>76.44</v>
      </c>
      <c r="BC6" s="7">
        <f t="shared" si="9"/>
        <v>212.79999999999998</v>
      </c>
      <c r="BE6" s="107" t="s">
        <v>140</v>
      </c>
      <c r="BF6" s="108">
        <f>BF5+BF4+BF3</f>
        <v>945.94532329999993</v>
      </c>
      <c r="BG6" s="109">
        <f>BG5+BG4+BG3</f>
        <v>24.8</v>
      </c>
    </row>
    <row r="7" spans="1:63" ht="14.4" thickBot="1">
      <c r="A7" s="74" t="s">
        <v>11</v>
      </c>
      <c r="B7" s="66" t="s">
        <v>12</v>
      </c>
      <c r="C7" s="66" t="s">
        <v>13</v>
      </c>
      <c r="D7" s="7" t="s">
        <v>14</v>
      </c>
      <c r="E7" s="61" t="s">
        <v>15</v>
      </c>
      <c r="F7" s="61" t="s">
        <v>16</v>
      </c>
      <c r="H7" s="157" t="s">
        <v>48</v>
      </c>
      <c r="I7" s="158"/>
      <c r="J7" s="158"/>
      <c r="K7" s="158"/>
      <c r="L7" s="158"/>
      <c r="M7" s="158"/>
      <c r="N7" s="159"/>
      <c r="P7" s="165" t="s">
        <v>91</v>
      </c>
      <c r="Q7" s="166"/>
      <c r="R7" s="166"/>
      <c r="S7" s="167">
        <f>U5</f>
        <v>128.44016999999999</v>
      </c>
      <c r="T7" s="167"/>
      <c r="U7" s="168"/>
      <c r="V7" s="157" t="s">
        <v>48</v>
      </c>
      <c r="W7" s="158"/>
      <c r="X7" s="158"/>
      <c r="Y7" s="158"/>
      <c r="Z7" s="158"/>
      <c r="AA7" s="158"/>
      <c r="AB7" s="159"/>
      <c r="AD7" s="165" t="s">
        <v>91</v>
      </c>
      <c r="AE7" s="166"/>
      <c r="AF7" s="166"/>
      <c r="AG7" s="167">
        <f>AI5</f>
        <v>128.44016999999999</v>
      </c>
      <c r="AH7" s="167"/>
      <c r="AI7" s="168"/>
      <c r="AR7" s="165" t="s">
        <v>91</v>
      </c>
      <c r="AS7" s="166"/>
      <c r="AT7" s="166"/>
      <c r="AU7" s="167">
        <f>AW5</f>
        <v>139.53653999999997</v>
      </c>
      <c r="AV7" s="167"/>
      <c r="AW7" s="200"/>
      <c r="AX7" s="74" t="s">
        <v>127</v>
      </c>
      <c r="AY7" s="37">
        <f t="shared" si="7"/>
        <v>29.71</v>
      </c>
      <c r="AZ7" s="66">
        <v>7.85</v>
      </c>
      <c r="BA7" s="66">
        <v>8.6</v>
      </c>
      <c r="BB7" s="66">
        <f t="shared" si="8"/>
        <v>233.2235</v>
      </c>
      <c r="BC7" s="7">
        <f t="shared" si="9"/>
        <v>255.506</v>
      </c>
    </row>
    <row r="8" spans="1:63" ht="14.4" thickBot="1">
      <c r="A8" s="74" t="s">
        <v>17</v>
      </c>
      <c r="B8" s="8">
        <v>0.45</v>
      </c>
      <c r="C8" s="8">
        <v>0.28000000000000003</v>
      </c>
      <c r="D8" s="9">
        <v>0.28000000000000003</v>
      </c>
      <c r="E8" s="61" t="s">
        <v>18</v>
      </c>
      <c r="F8" s="61" t="s">
        <v>19</v>
      </c>
      <c r="H8" s="72" t="s">
        <v>49</v>
      </c>
      <c r="I8" s="22">
        <v>3.23</v>
      </c>
      <c r="J8" s="73" t="s">
        <v>50</v>
      </c>
      <c r="K8" s="22">
        <v>4.8499999999999996</v>
      </c>
      <c r="L8" s="73" t="s">
        <v>50</v>
      </c>
      <c r="M8" s="26">
        <v>4.8</v>
      </c>
      <c r="N8" s="23">
        <f>I8+K8+M8</f>
        <v>12.879999999999999</v>
      </c>
      <c r="P8" s="169" t="s">
        <v>92</v>
      </c>
      <c r="Q8" s="170"/>
      <c r="R8" s="170"/>
      <c r="S8" s="171">
        <f>0.25*U4</f>
        <v>12.83375</v>
      </c>
      <c r="T8" s="171"/>
      <c r="U8" s="172"/>
      <c r="V8" s="72" t="s">
        <v>49</v>
      </c>
      <c r="W8" s="22">
        <f>+I8</f>
        <v>3.23</v>
      </c>
      <c r="X8" s="73" t="s">
        <v>50</v>
      </c>
      <c r="Y8" s="22">
        <f>+K8</f>
        <v>4.8499999999999996</v>
      </c>
      <c r="Z8" s="73" t="s">
        <v>50</v>
      </c>
      <c r="AA8" s="26">
        <f>+M8</f>
        <v>4.8</v>
      </c>
      <c r="AB8" s="23">
        <f>W8+Y8+AA8</f>
        <v>12.879999999999999</v>
      </c>
      <c r="AD8" s="169" t="s">
        <v>92</v>
      </c>
      <c r="AE8" s="170"/>
      <c r="AF8" s="170"/>
      <c r="AG8" s="171">
        <f>0.25*AI4</f>
        <v>12.83375</v>
      </c>
      <c r="AH8" s="171"/>
      <c r="AI8" s="172"/>
      <c r="AR8" s="169" t="s">
        <v>92</v>
      </c>
      <c r="AS8" s="170"/>
      <c r="AT8" s="170"/>
      <c r="AU8" s="171">
        <f>0.25*AW4</f>
        <v>13.942499999999999</v>
      </c>
      <c r="AV8" s="171"/>
      <c r="AW8" s="201"/>
      <c r="AX8" s="74" t="s">
        <v>128</v>
      </c>
      <c r="AY8" s="37">
        <f t="shared" si="7"/>
        <v>14.63</v>
      </c>
      <c r="AZ8" s="66">
        <v>12.98</v>
      </c>
      <c r="BA8" s="66">
        <v>7.6</v>
      </c>
      <c r="BB8" s="66">
        <f t="shared" si="8"/>
        <v>189.8974</v>
      </c>
      <c r="BC8" s="7">
        <f t="shared" si="9"/>
        <v>111.188</v>
      </c>
      <c r="BE8" s="209" t="s">
        <v>141</v>
      </c>
      <c r="BF8" s="209"/>
      <c r="BG8" s="209"/>
      <c r="BH8" s="209"/>
      <c r="BI8" s="209"/>
      <c r="BJ8" s="209"/>
      <c r="BK8" s="209"/>
    </row>
    <row r="9" spans="1:63" ht="14.4" thickBot="1">
      <c r="A9" s="74" t="s">
        <v>20</v>
      </c>
      <c r="B9" s="8">
        <v>0.45</v>
      </c>
      <c r="C9" s="8">
        <v>0.48</v>
      </c>
      <c r="D9" s="9">
        <v>0.52</v>
      </c>
      <c r="E9" s="61" t="s">
        <v>21</v>
      </c>
      <c r="F9" s="61">
        <v>3</v>
      </c>
      <c r="H9" s="74" t="s">
        <v>51</v>
      </c>
      <c r="I9" s="8">
        <v>4.8</v>
      </c>
      <c r="J9" s="66" t="s">
        <v>50</v>
      </c>
      <c r="K9" s="8">
        <v>4.8499999999999996</v>
      </c>
      <c r="L9" s="66" t="s">
        <v>50</v>
      </c>
      <c r="M9" s="27">
        <v>4.8</v>
      </c>
      <c r="N9" s="24">
        <f>I9+K9+M9</f>
        <v>14.45</v>
      </c>
      <c r="O9" s="160" t="s">
        <v>119</v>
      </c>
      <c r="P9" s="160"/>
      <c r="Q9" s="160"/>
      <c r="R9" s="160"/>
      <c r="S9" s="160"/>
      <c r="T9" s="160"/>
      <c r="U9" s="160"/>
      <c r="V9" s="74" t="s">
        <v>51</v>
      </c>
      <c r="W9" s="22">
        <f t="shared" ref="W9:W11" si="10">+I9</f>
        <v>4.8</v>
      </c>
      <c r="X9" s="66" t="s">
        <v>50</v>
      </c>
      <c r="Y9" s="22">
        <f t="shared" ref="Y9:Y11" si="11">+K9</f>
        <v>4.8499999999999996</v>
      </c>
      <c r="Z9" s="66" t="s">
        <v>50</v>
      </c>
      <c r="AA9" s="26">
        <f t="shared" ref="AA9:AA11" si="12">+M9</f>
        <v>4.8</v>
      </c>
      <c r="AB9" s="24">
        <f>W9+Y9+AA9</f>
        <v>14.45</v>
      </c>
      <c r="AJ9" s="62" t="s">
        <v>48</v>
      </c>
      <c r="AK9" s="63"/>
      <c r="AL9" s="63"/>
      <c r="AM9" s="63"/>
      <c r="AN9" s="63"/>
      <c r="AO9" s="63"/>
      <c r="AP9" s="64"/>
      <c r="AX9" s="74" t="s">
        <v>129</v>
      </c>
      <c r="AY9" s="37">
        <f>Y31</f>
        <v>28.56</v>
      </c>
      <c r="AZ9" s="66">
        <v>2.73</v>
      </c>
      <c r="BA9" s="66">
        <v>12.73</v>
      </c>
      <c r="BB9" s="66">
        <f t="shared" si="8"/>
        <v>77.968800000000002</v>
      </c>
      <c r="BC9" s="7">
        <f t="shared" si="9"/>
        <v>363.56880000000001</v>
      </c>
    </row>
    <row r="10" spans="1:63" ht="14.4" thickBot="1">
      <c r="A10" s="75" t="s">
        <v>22</v>
      </c>
      <c r="B10" s="10">
        <f>B8*B9</f>
        <v>0.20250000000000001</v>
      </c>
      <c r="C10" s="10">
        <f>C8*C9</f>
        <v>0.13440000000000002</v>
      </c>
      <c r="D10" s="11">
        <f>D8*D9</f>
        <v>0.14560000000000001</v>
      </c>
      <c r="H10" s="74" t="s">
        <v>52</v>
      </c>
      <c r="I10" s="8">
        <v>4.8</v>
      </c>
      <c r="J10" s="66" t="s">
        <v>50</v>
      </c>
      <c r="K10" s="8">
        <v>4.8499999999999996</v>
      </c>
      <c r="L10" s="66" t="s">
        <v>50</v>
      </c>
      <c r="M10" s="27">
        <v>4.8</v>
      </c>
      <c r="N10" s="9">
        <f>I10+K10+M10</f>
        <v>14.45</v>
      </c>
      <c r="V10" s="74" t="s">
        <v>52</v>
      </c>
      <c r="W10" s="22">
        <f t="shared" si="10"/>
        <v>4.8</v>
      </c>
      <c r="X10" s="66" t="s">
        <v>50</v>
      </c>
      <c r="Y10" s="22">
        <f t="shared" si="11"/>
        <v>4.8499999999999996</v>
      </c>
      <c r="Z10" s="66" t="s">
        <v>50</v>
      </c>
      <c r="AA10" s="26">
        <f t="shared" si="12"/>
        <v>4.8</v>
      </c>
      <c r="AB10" s="9">
        <f>W10+Y10+AA10</f>
        <v>14.45</v>
      </c>
      <c r="AC10" s="160" t="s">
        <v>120</v>
      </c>
      <c r="AD10" s="160"/>
      <c r="AE10" s="160"/>
      <c r="AF10" s="160"/>
      <c r="AG10" s="160"/>
      <c r="AH10" s="160"/>
      <c r="AI10" s="160"/>
      <c r="AJ10" s="72" t="s">
        <v>49</v>
      </c>
      <c r="AK10" s="22">
        <f>+W8</f>
        <v>3.23</v>
      </c>
      <c r="AL10" s="73" t="s">
        <v>50</v>
      </c>
      <c r="AM10" s="22">
        <f>+Y8</f>
        <v>4.8499999999999996</v>
      </c>
      <c r="AN10" s="73" t="s">
        <v>50</v>
      </c>
      <c r="AO10" s="26">
        <f>+AA8</f>
        <v>4.8</v>
      </c>
      <c r="AP10" s="23">
        <f>AK10+AM10+AO10</f>
        <v>12.879999999999999</v>
      </c>
      <c r="AQ10" s="160" t="s">
        <v>93</v>
      </c>
      <c r="AR10" s="160"/>
      <c r="AS10" s="160"/>
      <c r="AT10" s="160"/>
      <c r="AU10" s="160"/>
      <c r="AV10" s="160"/>
      <c r="AW10" s="160"/>
      <c r="AX10" s="75" t="s">
        <v>130</v>
      </c>
      <c r="AY10" s="10">
        <f>Y32</f>
        <v>24.37</v>
      </c>
      <c r="AZ10" s="79">
        <v>7.93</v>
      </c>
      <c r="BA10" s="79">
        <v>12.73</v>
      </c>
      <c r="BB10" s="79">
        <f>AY10*AZ10</f>
        <v>193.25409999999999</v>
      </c>
      <c r="BC10" s="21">
        <f>BA10*AY10</f>
        <v>310.23010000000005</v>
      </c>
      <c r="BE10" s="94" t="s">
        <v>142</v>
      </c>
      <c r="BF10" s="94">
        <v>0.12</v>
      </c>
      <c r="BH10" s="61" t="s">
        <v>145</v>
      </c>
      <c r="BI10" s="61">
        <v>13.05</v>
      </c>
      <c r="BJ10" s="61" t="s">
        <v>146</v>
      </c>
      <c r="BK10" s="61">
        <v>10.35</v>
      </c>
    </row>
    <row r="11" spans="1:63" ht="14.4" thickBot="1">
      <c r="H11" s="75" t="s">
        <v>53</v>
      </c>
      <c r="I11" s="25">
        <v>3.23</v>
      </c>
      <c r="J11" s="79" t="s">
        <v>50</v>
      </c>
      <c r="K11" s="25">
        <v>3.7</v>
      </c>
      <c r="L11" s="79" t="s">
        <v>50</v>
      </c>
      <c r="M11" s="28">
        <v>0</v>
      </c>
      <c r="N11" s="16">
        <f>SUM(I11:M11)</f>
        <v>6.93</v>
      </c>
      <c r="V11" s="75" t="s">
        <v>53</v>
      </c>
      <c r="W11" s="22">
        <f t="shared" si="10"/>
        <v>3.23</v>
      </c>
      <c r="X11" s="79" t="s">
        <v>50</v>
      </c>
      <c r="Y11" s="22">
        <f t="shared" si="11"/>
        <v>3.7</v>
      </c>
      <c r="Z11" s="79" t="s">
        <v>50</v>
      </c>
      <c r="AA11" s="26">
        <f t="shared" si="12"/>
        <v>0</v>
      </c>
      <c r="AB11" s="16">
        <f>SUM(W11:AA11)</f>
        <v>6.93</v>
      </c>
      <c r="AJ11" s="74" t="s">
        <v>51</v>
      </c>
      <c r="AK11" s="22">
        <f>+W9</f>
        <v>4.8</v>
      </c>
      <c r="AL11" s="66" t="s">
        <v>50</v>
      </c>
      <c r="AM11" s="22">
        <f>+Y9</f>
        <v>4.8499999999999996</v>
      </c>
      <c r="AN11" s="66" t="s">
        <v>50</v>
      </c>
      <c r="AO11" s="26">
        <f>+AA9</f>
        <v>4.8</v>
      </c>
      <c r="AP11" s="24">
        <f>AK11+AM11+AO11</f>
        <v>14.45</v>
      </c>
      <c r="AY11" s="93">
        <f>SUM(AY3:AY10)</f>
        <v>205.34</v>
      </c>
      <c r="BB11" s="94">
        <f>SUM(BB3:BB10)</f>
        <v>1396.1917000000003</v>
      </c>
      <c r="BC11" s="94">
        <f>SUM(BC3:BC10)</f>
        <v>1451.8664999999999</v>
      </c>
    </row>
    <row r="12" spans="1:63" ht="14.4" thickBot="1">
      <c r="A12" s="145" t="s">
        <v>23</v>
      </c>
      <c r="B12" s="184"/>
      <c r="D12" s="145" t="s">
        <v>24</v>
      </c>
      <c r="E12" s="146"/>
      <c r="F12" s="184"/>
      <c r="I12" s="157" t="s">
        <v>54</v>
      </c>
      <c r="J12" s="158"/>
      <c r="K12" s="159"/>
      <c r="L12" s="176">
        <f>SUM(N8:N11)</f>
        <v>48.71</v>
      </c>
      <c r="M12" s="176"/>
      <c r="N12" s="177"/>
      <c r="W12" s="157" t="s">
        <v>54</v>
      </c>
      <c r="X12" s="158"/>
      <c r="Y12" s="159"/>
      <c r="Z12" s="176">
        <f>SUM(AB8:AB11)</f>
        <v>48.71</v>
      </c>
      <c r="AA12" s="176"/>
      <c r="AB12" s="177"/>
      <c r="AJ12" s="74" t="s">
        <v>52</v>
      </c>
      <c r="AK12" s="22">
        <f>+W10</f>
        <v>4.8</v>
      </c>
      <c r="AL12" s="66" t="s">
        <v>50</v>
      </c>
      <c r="AM12" s="22">
        <f>+Y10</f>
        <v>4.8499999999999996</v>
      </c>
      <c r="AN12" s="66" t="s">
        <v>50</v>
      </c>
      <c r="AO12" s="26">
        <f>+AA10</f>
        <v>4.8</v>
      </c>
      <c r="AP12" s="9">
        <f>AK12+AM12+AO12</f>
        <v>14.45</v>
      </c>
      <c r="BE12" s="152" t="s">
        <v>143</v>
      </c>
      <c r="BF12" s="153"/>
    </row>
    <row r="13" spans="1:63" ht="14.4" thickBot="1">
      <c r="A13" s="74" t="s">
        <v>25</v>
      </c>
      <c r="B13" s="9">
        <v>0.3</v>
      </c>
      <c r="D13" s="147" t="s">
        <v>26</v>
      </c>
      <c r="E13" s="148"/>
      <c r="F13" s="9">
        <v>1.75</v>
      </c>
      <c r="AJ13" s="75" t="s">
        <v>53</v>
      </c>
      <c r="AK13" s="22">
        <f>+W11</f>
        <v>3.23</v>
      </c>
      <c r="AL13" s="79" t="s">
        <v>50</v>
      </c>
      <c r="AM13" s="22">
        <f>+Y11</f>
        <v>3.7</v>
      </c>
      <c r="AN13" s="79" t="s">
        <v>50</v>
      </c>
      <c r="AO13" s="26">
        <f>+AA11</f>
        <v>0</v>
      </c>
      <c r="AP13" s="16">
        <f>SUM(AK13:AO13)</f>
        <v>6.93</v>
      </c>
      <c r="AX13" s="152" t="s">
        <v>131</v>
      </c>
      <c r="AY13" s="153"/>
      <c r="AZ13" s="152"/>
      <c r="BA13" s="153"/>
      <c r="BC13" s="152"/>
      <c r="BD13" s="215"/>
      <c r="BE13" s="210" t="s">
        <v>144</v>
      </c>
      <c r="BF13" s="211"/>
      <c r="BI13" s="145" t="s">
        <v>148</v>
      </c>
      <c r="BJ13" s="146"/>
      <c r="BK13" s="184"/>
    </row>
    <row r="14" spans="1:63" ht="16.2" thickBot="1">
      <c r="A14" s="12" t="s">
        <v>27</v>
      </c>
      <c r="B14" s="13">
        <v>1370</v>
      </c>
      <c r="D14" s="147" t="s">
        <v>26</v>
      </c>
      <c r="E14" s="148"/>
      <c r="F14" s="9">
        <v>4.5</v>
      </c>
      <c r="H14" s="157" t="s">
        <v>55</v>
      </c>
      <c r="I14" s="158"/>
      <c r="J14" s="158"/>
      <c r="K14" s="158"/>
      <c r="L14" s="158"/>
      <c r="M14" s="158"/>
      <c r="N14" s="159"/>
      <c r="O14" s="161" t="s">
        <v>94</v>
      </c>
      <c r="P14" s="161"/>
      <c r="Q14" s="161"/>
      <c r="R14" s="161"/>
      <c r="S14" s="161"/>
      <c r="T14" s="161"/>
      <c r="U14" s="161"/>
      <c r="V14" s="157" t="s">
        <v>55</v>
      </c>
      <c r="W14" s="158"/>
      <c r="X14" s="158"/>
      <c r="Y14" s="158"/>
      <c r="Z14" s="158"/>
      <c r="AA14" s="158"/>
      <c r="AB14" s="159"/>
      <c r="AC14" s="161" t="s">
        <v>94</v>
      </c>
      <c r="AD14" s="161"/>
      <c r="AE14" s="161"/>
      <c r="AF14" s="161"/>
      <c r="AG14" s="161"/>
      <c r="AH14" s="161"/>
      <c r="AI14" s="161"/>
      <c r="AK14" s="62" t="s">
        <v>54</v>
      </c>
      <c r="AL14" s="63"/>
      <c r="AM14" s="64"/>
      <c r="AN14" s="76">
        <f>SUM(AP10:AP13)</f>
        <v>48.71</v>
      </c>
      <c r="AO14" s="76"/>
      <c r="AP14" s="77"/>
      <c r="AQ14" s="161" t="s">
        <v>94</v>
      </c>
      <c r="AR14" s="161"/>
      <c r="AS14" s="161"/>
      <c r="AT14" s="161"/>
      <c r="AU14" s="161"/>
      <c r="AV14" s="161"/>
      <c r="AW14" s="161"/>
      <c r="AX14" s="214"/>
      <c r="AY14" s="175"/>
      <c r="AZ14" s="214"/>
      <c r="BA14" s="175"/>
      <c r="BC14" s="214"/>
      <c r="BD14" s="174"/>
      <c r="BE14" s="212">
        <v>117.84</v>
      </c>
      <c r="BF14" s="213"/>
      <c r="BI14" s="147"/>
      <c r="BJ14" s="148"/>
      <c r="BK14" s="218"/>
    </row>
    <row r="15" spans="1:63" ht="14.4" thickBot="1">
      <c r="A15" s="12" t="s">
        <v>28</v>
      </c>
      <c r="B15" s="14">
        <f>0.81*1.5*B14</f>
        <v>1664.5500000000002</v>
      </c>
      <c r="D15" s="147" t="s">
        <v>117</v>
      </c>
      <c r="E15" s="148"/>
      <c r="F15" s="9">
        <v>2.33</v>
      </c>
      <c r="H15" s="72" t="s">
        <v>56</v>
      </c>
      <c r="I15" s="22">
        <v>3.73</v>
      </c>
      <c r="J15" s="73" t="s">
        <v>50</v>
      </c>
      <c r="K15" s="22">
        <v>4.3499999999999996</v>
      </c>
      <c r="L15" s="73" t="s">
        <v>50</v>
      </c>
      <c r="M15" s="26">
        <v>3.73</v>
      </c>
      <c r="N15" s="23">
        <f>I15+K15+M15</f>
        <v>11.81</v>
      </c>
      <c r="V15" s="72" t="s">
        <v>56</v>
      </c>
      <c r="W15" s="22">
        <f>+I15</f>
        <v>3.73</v>
      </c>
      <c r="X15" s="73" t="s">
        <v>50</v>
      </c>
      <c r="Y15" s="22">
        <f>+K15</f>
        <v>4.3499999999999996</v>
      </c>
      <c r="Z15" s="73" t="s">
        <v>50</v>
      </c>
      <c r="AA15" s="26">
        <f>+M15</f>
        <v>3.73</v>
      </c>
      <c r="AB15" s="23">
        <f>W15+Y15+AA15</f>
        <v>11.81</v>
      </c>
      <c r="BI15" s="147"/>
      <c r="BJ15" s="148"/>
      <c r="BK15" s="218"/>
    </row>
    <row r="16" spans="1:63" ht="14.4" thickBot="1">
      <c r="A16" s="12" t="s">
        <v>29</v>
      </c>
      <c r="B16" s="9">
        <v>1.5</v>
      </c>
      <c r="D16" s="147" t="s">
        <v>30</v>
      </c>
      <c r="E16" s="148"/>
      <c r="F16" s="9">
        <v>5.0999999999999996</v>
      </c>
      <c r="H16" s="74" t="s">
        <v>57</v>
      </c>
      <c r="I16" s="8">
        <v>4.78</v>
      </c>
      <c r="J16" s="66" t="s">
        <v>50</v>
      </c>
      <c r="K16" s="8">
        <v>4.3499999999999996</v>
      </c>
      <c r="L16" s="66" t="s">
        <v>50</v>
      </c>
      <c r="M16" s="27">
        <v>4.78</v>
      </c>
      <c r="N16" s="24">
        <f>I16+K16+M16</f>
        <v>13.91</v>
      </c>
      <c r="O16" s="72" t="s">
        <v>95</v>
      </c>
      <c r="P16" s="48">
        <v>0.13700000000000001</v>
      </c>
      <c r="V16" s="74" t="s">
        <v>57</v>
      </c>
      <c r="W16" s="22">
        <f t="shared" ref="W16:W18" si="13">+I16</f>
        <v>4.78</v>
      </c>
      <c r="X16" s="66" t="s">
        <v>50</v>
      </c>
      <c r="Y16" s="22">
        <f t="shared" ref="Y16:Y18" si="14">+K16</f>
        <v>4.3499999999999996</v>
      </c>
      <c r="Z16" s="66" t="s">
        <v>50</v>
      </c>
      <c r="AA16" s="26">
        <f t="shared" ref="AA16:AA18" si="15">+M16</f>
        <v>4.78</v>
      </c>
      <c r="AB16" s="24">
        <f>W16+Y16+AA16</f>
        <v>13.91</v>
      </c>
      <c r="AC16" s="72" t="s">
        <v>95</v>
      </c>
      <c r="AD16" s="48">
        <v>0.13700000000000001</v>
      </c>
      <c r="AJ16" s="62" t="s">
        <v>55</v>
      </c>
      <c r="AK16" s="63"/>
      <c r="AL16" s="63"/>
      <c r="AM16" s="63"/>
      <c r="AN16" s="63"/>
      <c r="AO16" s="63"/>
      <c r="AP16" s="64"/>
      <c r="AQ16" s="72" t="s">
        <v>95</v>
      </c>
      <c r="AR16" s="48">
        <v>0.13700000000000001</v>
      </c>
      <c r="AY16" s="88" t="s">
        <v>132</v>
      </c>
      <c r="AZ16" s="89">
        <f>BB11/AY11</f>
        <v>6.7994141423979757</v>
      </c>
      <c r="BB16" s="88" t="s">
        <v>133</v>
      </c>
      <c r="BC16" s="89">
        <f>BC11/AY11</f>
        <v>7.0705488458166936</v>
      </c>
      <c r="BE16" s="152" t="s">
        <v>147</v>
      </c>
      <c r="BF16" s="153"/>
      <c r="BI16" s="147"/>
      <c r="BJ16" s="148"/>
      <c r="BK16" s="218"/>
    </row>
    <row r="17" spans="1:63" ht="14.4" thickBot="1">
      <c r="A17" s="15" t="s">
        <v>31</v>
      </c>
      <c r="B17" s="16">
        <v>1.5</v>
      </c>
      <c r="D17" s="147" t="s">
        <v>32</v>
      </c>
      <c r="E17" s="148"/>
      <c r="F17" s="9">
        <v>0.3</v>
      </c>
      <c r="H17" s="72" t="s">
        <v>58</v>
      </c>
      <c r="I17" s="8">
        <v>4.78</v>
      </c>
      <c r="J17" s="66" t="s">
        <v>50</v>
      </c>
      <c r="K17" s="8">
        <v>4.3499999999999996</v>
      </c>
      <c r="L17" s="66" t="s">
        <v>50</v>
      </c>
      <c r="M17" s="27">
        <v>3.73</v>
      </c>
      <c r="N17" s="9">
        <f>I17+K17+M17</f>
        <v>12.86</v>
      </c>
      <c r="O17" s="74" t="s">
        <v>96</v>
      </c>
      <c r="P17" s="9">
        <v>2.13</v>
      </c>
      <c r="V17" s="72" t="s">
        <v>58</v>
      </c>
      <c r="W17" s="22">
        <f t="shared" si="13"/>
        <v>4.78</v>
      </c>
      <c r="X17" s="66" t="s">
        <v>50</v>
      </c>
      <c r="Y17" s="22">
        <f t="shared" si="14"/>
        <v>4.3499999999999996</v>
      </c>
      <c r="Z17" s="66" t="s">
        <v>50</v>
      </c>
      <c r="AA17" s="26">
        <f t="shared" si="15"/>
        <v>3.73</v>
      </c>
      <c r="AB17" s="9">
        <f>W17+Y17+AA17</f>
        <v>12.86</v>
      </c>
      <c r="AC17" s="74" t="s">
        <v>96</v>
      </c>
      <c r="AD17" s="9">
        <v>3.75</v>
      </c>
      <c r="AJ17" s="72" t="s">
        <v>56</v>
      </c>
      <c r="AK17" s="22">
        <f>+W15</f>
        <v>3.73</v>
      </c>
      <c r="AL17" s="73" t="s">
        <v>50</v>
      </c>
      <c r="AM17" s="22">
        <f>+Y15</f>
        <v>4.3499999999999996</v>
      </c>
      <c r="AN17" s="73" t="s">
        <v>50</v>
      </c>
      <c r="AO17" s="26">
        <f>+AA15</f>
        <v>3.73</v>
      </c>
      <c r="AP17" s="23">
        <f>AK17+AM17+AO17</f>
        <v>11.81</v>
      </c>
      <c r="AQ17" s="74" t="s">
        <v>96</v>
      </c>
      <c r="AR17" s="9">
        <v>3.25</v>
      </c>
      <c r="BE17" s="210"/>
      <c r="BF17" s="211"/>
      <c r="BI17" s="219">
        <f>(0.0906*BI10)/(SQRT(BK10))</f>
        <v>0.36750946997559009</v>
      </c>
      <c r="BJ17" s="220"/>
      <c r="BK17" s="221"/>
    </row>
    <row r="18" spans="1:63" ht="14.4" thickBot="1">
      <c r="D18" s="149" t="s">
        <v>22</v>
      </c>
      <c r="E18" s="185"/>
      <c r="F18" s="11">
        <f>+(F14*F17)+(F13*F17)+(F15-F17)*(F16-F14)</f>
        <v>3.0929999999999995</v>
      </c>
      <c r="H18" s="74" t="s">
        <v>59</v>
      </c>
      <c r="I18" s="25">
        <v>3.73</v>
      </c>
      <c r="J18" s="79" t="s">
        <v>50</v>
      </c>
      <c r="K18" s="25">
        <v>3.23</v>
      </c>
      <c r="L18" s="79" t="s">
        <v>50</v>
      </c>
      <c r="M18" s="28">
        <v>0</v>
      </c>
      <c r="N18" s="16">
        <f>SUM(I18:M18)</f>
        <v>6.96</v>
      </c>
      <c r="O18" s="74" t="s">
        <v>97</v>
      </c>
      <c r="P18" s="9">
        <f>L12+L19</f>
        <v>94.25</v>
      </c>
      <c r="V18" s="74" t="s">
        <v>59</v>
      </c>
      <c r="W18" s="22">
        <f t="shared" si="13"/>
        <v>3.73</v>
      </c>
      <c r="X18" s="79" t="s">
        <v>50</v>
      </c>
      <c r="Y18" s="22">
        <f t="shared" si="14"/>
        <v>3.23</v>
      </c>
      <c r="Z18" s="79" t="s">
        <v>50</v>
      </c>
      <c r="AA18" s="26">
        <f t="shared" si="15"/>
        <v>0</v>
      </c>
      <c r="AB18" s="16">
        <f>SUM(W18:AA18)</f>
        <v>6.96</v>
      </c>
      <c r="AC18" s="74" t="s">
        <v>97</v>
      </c>
      <c r="AD18" s="9">
        <f>Z12+Z19</f>
        <v>94.25</v>
      </c>
      <c r="AJ18" s="74" t="s">
        <v>57</v>
      </c>
      <c r="AK18" s="22">
        <f>+W16</f>
        <v>4.78</v>
      </c>
      <c r="AL18" s="66" t="s">
        <v>50</v>
      </c>
      <c r="AM18" s="22">
        <f>+Y16</f>
        <v>4.3499999999999996</v>
      </c>
      <c r="AN18" s="66" t="s">
        <v>50</v>
      </c>
      <c r="AO18" s="26">
        <f>+AA16</f>
        <v>4.78</v>
      </c>
      <c r="AP18" s="24">
        <f>AK18+AM18+AO18</f>
        <v>13.91</v>
      </c>
      <c r="AQ18" s="74" t="s">
        <v>97</v>
      </c>
      <c r="AR18" s="9">
        <f>+AN14+AN21</f>
        <v>94.25</v>
      </c>
      <c r="AX18" s="202" t="s">
        <v>134</v>
      </c>
      <c r="AY18" s="203"/>
      <c r="AZ18" s="203"/>
      <c r="BA18" s="203"/>
      <c r="BB18" s="203"/>
      <c r="BC18" s="204"/>
      <c r="BD18" s="65"/>
      <c r="BE18" s="216">
        <f>0.07*BE14*BI17</f>
        <v>3.0315121159346479</v>
      </c>
      <c r="BF18" s="217"/>
    </row>
    <row r="19" spans="1:63" ht="14.4" thickBot="1">
      <c r="D19" s="186" t="s">
        <v>33</v>
      </c>
      <c r="E19" s="187"/>
      <c r="I19" s="157" t="s">
        <v>63</v>
      </c>
      <c r="J19" s="158"/>
      <c r="K19" s="159"/>
      <c r="L19" s="176">
        <f>SUM(N15:N18)</f>
        <v>45.54</v>
      </c>
      <c r="M19" s="176"/>
      <c r="N19" s="177"/>
      <c r="O19" s="75" t="s">
        <v>98</v>
      </c>
      <c r="P19" s="58">
        <f>P16*P17*P18</f>
        <v>27.503092500000001</v>
      </c>
      <c r="W19" s="157" t="s">
        <v>63</v>
      </c>
      <c r="X19" s="158"/>
      <c r="Y19" s="159"/>
      <c r="Z19" s="176">
        <f>SUM(AB15:AB18)</f>
        <v>45.54</v>
      </c>
      <c r="AA19" s="176"/>
      <c r="AB19" s="177"/>
      <c r="AC19" s="75" t="s">
        <v>98</v>
      </c>
      <c r="AD19" s="6">
        <f>AD16*AD17*AD18</f>
        <v>48.420937500000001</v>
      </c>
      <c r="AJ19" s="72" t="s">
        <v>58</v>
      </c>
      <c r="AK19" s="22">
        <f>+W17</f>
        <v>4.78</v>
      </c>
      <c r="AL19" s="66" t="s">
        <v>50</v>
      </c>
      <c r="AM19" s="22">
        <f>+Y17</f>
        <v>4.3499999999999996</v>
      </c>
      <c r="AN19" s="66" t="s">
        <v>50</v>
      </c>
      <c r="AO19" s="26">
        <f>+AA17</f>
        <v>3.73</v>
      </c>
      <c r="AP19" s="9">
        <f>AK19+AM19+AO19</f>
        <v>12.86</v>
      </c>
      <c r="AQ19" s="75" t="s">
        <v>98</v>
      </c>
      <c r="AR19" s="6">
        <f>AR16*AR17*AR18</f>
        <v>41.964812500000001</v>
      </c>
      <c r="AX19" s="74" t="s">
        <v>75</v>
      </c>
      <c r="AY19" s="66" t="s">
        <v>76</v>
      </c>
      <c r="AZ19" s="66"/>
      <c r="BA19" s="66"/>
      <c r="BB19" s="66" t="s">
        <v>101</v>
      </c>
      <c r="BC19" s="7" t="s">
        <v>101</v>
      </c>
    </row>
    <row r="20" spans="1:63" ht="15" thickBot="1">
      <c r="D20" s="75" t="s">
        <v>34</v>
      </c>
      <c r="E20" s="16">
        <v>0.12</v>
      </c>
      <c r="AJ20" s="74" t="s">
        <v>59</v>
      </c>
      <c r="AK20" s="22">
        <f>+W18</f>
        <v>3.73</v>
      </c>
      <c r="AL20" s="79" t="s">
        <v>50</v>
      </c>
      <c r="AM20" s="22">
        <f>+Y18</f>
        <v>3.23</v>
      </c>
      <c r="AN20" s="79" t="s">
        <v>50</v>
      </c>
      <c r="AO20" s="26">
        <f>+AA18</f>
        <v>0</v>
      </c>
      <c r="AP20" s="16">
        <f>SUM(AK20:AO20)</f>
        <v>6.96</v>
      </c>
      <c r="AX20" s="74" t="s">
        <v>123</v>
      </c>
      <c r="AY20" s="37">
        <f t="shared" ref="AY20:AY28" si="16">AY3</f>
        <v>28.56</v>
      </c>
      <c r="AZ20" s="66">
        <v>2.73</v>
      </c>
      <c r="BA20" s="66">
        <v>2.48</v>
      </c>
      <c r="BB20" s="66">
        <f>AY20*AZ20</f>
        <v>77.968800000000002</v>
      </c>
      <c r="BC20" s="7">
        <f>BA20*AY20</f>
        <v>70.828800000000001</v>
      </c>
      <c r="BE20" s="72" t="s">
        <v>137</v>
      </c>
      <c r="BF20" s="73" t="s">
        <v>149</v>
      </c>
      <c r="BG20" s="73" t="s">
        <v>150</v>
      </c>
      <c r="BH20" s="132" t="s">
        <v>151</v>
      </c>
      <c r="BI20" s="73" t="s">
        <v>152</v>
      </c>
      <c r="BJ20" s="73" t="s">
        <v>153</v>
      </c>
      <c r="BK20" s="78" t="s">
        <v>154</v>
      </c>
    </row>
    <row r="21" spans="1:63" ht="14.4" thickBot="1">
      <c r="A21" s="145" t="s">
        <v>35</v>
      </c>
      <c r="B21" s="73" t="s">
        <v>36</v>
      </c>
      <c r="C21" s="73" t="s">
        <v>37</v>
      </c>
      <c r="D21" s="73" t="s">
        <v>38</v>
      </c>
      <c r="E21" s="78" t="s">
        <v>39</v>
      </c>
      <c r="O21" s="49" t="s">
        <v>27</v>
      </c>
      <c r="P21" s="73" t="s">
        <v>97</v>
      </c>
      <c r="Q21" s="73" t="s">
        <v>99</v>
      </c>
      <c r="R21" s="73" t="s">
        <v>111</v>
      </c>
      <c r="S21" s="53" t="s">
        <v>110</v>
      </c>
      <c r="T21" s="73" t="s">
        <v>100</v>
      </c>
      <c r="U21" s="78" t="s">
        <v>98</v>
      </c>
      <c r="AC21" s="49" t="s">
        <v>27</v>
      </c>
      <c r="AD21" s="73" t="s">
        <v>97</v>
      </c>
      <c r="AE21" s="73" t="s">
        <v>99</v>
      </c>
      <c r="AF21" s="73" t="s">
        <v>111</v>
      </c>
      <c r="AG21" s="53" t="s">
        <v>110</v>
      </c>
      <c r="AH21" s="73" t="s">
        <v>100</v>
      </c>
      <c r="AI21" s="78" t="s">
        <v>98</v>
      </c>
      <c r="AK21" s="62" t="s">
        <v>63</v>
      </c>
      <c r="AL21" s="63"/>
      <c r="AM21" s="64"/>
      <c r="AN21" s="76">
        <f>SUM(AP17:AP20)</f>
        <v>45.54</v>
      </c>
      <c r="AO21" s="76"/>
      <c r="AP21" s="77"/>
      <c r="AQ21" s="49" t="s">
        <v>27</v>
      </c>
      <c r="AR21" s="73" t="s">
        <v>97</v>
      </c>
      <c r="AS21" s="73" t="s">
        <v>99</v>
      </c>
      <c r="AT21" s="73" t="s">
        <v>111</v>
      </c>
      <c r="AU21" s="53" t="s">
        <v>110</v>
      </c>
      <c r="AV21" s="73" t="s">
        <v>100</v>
      </c>
      <c r="AW21" s="96" t="s">
        <v>98</v>
      </c>
      <c r="AX21" s="74" t="s">
        <v>124</v>
      </c>
      <c r="AY21" s="37">
        <f t="shared" si="16"/>
        <v>22.95</v>
      </c>
      <c r="AZ21" s="66">
        <v>7.85</v>
      </c>
      <c r="BA21" s="66">
        <v>2.48</v>
      </c>
      <c r="BB21" s="66">
        <f t="shared" ref="BB21:BB26" si="17">AY21*AZ21</f>
        <v>180.1575</v>
      </c>
      <c r="BC21" s="7">
        <f t="shared" ref="BC21:BC26" si="18">BA21*AY21</f>
        <v>56.915999999999997</v>
      </c>
      <c r="BE21" s="74">
        <v>1</v>
      </c>
      <c r="BF21" s="106">
        <f>BF3</f>
        <v>244.24649810000003</v>
      </c>
      <c r="BG21" s="27">
        <v>4.25</v>
      </c>
      <c r="BH21" s="66">
        <f>BF21*BG21</f>
        <v>1038.0476169250001</v>
      </c>
      <c r="BI21" s="66">
        <f>(BF21*BG21)/BH24</f>
        <v>0.12168775073942169</v>
      </c>
      <c r="BJ21" s="3">
        <f>BI21*($BE$14-$BE$18)</f>
        <v>13.970786656406061</v>
      </c>
      <c r="BK21" s="4">
        <f>BJ21</f>
        <v>13.970786656406061</v>
      </c>
    </row>
    <row r="22" spans="1:63" ht="14.4" thickBot="1">
      <c r="A22" s="149"/>
      <c r="B22" s="17">
        <v>352.11200000000002</v>
      </c>
      <c r="C22" s="18">
        <v>2.4</v>
      </c>
      <c r="D22" s="19">
        <f>15100*SQRT(B22)</f>
        <v>283346.17894017912</v>
      </c>
      <c r="E22" s="20">
        <f>40%*D22</f>
        <v>113338.47157607165</v>
      </c>
      <c r="O22" s="59">
        <f>P16</f>
        <v>0.13700000000000001</v>
      </c>
      <c r="P22" s="8">
        <f>P18</f>
        <v>94.25</v>
      </c>
      <c r="Q22" s="8">
        <f>P17</f>
        <v>2.13</v>
      </c>
      <c r="R22" s="8">
        <f>C9</f>
        <v>0.48</v>
      </c>
      <c r="S22" s="8">
        <f>D9</f>
        <v>0.52</v>
      </c>
      <c r="T22" s="66">
        <v>1</v>
      </c>
      <c r="U22" s="4">
        <f>P17</f>
        <v>2.13</v>
      </c>
      <c r="AC22" s="51">
        <f>AD16</f>
        <v>0.13700000000000001</v>
      </c>
      <c r="AD22" s="8">
        <f>AD18</f>
        <v>94.25</v>
      </c>
      <c r="AE22" s="8">
        <f>AD17</f>
        <v>3.75</v>
      </c>
      <c r="AF22" s="8">
        <f>+C9</f>
        <v>0.48</v>
      </c>
      <c r="AG22" s="8">
        <f>+D9</f>
        <v>0.52</v>
      </c>
      <c r="AH22" s="66">
        <v>1</v>
      </c>
      <c r="AI22" s="4">
        <f>AD17</f>
        <v>3.75</v>
      </c>
      <c r="AQ22" s="51">
        <f>AR16</f>
        <v>0.13700000000000001</v>
      </c>
      <c r="AR22" s="8">
        <f>AR18</f>
        <v>94.25</v>
      </c>
      <c r="AS22" s="8">
        <f>AR17</f>
        <v>3.25</v>
      </c>
      <c r="AT22" s="8">
        <f>+Q9</f>
        <v>0</v>
      </c>
      <c r="AU22" s="8">
        <f>+R9</f>
        <v>0</v>
      </c>
      <c r="AV22" s="66">
        <v>1</v>
      </c>
      <c r="AW22" s="97">
        <f>AR17</f>
        <v>3.25</v>
      </c>
      <c r="AX22" s="74" t="s">
        <v>125</v>
      </c>
      <c r="AY22" s="37">
        <f t="shared" si="16"/>
        <v>28.56</v>
      </c>
      <c r="AZ22" s="66">
        <v>12.86</v>
      </c>
      <c r="BA22" s="66">
        <v>2.48</v>
      </c>
      <c r="BB22" s="66">
        <f t="shared" si="17"/>
        <v>367.28159999999997</v>
      </c>
      <c r="BC22" s="7">
        <f t="shared" si="18"/>
        <v>70.828800000000001</v>
      </c>
      <c r="BE22" s="74">
        <v>2</v>
      </c>
      <c r="BF22" s="106">
        <f>BF4</f>
        <v>298.51055270000001</v>
      </c>
      <c r="BG22" s="27">
        <v>7.5</v>
      </c>
      <c r="BH22" s="66">
        <f t="shared" ref="BH22:BH23" si="19">BF22*BG22</f>
        <v>2238.8291452500002</v>
      </c>
      <c r="BI22" s="66">
        <f>(BF22*BG22)/BH24</f>
        <v>0.26245239479704763</v>
      </c>
      <c r="BJ22" s="3">
        <f>BI22*($BE$14-$BE$18)</f>
        <v>30.131762588200779</v>
      </c>
      <c r="BK22" s="4">
        <f t="shared" ref="BK22" si="20">BJ22</f>
        <v>30.131762588200779</v>
      </c>
    </row>
    <row r="23" spans="1:63" ht="14.4" thickBot="1">
      <c r="A23" s="160" t="s">
        <v>116</v>
      </c>
      <c r="B23" s="160"/>
      <c r="C23" s="160"/>
      <c r="D23" s="160"/>
      <c r="E23" s="160"/>
      <c r="F23" s="160"/>
      <c r="H23" s="157" t="s">
        <v>60</v>
      </c>
      <c r="I23" s="173"/>
      <c r="J23" s="70">
        <f>L19*D10*C22</f>
        <v>15.913497599999999</v>
      </c>
      <c r="L23" s="157" t="s">
        <v>61</v>
      </c>
      <c r="M23" s="158"/>
      <c r="N23" s="110">
        <f>L12*C10*C22</f>
        <v>15.711897600000002</v>
      </c>
      <c r="O23" s="74">
        <v>1</v>
      </c>
      <c r="P23" s="66">
        <v>2</v>
      </c>
      <c r="Q23" s="66">
        <v>3</v>
      </c>
      <c r="R23" s="66">
        <v>4</v>
      </c>
      <c r="S23" s="66">
        <v>5</v>
      </c>
      <c r="T23" s="66">
        <v>6</v>
      </c>
      <c r="U23" s="7">
        <v>7</v>
      </c>
      <c r="V23" s="157" t="s">
        <v>60</v>
      </c>
      <c r="W23" s="173"/>
      <c r="X23" s="29">
        <f>Z19*AB1*D10</f>
        <v>15.913497599999999</v>
      </c>
      <c r="Z23" s="157" t="s">
        <v>61</v>
      </c>
      <c r="AA23" s="173"/>
      <c r="AB23" s="30">
        <f>Z12*AB1*C10</f>
        <v>15.711897600000002</v>
      </c>
      <c r="AC23" s="74">
        <v>1</v>
      </c>
      <c r="AD23" s="66">
        <v>2</v>
      </c>
      <c r="AE23" s="66">
        <v>3</v>
      </c>
      <c r="AF23" s="66">
        <v>4</v>
      </c>
      <c r="AG23" s="66">
        <v>5</v>
      </c>
      <c r="AH23" s="66">
        <v>6</v>
      </c>
      <c r="AI23" s="7">
        <v>7</v>
      </c>
      <c r="AQ23" s="74">
        <v>1</v>
      </c>
      <c r="AR23" s="66">
        <v>2</v>
      </c>
      <c r="AS23" s="66">
        <v>3</v>
      </c>
      <c r="AT23" s="66">
        <v>4</v>
      </c>
      <c r="AU23" s="66">
        <v>5</v>
      </c>
      <c r="AV23" s="66">
        <v>6</v>
      </c>
      <c r="AW23" s="98">
        <v>7</v>
      </c>
      <c r="AX23" s="74" t="s">
        <v>126</v>
      </c>
      <c r="AY23" s="37">
        <f t="shared" si="16"/>
        <v>28</v>
      </c>
      <c r="AZ23" s="66">
        <v>2.73</v>
      </c>
      <c r="BA23" s="66">
        <v>7.6</v>
      </c>
      <c r="BB23" s="66">
        <f t="shared" si="17"/>
        <v>76.44</v>
      </c>
      <c r="BC23" s="7">
        <f t="shared" si="18"/>
        <v>212.79999999999998</v>
      </c>
      <c r="BE23" s="75">
        <v>3</v>
      </c>
      <c r="BF23" s="133">
        <f>BF5</f>
        <v>403.18827249999993</v>
      </c>
      <c r="BG23" s="28">
        <v>13.03</v>
      </c>
      <c r="BH23" s="79">
        <f t="shared" si="19"/>
        <v>5253.5431906749991</v>
      </c>
      <c r="BI23" s="79">
        <f>(BF23*BG23)/BH24</f>
        <v>0.61585985446353075</v>
      </c>
      <c r="BJ23" s="5">
        <f>BI23*($BE$14-$BE$18)</f>
        <v>70.705938639458523</v>
      </c>
      <c r="BK23" s="6">
        <f>BJ23+BG8</f>
        <v>70.705938639458523</v>
      </c>
    </row>
    <row r="24" spans="1:63" ht="14.4" thickBot="1">
      <c r="J24" s="194" t="s">
        <v>62</v>
      </c>
      <c r="K24" s="195"/>
      <c r="L24" s="57">
        <f>J23+N23</f>
        <v>31.6253952</v>
      </c>
      <c r="O24" s="50">
        <f>N15</f>
        <v>11.81</v>
      </c>
      <c r="P24" s="8">
        <f>N16</f>
        <v>13.91</v>
      </c>
      <c r="Q24" s="8">
        <f>N17</f>
        <v>12.86</v>
      </c>
      <c r="R24" s="8">
        <f>N18</f>
        <v>6.96</v>
      </c>
      <c r="S24" s="66">
        <v>0</v>
      </c>
      <c r="T24" s="66">
        <v>0</v>
      </c>
      <c r="U24" s="7">
        <v>0</v>
      </c>
      <c r="X24" s="194" t="s">
        <v>62</v>
      </c>
      <c r="Y24" s="195"/>
      <c r="Z24" s="31">
        <f>X23+AB23</f>
        <v>31.6253952</v>
      </c>
      <c r="AC24" s="50">
        <f>AB15</f>
        <v>11.81</v>
      </c>
      <c r="AD24" s="8">
        <f>AB16</f>
        <v>13.91</v>
      </c>
      <c r="AE24" s="8">
        <f>AB17</f>
        <v>12.86</v>
      </c>
      <c r="AF24" s="8">
        <f>AB18</f>
        <v>6.96</v>
      </c>
      <c r="AG24" s="66">
        <v>0</v>
      </c>
      <c r="AH24" s="66">
        <v>0</v>
      </c>
      <c r="AI24" s="7">
        <v>0</v>
      </c>
      <c r="AQ24" s="50">
        <f>AP23</f>
        <v>0</v>
      </c>
      <c r="AR24" s="8">
        <f>AP24</f>
        <v>0</v>
      </c>
      <c r="AS24" s="8">
        <f>AP25</f>
        <v>17.021222400000003</v>
      </c>
      <c r="AT24" s="8">
        <f>AP26</f>
        <v>0</v>
      </c>
      <c r="AU24" s="66">
        <v>0</v>
      </c>
      <c r="AV24" s="66">
        <v>0</v>
      </c>
      <c r="AW24" s="98">
        <v>0</v>
      </c>
      <c r="AX24" s="74" t="s">
        <v>127</v>
      </c>
      <c r="AY24" s="37">
        <f t="shared" si="16"/>
        <v>29.71</v>
      </c>
      <c r="AZ24" s="66">
        <v>7.85</v>
      </c>
      <c r="BA24" s="66">
        <v>8.6</v>
      </c>
      <c r="BB24" s="66">
        <f t="shared" si="17"/>
        <v>233.2235</v>
      </c>
      <c r="BC24" s="7" t="s">
        <v>183</v>
      </c>
      <c r="BH24" s="134">
        <f>SUM(BH21:BH23)</f>
        <v>8530.4199528499994</v>
      </c>
      <c r="BI24" s="65"/>
      <c r="BJ24" s="135"/>
      <c r="BK24" s="136">
        <f>SUM(BK21:BK23)</f>
        <v>114.80848788406536</v>
      </c>
    </row>
    <row r="25" spans="1:63" ht="14.4" thickBot="1">
      <c r="O25" s="74" t="s">
        <v>101</v>
      </c>
      <c r="P25" s="66" t="s">
        <v>102</v>
      </c>
      <c r="Q25" s="66" t="s">
        <v>103</v>
      </c>
      <c r="R25" s="66" t="s">
        <v>104</v>
      </c>
      <c r="S25" s="66" t="s">
        <v>105</v>
      </c>
      <c r="T25" s="66" t="s">
        <v>106</v>
      </c>
      <c r="U25" s="7" t="s">
        <v>107</v>
      </c>
      <c r="AC25" s="74" t="s">
        <v>101</v>
      </c>
      <c r="AD25" s="66" t="s">
        <v>102</v>
      </c>
      <c r="AE25" s="66" t="s">
        <v>103</v>
      </c>
      <c r="AF25" s="66" t="s">
        <v>104</v>
      </c>
      <c r="AG25" s="66" t="s">
        <v>105</v>
      </c>
      <c r="AH25" s="66" t="s">
        <v>106</v>
      </c>
      <c r="AI25" s="7" t="s">
        <v>107</v>
      </c>
      <c r="AJ25" s="62" t="s">
        <v>60</v>
      </c>
      <c r="AK25" s="80"/>
      <c r="AL25" s="29">
        <f>+D10*C22*AN21</f>
        <v>15.913497600000001</v>
      </c>
      <c r="AN25" s="62" t="s">
        <v>61</v>
      </c>
      <c r="AO25" s="80"/>
      <c r="AP25" s="30">
        <f>+D10*C22*AN14</f>
        <v>17.021222400000003</v>
      </c>
      <c r="AQ25" s="74" t="s">
        <v>101</v>
      </c>
      <c r="AR25" s="66" t="s">
        <v>102</v>
      </c>
      <c r="AS25" s="66" t="s">
        <v>103</v>
      </c>
      <c r="AT25" s="66" t="s">
        <v>104</v>
      </c>
      <c r="AU25" s="66" t="s">
        <v>105</v>
      </c>
      <c r="AV25" s="66" t="s">
        <v>106</v>
      </c>
      <c r="AW25" s="98" t="s">
        <v>107</v>
      </c>
      <c r="AX25" s="74" t="s">
        <v>128</v>
      </c>
      <c r="AY25" s="37">
        <f t="shared" si="16"/>
        <v>14.63</v>
      </c>
      <c r="AZ25" s="66">
        <v>12.98</v>
      </c>
      <c r="BA25" s="66">
        <v>7.6</v>
      </c>
      <c r="BB25" s="66">
        <f t="shared" si="17"/>
        <v>189.8974</v>
      </c>
      <c r="BC25" s="7">
        <f t="shared" si="18"/>
        <v>111.188</v>
      </c>
    </row>
    <row r="26" spans="1:63" ht="16.2" thickBot="1">
      <c r="H26" s="196" t="s">
        <v>118</v>
      </c>
      <c r="I26" s="196"/>
      <c r="J26" s="196"/>
      <c r="K26" s="196"/>
      <c r="L26" s="196"/>
      <c r="M26" s="196"/>
      <c r="N26" s="196"/>
      <c r="O26" s="54">
        <f>N8</f>
        <v>12.879999999999999</v>
      </c>
      <c r="P26" s="25">
        <f>N9</f>
        <v>14.45</v>
      </c>
      <c r="Q26" s="25">
        <f>N10</f>
        <v>14.45</v>
      </c>
      <c r="R26" s="25">
        <f>N11</f>
        <v>6.93</v>
      </c>
      <c r="S26" s="79">
        <v>0</v>
      </c>
      <c r="T26" s="79">
        <v>0</v>
      </c>
      <c r="U26" s="21">
        <v>0</v>
      </c>
      <c r="V26" s="196" t="s">
        <v>115</v>
      </c>
      <c r="W26" s="196"/>
      <c r="X26" s="196"/>
      <c r="Y26" s="196"/>
      <c r="Z26" s="196"/>
      <c r="AA26" s="196"/>
      <c r="AB26" s="196"/>
      <c r="AC26" s="54">
        <f>AB8</f>
        <v>12.879999999999999</v>
      </c>
      <c r="AD26" s="25">
        <f>AB9</f>
        <v>14.45</v>
      </c>
      <c r="AE26" s="25">
        <f>AB10</f>
        <v>14.45</v>
      </c>
      <c r="AF26" s="25">
        <f>AB11</f>
        <v>6.93</v>
      </c>
      <c r="AG26" s="79">
        <v>0</v>
      </c>
      <c r="AH26" s="79">
        <v>0</v>
      </c>
      <c r="AI26" s="21">
        <v>0</v>
      </c>
      <c r="AL26" s="86" t="s">
        <v>62</v>
      </c>
      <c r="AM26" s="87"/>
      <c r="AN26" s="31">
        <f>AL25+AP25</f>
        <v>32.934720000000006</v>
      </c>
      <c r="AQ26" s="54">
        <f>AP16</f>
        <v>0</v>
      </c>
      <c r="AR26" s="25">
        <f>AP17</f>
        <v>11.81</v>
      </c>
      <c r="AS26" s="25">
        <f>AP18</f>
        <v>13.91</v>
      </c>
      <c r="AT26" s="25">
        <f>AP19</f>
        <v>12.86</v>
      </c>
      <c r="AU26" s="79">
        <v>0</v>
      </c>
      <c r="AV26" s="79">
        <v>0</v>
      </c>
      <c r="AW26" s="99">
        <v>0</v>
      </c>
      <c r="AX26" s="74" t="s">
        <v>129</v>
      </c>
      <c r="AY26" s="37">
        <f t="shared" si="16"/>
        <v>28.56</v>
      </c>
      <c r="AZ26" s="66">
        <v>2.73</v>
      </c>
      <c r="BA26" s="66">
        <v>12.73</v>
      </c>
      <c r="BB26" s="66">
        <f t="shared" si="17"/>
        <v>77.968800000000002</v>
      </c>
      <c r="BC26" s="7">
        <f t="shared" si="18"/>
        <v>363.56880000000001</v>
      </c>
    </row>
    <row r="27" spans="1:63" ht="15" thickBot="1">
      <c r="H27" s="46"/>
      <c r="I27" s="46"/>
      <c r="J27" s="46"/>
      <c r="K27" s="46"/>
      <c r="L27" s="46"/>
      <c r="M27" s="46"/>
      <c r="N27" s="46"/>
      <c r="O27" s="157" t="s">
        <v>108</v>
      </c>
      <c r="P27" s="173"/>
      <c r="Q27" s="52">
        <f>SUM(O24:U24)</f>
        <v>45.54</v>
      </c>
      <c r="S27" s="157" t="s">
        <v>109</v>
      </c>
      <c r="T27" s="173"/>
      <c r="U27" s="52">
        <f>SUM(O26:U26)</f>
        <v>48.71</v>
      </c>
      <c r="V27" s="46"/>
      <c r="W27" s="46"/>
      <c r="X27" s="46"/>
      <c r="Y27" s="46"/>
      <c r="Z27" s="46"/>
      <c r="AA27" s="46"/>
      <c r="AB27" s="46"/>
      <c r="AC27" s="157" t="s">
        <v>108</v>
      </c>
      <c r="AD27" s="173"/>
      <c r="AE27" s="52">
        <f>SUM(AC24:AI24)</f>
        <v>45.54</v>
      </c>
      <c r="AG27" s="157" t="s">
        <v>109</v>
      </c>
      <c r="AH27" s="173"/>
      <c r="AI27" s="52">
        <f>SUM(AC26:AI26)</f>
        <v>48.71</v>
      </c>
      <c r="AQ27" s="157" t="s">
        <v>108</v>
      </c>
      <c r="AR27" s="173"/>
      <c r="AS27" s="52">
        <f>SUM(AQ24:AW24)</f>
        <v>17.021222400000003</v>
      </c>
      <c r="AU27" s="157" t="s">
        <v>109</v>
      </c>
      <c r="AV27" s="173"/>
      <c r="AW27" s="100">
        <f>SUM(AQ26:AW26)</f>
        <v>38.58</v>
      </c>
      <c r="AX27" s="75" t="s">
        <v>130</v>
      </c>
      <c r="AY27" s="10">
        <f t="shared" si="16"/>
        <v>24.37</v>
      </c>
      <c r="AZ27" s="79">
        <v>7.93</v>
      </c>
      <c r="BA27" s="79">
        <v>12.73</v>
      </c>
      <c r="BB27" s="79">
        <f>AY27*AZ27</f>
        <v>193.25409999999999</v>
      </c>
      <c r="BC27" s="21">
        <f>BA27*AY27</f>
        <v>310.23010000000005</v>
      </c>
    </row>
    <row r="28" spans="1:63" ht="16.2" thickBot="1">
      <c r="H28" s="46"/>
      <c r="I28" s="46"/>
      <c r="J28" s="46"/>
      <c r="K28" s="46"/>
      <c r="L28" s="46"/>
      <c r="M28" s="46"/>
      <c r="N28" s="46"/>
      <c r="O28" s="46"/>
      <c r="V28" s="46"/>
      <c r="W28" s="46"/>
      <c r="X28" s="46"/>
      <c r="Y28" s="46"/>
      <c r="Z28" s="46"/>
      <c r="AA28" s="46"/>
      <c r="AB28" s="46"/>
      <c r="AC28" s="46"/>
      <c r="AJ28" s="196" t="s">
        <v>74</v>
      </c>
      <c r="AK28" s="196"/>
      <c r="AL28" s="196"/>
      <c r="AM28" s="196"/>
      <c r="AN28" s="196"/>
      <c r="AO28" s="196"/>
      <c r="AP28" s="196"/>
      <c r="AQ28" s="46"/>
      <c r="AY28" s="60">
        <f t="shared" si="16"/>
        <v>205.34</v>
      </c>
      <c r="BB28" s="61">
        <f>SUM(BB20:BB27)</f>
        <v>1396.1917000000003</v>
      </c>
      <c r="BC28" s="61">
        <f>SUM(BC20:BC27)</f>
        <v>1196.3605</v>
      </c>
    </row>
    <row r="29" spans="1:63" ht="15" thickBot="1">
      <c r="H29" s="46"/>
      <c r="I29" s="46"/>
      <c r="J29" s="46"/>
      <c r="K29" s="46"/>
      <c r="L29" s="46"/>
      <c r="M29" s="46"/>
      <c r="N29" s="46"/>
      <c r="O29" s="46"/>
      <c r="P29" s="154" t="s">
        <v>112</v>
      </c>
      <c r="Q29" s="154"/>
      <c r="R29" s="154"/>
      <c r="S29" s="55">
        <f>S8+S7+P19+L24+N4</f>
        <v>244.24649810000003</v>
      </c>
      <c r="V29" s="46"/>
      <c r="W29" s="46"/>
      <c r="X29" s="46"/>
      <c r="Y29" s="46"/>
      <c r="Z29" s="46"/>
      <c r="AA29" s="46"/>
      <c r="AB29" s="46"/>
      <c r="AC29" s="46"/>
      <c r="AD29" s="154" t="s">
        <v>112</v>
      </c>
      <c r="AE29" s="154"/>
      <c r="AF29" s="154"/>
      <c r="AG29" s="55">
        <f>AG8+AG7+AD19+Z24+AB4</f>
        <v>298.51055270000001</v>
      </c>
      <c r="AJ29" s="46"/>
      <c r="AK29" s="46"/>
      <c r="AL29" s="46"/>
      <c r="AM29" s="46"/>
      <c r="AN29" s="46"/>
      <c r="AO29" s="46"/>
      <c r="AP29" s="46"/>
      <c r="AQ29" s="46"/>
      <c r="AR29" s="154" t="s">
        <v>112</v>
      </c>
      <c r="AS29" s="154"/>
      <c r="AT29" s="154"/>
      <c r="AU29" s="55">
        <f>+AU7+AU8+AR19+AN26+AP4</f>
        <v>403.18827249999993</v>
      </c>
      <c r="AY29" s="88" t="s">
        <v>132</v>
      </c>
      <c r="AZ29" s="102">
        <f>BB28/AY28</f>
        <v>6.7994141423979757</v>
      </c>
      <c r="BB29" s="88" t="s">
        <v>133</v>
      </c>
      <c r="BC29" s="102">
        <f>BC28/AY28</f>
        <v>5.8262418427973115</v>
      </c>
    </row>
    <row r="30" spans="1:63" ht="15" thickBot="1">
      <c r="H30" s="72" t="s">
        <v>75</v>
      </c>
      <c r="I30" s="73" t="s">
        <v>76</v>
      </c>
      <c r="J30" s="73" t="s">
        <v>75</v>
      </c>
      <c r="K30" s="73" t="s">
        <v>76</v>
      </c>
      <c r="L30" s="73" t="s">
        <v>75</v>
      </c>
      <c r="M30" s="78" t="s">
        <v>76</v>
      </c>
      <c r="P30" s="154" t="s">
        <v>113</v>
      </c>
      <c r="Q30" s="154"/>
      <c r="R30" s="154"/>
      <c r="S30" s="56"/>
      <c r="V30" s="72" t="s">
        <v>75</v>
      </c>
      <c r="W30" s="73" t="s">
        <v>76</v>
      </c>
      <c r="X30" s="73" t="s">
        <v>75</v>
      </c>
      <c r="Y30" s="73" t="s">
        <v>76</v>
      </c>
      <c r="Z30" s="73" t="s">
        <v>75</v>
      </c>
      <c r="AA30" s="78" t="s">
        <v>76</v>
      </c>
      <c r="AD30" s="154" t="s">
        <v>113</v>
      </c>
      <c r="AE30" s="154"/>
      <c r="AF30" s="154"/>
      <c r="AG30" s="56"/>
      <c r="AJ30" s="46"/>
      <c r="AK30" s="46"/>
      <c r="AL30" s="46"/>
      <c r="AM30" s="46"/>
      <c r="AN30" s="46"/>
      <c r="AO30" s="46"/>
      <c r="AP30" s="46"/>
      <c r="AR30" s="154" t="s">
        <v>113</v>
      </c>
      <c r="AS30" s="154"/>
      <c r="AT30" s="154"/>
    </row>
    <row r="31" spans="1:63" ht="15" thickBot="1">
      <c r="H31" s="74">
        <v>1</v>
      </c>
      <c r="I31" s="37">
        <v>28.56</v>
      </c>
      <c r="J31" s="66">
        <v>7</v>
      </c>
      <c r="K31" s="37">
        <v>28.56</v>
      </c>
      <c r="L31" s="66">
        <v>13</v>
      </c>
      <c r="M31" s="38">
        <v>0</v>
      </c>
      <c r="O31" s="160" t="s">
        <v>114</v>
      </c>
      <c r="P31" s="160"/>
      <c r="Q31" s="160"/>
      <c r="R31" s="160"/>
      <c r="S31" s="160"/>
      <c r="T31" s="160"/>
      <c r="V31" s="74">
        <v>1</v>
      </c>
      <c r="W31" s="37">
        <v>28.56</v>
      </c>
      <c r="X31" s="66">
        <v>7</v>
      </c>
      <c r="Y31" s="37">
        <v>28.56</v>
      </c>
      <c r="Z31" s="66">
        <v>13</v>
      </c>
      <c r="AA31" s="38">
        <v>0</v>
      </c>
      <c r="AC31" s="160" t="s">
        <v>40</v>
      </c>
      <c r="AD31" s="160"/>
      <c r="AE31" s="160"/>
      <c r="AF31" s="160"/>
      <c r="AG31" s="160"/>
      <c r="AH31" s="160"/>
      <c r="AJ31" s="46"/>
      <c r="AK31" s="46"/>
      <c r="AL31" s="46"/>
      <c r="AM31" s="46"/>
      <c r="AN31" s="46"/>
      <c r="AO31" s="46"/>
      <c r="AP31" s="46"/>
      <c r="AX31" s="205" t="s">
        <v>135</v>
      </c>
      <c r="AY31" s="206"/>
      <c r="AZ31" s="206"/>
      <c r="BA31" s="206"/>
      <c r="BB31" s="206"/>
      <c r="BC31" s="207"/>
    </row>
    <row r="32" spans="1:63" ht="14.4" thickBot="1">
      <c r="H32" s="74">
        <v>2</v>
      </c>
      <c r="I32" s="37">
        <v>22.95</v>
      </c>
      <c r="J32" s="66">
        <v>8</v>
      </c>
      <c r="K32" s="37">
        <v>24.37</v>
      </c>
      <c r="L32" s="66">
        <v>14</v>
      </c>
      <c r="M32" s="38">
        <v>0</v>
      </c>
      <c r="V32" s="74">
        <v>2</v>
      </c>
      <c r="W32" s="37">
        <v>22.95</v>
      </c>
      <c r="X32" s="66">
        <v>8</v>
      </c>
      <c r="Y32" s="37">
        <v>24.37</v>
      </c>
      <c r="Z32" s="66">
        <v>14</v>
      </c>
      <c r="AA32" s="38">
        <v>0</v>
      </c>
      <c r="AJ32" s="72" t="s">
        <v>75</v>
      </c>
      <c r="AK32" s="73" t="s">
        <v>76</v>
      </c>
      <c r="AL32" s="73" t="s">
        <v>75</v>
      </c>
      <c r="AM32" s="73" t="s">
        <v>76</v>
      </c>
      <c r="AN32" s="73" t="s">
        <v>75</v>
      </c>
      <c r="AO32" s="78" t="s">
        <v>76</v>
      </c>
      <c r="AX32" s="74" t="s">
        <v>75</v>
      </c>
      <c r="AY32" s="66" t="s">
        <v>76</v>
      </c>
      <c r="AZ32" s="66"/>
      <c r="BA32" s="66"/>
      <c r="BB32" s="66" t="s">
        <v>101</v>
      </c>
      <c r="BC32" s="7" t="s">
        <v>101</v>
      </c>
      <c r="BD32" s="95"/>
    </row>
    <row r="33" spans="1:55" ht="14.4" thickBot="1">
      <c r="H33" s="74">
        <v>3</v>
      </c>
      <c r="I33" s="37">
        <v>28.56</v>
      </c>
      <c r="J33" s="66">
        <v>9</v>
      </c>
      <c r="K33" s="37">
        <v>0</v>
      </c>
      <c r="L33" s="66">
        <v>15</v>
      </c>
      <c r="M33" s="38">
        <v>0</v>
      </c>
      <c r="V33" s="74">
        <v>3</v>
      </c>
      <c r="W33" s="37">
        <v>28.56</v>
      </c>
      <c r="X33" s="66">
        <v>9</v>
      </c>
      <c r="Y33" s="37">
        <v>0</v>
      </c>
      <c r="Z33" s="66">
        <v>15</v>
      </c>
      <c r="AA33" s="38">
        <v>0</v>
      </c>
      <c r="AJ33" s="74">
        <v>1</v>
      </c>
      <c r="AK33" s="37">
        <v>92.72</v>
      </c>
      <c r="AL33" s="66">
        <v>7</v>
      </c>
      <c r="AM33" s="37">
        <v>0</v>
      </c>
      <c r="AN33" s="66">
        <v>13</v>
      </c>
      <c r="AO33" s="38">
        <v>0</v>
      </c>
      <c r="AQ33" s="157" t="s">
        <v>121</v>
      </c>
      <c r="AR33" s="158"/>
      <c r="AS33" s="158"/>
      <c r="AT33" s="159"/>
      <c r="AU33" s="155">
        <f>AU29+AG29+S29</f>
        <v>945.94532329999993</v>
      </c>
      <c r="AV33" s="156"/>
      <c r="AW33" s="156"/>
      <c r="AX33" s="74" t="s">
        <v>123</v>
      </c>
      <c r="AY33" s="37">
        <f>AK33</f>
        <v>92.72</v>
      </c>
      <c r="AZ33" s="66">
        <v>2.73</v>
      </c>
      <c r="BA33" s="66">
        <v>7.84</v>
      </c>
      <c r="BB33" s="66">
        <f>AY33*AZ35</f>
        <v>735.26959999999997</v>
      </c>
      <c r="BC33" s="7">
        <f>BA33*AY33</f>
        <v>726.9248</v>
      </c>
    </row>
    <row r="34" spans="1:55">
      <c r="H34" s="74">
        <v>4</v>
      </c>
      <c r="I34" s="37">
        <v>28</v>
      </c>
      <c r="J34" s="66">
        <v>10</v>
      </c>
      <c r="K34" s="37">
        <v>0</v>
      </c>
      <c r="L34" s="66">
        <v>16</v>
      </c>
      <c r="M34" s="38">
        <v>0</v>
      </c>
      <c r="V34" s="74">
        <v>4</v>
      </c>
      <c r="W34" s="37">
        <v>28</v>
      </c>
      <c r="X34" s="66">
        <v>10</v>
      </c>
      <c r="Y34" s="37">
        <v>0</v>
      </c>
      <c r="Z34" s="66">
        <v>16</v>
      </c>
      <c r="AA34" s="38">
        <v>0</v>
      </c>
      <c r="AJ34" s="74">
        <v>2</v>
      </c>
      <c r="AK34" s="37">
        <v>106.6</v>
      </c>
      <c r="AL34" s="66">
        <v>8</v>
      </c>
      <c r="AM34" s="37">
        <v>0</v>
      </c>
      <c r="AN34" s="66">
        <v>14</v>
      </c>
      <c r="AO34" s="38">
        <v>0</v>
      </c>
      <c r="AX34" s="74" t="s">
        <v>124</v>
      </c>
      <c r="AY34" s="37">
        <f>AK34</f>
        <v>106.6</v>
      </c>
      <c r="AZ34" s="66">
        <v>10.58</v>
      </c>
      <c r="BA34" s="66">
        <v>4.82</v>
      </c>
      <c r="BB34" s="66">
        <f t="shared" ref="BB34:BB39" si="21">AY34*AZ34</f>
        <v>1127.828</v>
      </c>
      <c r="BC34" s="7">
        <f t="shared" ref="BC34:BC39" si="22">BA34*AY34</f>
        <v>513.81200000000001</v>
      </c>
    </row>
    <row r="35" spans="1:55">
      <c r="H35" s="74">
        <v>5</v>
      </c>
      <c r="I35" s="37">
        <v>29.71</v>
      </c>
      <c r="J35" s="66">
        <v>11</v>
      </c>
      <c r="K35" s="37">
        <v>0</v>
      </c>
      <c r="L35" s="66">
        <v>17</v>
      </c>
      <c r="M35" s="38">
        <v>0</v>
      </c>
      <c r="V35" s="74">
        <v>5</v>
      </c>
      <c r="W35" s="37">
        <v>29.71</v>
      </c>
      <c r="X35" s="66">
        <v>11</v>
      </c>
      <c r="Y35" s="37">
        <v>0</v>
      </c>
      <c r="Z35" s="66">
        <v>17</v>
      </c>
      <c r="AA35" s="38">
        <v>0</v>
      </c>
      <c r="AJ35" s="74">
        <v>3</v>
      </c>
      <c r="AK35" s="37">
        <v>23.76</v>
      </c>
      <c r="AL35" s="66">
        <v>9</v>
      </c>
      <c r="AM35" s="37">
        <v>0</v>
      </c>
      <c r="AN35" s="66">
        <v>15</v>
      </c>
      <c r="AO35" s="38">
        <v>0</v>
      </c>
      <c r="AX35" s="74" t="s">
        <v>125</v>
      </c>
      <c r="AY35" s="37">
        <f>AK35</f>
        <v>23.76</v>
      </c>
      <c r="AZ35" s="66">
        <v>7.93</v>
      </c>
      <c r="BA35" s="66">
        <v>12.8</v>
      </c>
      <c r="BB35" s="66">
        <f>AY35*AZ35</f>
        <v>188.41679999999999</v>
      </c>
      <c r="BC35" s="7">
        <f>BA35*AY35</f>
        <v>304.12800000000004</v>
      </c>
    </row>
    <row r="36" spans="1:55" ht="14.4" thickBot="1">
      <c r="H36" s="75">
        <v>6</v>
      </c>
      <c r="I36" s="10">
        <v>14.63</v>
      </c>
      <c r="J36" s="79">
        <v>12</v>
      </c>
      <c r="K36" s="10">
        <v>0</v>
      </c>
      <c r="L36" s="79">
        <v>18</v>
      </c>
      <c r="M36" s="11">
        <v>0</v>
      </c>
      <c r="V36" s="75">
        <v>6</v>
      </c>
      <c r="W36" s="10">
        <v>14.63</v>
      </c>
      <c r="X36" s="79">
        <v>12</v>
      </c>
      <c r="Y36" s="10">
        <v>0</v>
      </c>
      <c r="Z36" s="79">
        <v>18</v>
      </c>
      <c r="AA36" s="11">
        <v>0</v>
      </c>
      <c r="AJ36" s="74">
        <v>4</v>
      </c>
      <c r="AK36" s="37">
        <v>0</v>
      </c>
      <c r="AL36" s="66">
        <v>10</v>
      </c>
      <c r="AM36" s="37">
        <v>0</v>
      </c>
      <c r="AN36" s="66">
        <v>16</v>
      </c>
      <c r="AO36" s="38">
        <v>0</v>
      </c>
      <c r="AX36" s="74" t="s">
        <v>126</v>
      </c>
      <c r="AY36" s="37">
        <v>0</v>
      </c>
      <c r="AZ36" s="66">
        <v>0</v>
      </c>
      <c r="BA36" s="66">
        <v>0</v>
      </c>
      <c r="BB36" s="66">
        <f t="shared" si="21"/>
        <v>0</v>
      </c>
      <c r="BC36" s="7">
        <f t="shared" si="22"/>
        <v>0</v>
      </c>
    </row>
    <row r="37" spans="1:55" ht="14.4" thickBot="1">
      <c r="H37" s="188" t="s">
        <v>77</v>
      </c>
      <c r="I37" s="189"/>
      <c r="J37" s="190"/>
      <c r="K37" s="191"/>
      <c r="L37" s="192">
        <f>I31+I32+I33+I34+I35+I36+K31+K32+K33+K34+K35+K36+M31+M32+M33+M34+M35+M36</f>
        <v>205.34</v>
      </c>
      <c r="M37" s="193"/>
      <c r="V37" s="188" t="s">
        <v>77</v>
      </c>
      <c r="W37" s="189"/>
      <c r="X37" s="190"/>
      <c r="Y37" s="191"/>
      <c r="Z37" s="192">
        <f>W31+W32+W33+W34+W35+W36+Y31+Y32+Y33+Y34+Y35+Y36+AA31+AA32+AA33+AA34+AA35+AA36</f>
        <v>205.34</v>
      </c>
      <c r="AA37" s="193"/>
      <c r="AJ37" s="74">
        <v>5</v>
      </c>
      <c r="AK37" s="37">
        <v>0</v>
      </c>
      <c r="AL37" s="66">
        <v>11</v>
      </c>
      <c r="AM37" s="37">
        <v>0</v>
      </c>
      <c r="AN37" s="66">
        <v>17</v>
      </c>
      <c r="AO37" s="38">
        <v>0</v>
      </c>
      <c r="AX37" s="74" t="s">
        <v>127</v>
      </c>
      <c r="AY37" s="37">
        <v>0</v>
      </c>
      <c r="AZ37" s="66">
        <v>0</v>
      </c>
      <c r="BA37" s="66">
        <v>0</v>
      </c>
      <c r="BB37" s="66">
        <f t="shared" si="21"/>
        <v>0</v>
      </c>
      <c r="BC37" s="7">
        <f t="shared" si="22"/>
        <v>0</v>
      </c>
    </row>
    <row r="38" spans="1:55" ht="14.4" thickBot="1">
      <c r="A38" s="72" t="s">
        <v>41</v>
      </c>
      <c r="B38" s="73" t="s">
        <v>42</v>
      </c>
      <c r="C38" s="73" t="s">
        <v>43</v>
      </c>
      <c r="D38" s="73" t="s">
        <v>44</v>
      </c>
      <c r="E38" s="78" t="s">
        <v>45</v>
      </c>
      <c r="H38" s="69" t="s">
        <v>25</v>
      </c>
      <c r="I38" s="29">
        <v>0.12</v>
      </c>
      <c r="J38" s="39" t="s">
        <v>27</v>
      </c>
      <c r="K38" s="40">
        <v>2.4</v>
      </c>
      <c r="L38" s="152" t="s">
        <v>78</v>
      </c>
      <c r="M38" s="153"/>
      <c r="N38" s="41">
        <f>E4</f>
        <v>275</v>
      </c>
      <c r="O38" s="72" t="s">
        <v>41</v>
      </c>
      <c r="P38" s="73" t="s">
        <v>42</v>
      </c>
      <c r="Q38" s="73" t="s">
        <v>43</v>
      </c>
      <c r="R38" s="73" t="s">
        <v>44</v>
      </c>
      <c r="S38" s="78" t="s">
        <v>45</v>
      </c>
      <c r="V38" s="69" t="s">
        <v>25</v>
      </c>
      <c r="W38" s="29">
        <v>0.12</v>
      </c>
      <c r="X38" s="39" t="s">
        <v>27</v>
      </c>
      <c r="Y38" s="40">
        <v>2.4</v>
      </c>
      <c r="Z38" s="152" t="s">
        <v>78</v>
      </c>
      <c r="AA38" s="153"/>
      <c r="AB38" s="41">
        <f>E4</f>
        <v>275</v>
      </c>
      <c r="AC38" s="72" t="s">
        <v>41</v>
      </c>
      <c r="AD38" s="73" t="s">
        <v>42</v>
      </c>
      <c r="AE38" s="73" t="s">
        <v>43</v>
      </c>
      <c r="AF38" s="73" t="s">
        <v>44</v>
      </c>
      <c r="AG38" s="78" t="s">
        <v>45</v>
      </c>
      <c r="AJ38" s="75">
        <v>6</v>
      </c>
      <c r="AK38" s="10">
        <v>0</v>
      </c>
      <c r="AL38" s="79">
        <v>12</v>
      </c>
      <c r="AM38" s="10">
        <v>0</v>
      </c>
      <c r="AN38" s="79">
        <v>18</v>
      </c>
      <c r="AO38" s="11">
        <v>0</v>
      </c>
      <c r="AX38" s="74" t="s">
        <v>128</v>
      </c>
      <c r="AY38" s="37">
        <v>0</v>
      </c>
      <c r="AZ38" s="66">
        <v>0</v>
      </c>
      <c r="BA38" s="66">
        <v>0</v>
      </c>
      <c r="BB38" s="66">
        <f t="shared" si="21"/>
        <v>0</v>
      </c>
      <c r="BC38" s="7">
        <f t="shared" si="22"/>
        <v>0</v>
      </c>
    </row>
    <row r="39" spans="1:55" ht="14.4" thickBot="1">
      <c r="A39" s="74" t="s">
        <v>46</v>
      </c>
      <c r="B39" s="66">
        <v>10</v>
      </c>
      <c r="C39" s="66">
        <v>1</v>
      </c>
      <c r="D39" s="66">
        <v>0</v>
      </c>
      <c r="E39" s="7">
        <v>1</v>
      </c>
      <c r="H39" s="71" t="s">
        <v>79</v>
      </c>
      <c r="I39" s="42">
        <f>B4</f>
        <v>250</v>
      </c>
      <c r="J39" s="43">
        <f>I39/1000</f>
        <v>0.25</v>
      </c>
      <c r="K39" s="44"/>
      <c r="L39" s="174"/>
      <c r="M39" s="175"/>
      <c r="N39" s="45">
        <f>N38/1000</f>
        <v>0.27500000000000002</v>
      </c>
      <c r="O39" s="74" t="s">
        <v>46</v>
      </c>
      <c r="P39" s="66">
        <v>10</v>
      </c>
      <c r="Q39" s="66">
        <v>1</v>
      </c>
      <c r="R39" s="66">
        <v>0</v>
      </c>
      <c r="S39" s="7">
        <v>1</v>
      </c>
      <c r="V39" s="71" t="s">
        <v>79</v>
      </c>
      <c r="W39" s="42">
        <f>B4</f>
        <v>250</v>
      </c>
      <c r="X39" s="43">
        <f>W39/1000</f>
        <v>0.25</v>
      </c>
      <c r="Y39" s="44"/>
      <c r="Z39" s="174"/>
      <c r="AA39" s="175"/>
      <c r="AB39" s="45">
        <f>AB38/1000</f>
        <v>0.27500000000000002</v>
      </c>
      <c r="AC39" s="74" t="s">
        <v>46</v>
      </c>
      <c r="AD39" s="66">
        <v>10</v>
      </c>
      <c r="AE39" s="66">
        <v>5</v>
      </c>
      <c r="AF39" s="66">
        <v>0</v>
      </c>
      <c r="AG39" s="7">
        <v>1</v>
      </c>
      <c r="AJ39" s="197" t="s">
        <v>77</v>
      </c>
      <c r="AK39" s="190"/>
      <c r="AL39" s="190"/>
      <c r="AM39" s="81"/>
      <c r="AN39" s="82">
        <f>AK33+AK34+AK35+AK36+AK37+AK38+AM33+AM34+AM35+AM36+AM37+AM38+AO33+AO34+AO35+AO36+AO37+AO38</f>
        <v>223.07999999999998</v>
      </c>
      <c r="AO39" s="83"/>
      <c r="AX39" s="74" t="s">
        <v>129</v>
      </c>
      <c r="AY39" s="37">
        <v>0</v>
      </c>
      <c r="AZ39" s="66">
        <v>0</v>
      </c>
      <c r="BA39" s="66">
        <v>0</v>
      </c>
      <c r="BB39" s="66">
        <f t="shared" si="21"/>
        <v>0</v>
      </c>
      <c r="BC39" s="7">
        <f t="shared" si="22"/>
        <v>0</v>
      </c>
    </row>
    <row r="40" spans="1:55" ht="14.4" thickBot="1">
      <c r="A40" s="75" t="s">
        <v>47</v>
      </c>
      <c r="B40" s="79">
        <v>2.13</v>
      </c>
      <c r="C40" s="79">
        <v>2.13</v>
      </c>
      <c r="D40" s="79">
        <v>0</v>
      </c>
      <c r="E40" s="21">
        <v>2.13</v>
      </c>
      <c r="O40" s="75" t="s">
        <v>47</v>
      </c>
      <c r="P40" s="79">
        <v>3.75</v>
      </c>
      <c r="Q40" s="79">
        <v>3.75</v>
      </c>
      <c r="R40" s="79">
        <v>0</v>
      </c>
      <c r="S40" s="21">
        <v>3.75</v>
      </c>
      <c r="AC40" s="75" t="s">
        <v>47</v>
      </c>
      <c r="AD40" s="79">
        <v>3.25</v>
      </c>
      <c r="AE40" s="79">
        <v>3.25</v>
      </c>
      <c r="AF40" s="79">
        <v>0</v>
      </c>
      <c r="AG40" s="21">
        <v>3.25</v>
      </c>
      <c r="AJ40" s="69" t="s">
        <v>25</v>
      </c>
      <c r="AK40" s="29">
        <v>0.12</v>
      </c>
      <c r="AL40" s="39" t="s">
        <v>27</v>
      </c>
      <c r="AM40" s="40">
        <v>2.4</v>
      </c>
      <c r="AN40" s="152" t="s">
        <v>78</v>
      </c>
      <c r="AO40" s="153"/>
      <c r="AP40" s="41">
        <f>+E4</f>
        <v>275</v>
      </c>
      <c r="AX40" s="75" t="s">
        <v>130</v>
      </c>
      <c r="AY40" s="10">
        <v>0</v>
      </c>
      <c r="AZ40" s="79">
        <v>0</v>
      </c>
      <c r="BA40" s="79">
        <v>0</v>
      </c>
      <c r="BB40" s="79">
        <f>AY40*AZ40</f>
        <v>0</v>
      </c>
      <c r="BC40" s="21">
        <f>BA40*AY40</f>
        <v>0</v>
      </c>
    </row>
    <row r="41" spans="1:55" ht="14.4" thickBot="1">
      <c r="AJ41" s="71" t="s">
        <v>79</v>
      </c>
      <c r="AK41" s="42">
        <f>+B4</f>
        <v>250</v>
      </c>
      <c r="AL41" s="43">
        <f>AK41/1000</f>
        <v>0.25</v>
      </c>
      <c r="AM41" s="44"/>
      <c r="AN41" s="84"/>
      <c r="AO41" s="85"/>
      <c r="AP41" s="45">
        <f>AP40/1000</f>
        <v>0.27500000000000002</v>
      </c>
      <c r="AY41" s="93">
        <f>AY28</f>
        <v>205.34</v>
      </c>
      <c r="BB41" s="94">
        <f>SUM(BB33:BB40)</f>
        <v>2051.5144</v>
      </c>
      <c r="BC41" s="94">
        <f>SUM(BC33:BC40)</f>
        <v>1544.8648000000003</v>
      </c>
    </row>
    <row r="42" spans="1:55" ht="14.4" thickBot="1"/>
    <row r="43" spans="1:55" ht="14.4" thickBot="1">
      <c r="AY43" s="101" t="s">
        <v>132</v>
      </c>
      <c r="AZ43" s="103">
        <f>BB41/AY41</f>
        <v>9.9908171812603488</v>
      </c>
      <c r="BA43" s="104"/>
      <c r="BB43" s="105" t="s">
        <v>133</v>
      </c>
      <c r="BC43" s="103">
        <f>BC41/AY41</f>
        <v>7.5234479400019492</v>
      </c>
    </row>
  </sheetData>
  <mergeCells count="140">
    <mergeCell ref="AX1:BC1"/>
    <mergeCell ref="AX18:BC18"/>
    <mergeCell ref="AX31:BC31"/>
    <mergeCell ref="BE1:BG1"/>
    <mergeCell ref="BE8:BK8"/>
    <mergeCell ref="BE12:BF12"/>
    <mergeCell ref="BE13:BF13"/>
    <mergeCell ref="BE14:BF14"/>
    <mergeCell ref="AX13:AY14"/>
    <mergeCell ref="AZ13:BA14"/>
    <mergeCell ref="BC13:BD14"/>
    <mergeCell ref="BE16:BF16"/>
    <mergeCell ref="BE17:BF17"/>
    <mergeCell ref="BE18:BF18"/>
    <mergeCell ref="BI13:BK13"/>
    <mergeCell ref="BI14:BK16"/>
    <mergeCell ref="BI17:BK17"/>
    <mergeCell ref="AJ39:AL39"/>
    <mergeCell ref="AJ28:AP28"/>
    <mergeCell ref="AU27:AV27"/>
    <mergeCell ref="AR29:AT29"/>
    <mergeCell ref="AN1:AO1"/>
    <mergeCell ref="AO4:AO5"/>
    <mergeCell ref="AP4:AP5"/>
    <mergeCell ref="AV5:AV6"/>
    <mergeCell ref="AW5:AW6"/>
    <mergeCell ref="AT6:AU6"/>
    <mergeCell ref="AR7:AT7"/>
    <mergeCell ref="AU7:AW7"/>
    <mergeCell ref="AQ1:AR1"/>
    <mergeCell ref="AS1:AU1"/>
    <mergeCell ref="AQ2:AR2"/>
    <mergeCell ref="AS2:AU2"/>
    <mergeCell ref="AQ3:AR3"/>
    <mergeCell ref="AS3:AU3"/>
    <mergeCell ref="AQ4:AR4"/>
    <mergeCell ref="AS4:AU4"/>
    <mergeCell ref="AQ5:AR6"/>
    <mergeCell ref="AT5:AU5"/>
    <mergeCell ref="AR8:AT8"/>
    <mergeCell ref="AU8:AW8"/>
    <mergeCell ref="AQ10:AW10"/>
    <mergeCell ref="AQ14:AW14"/>
    <mergeCell ref="AQ27:AR27"/>
    <mergeCell ref="AD30:AF30"/>
    <mergeCell ref="AC31:AH31"/>
    <mergeCell ref="AC10:AI10"/>
    <mergeCell ref="AC14:AI14"/>
    <mergeCell ref="AC27:AD27"/>
    <mergeCell ref="AG27:AH27"/>
    <mergeCell ref="AD29:AF29"/>
    <mergeCell ref="X24:Y24"/>
    <mergeCell ref="V26:AB26"/>
    <mergeCell ref="V37:Y37"/>
    <mergeCell ref="Z37:AA37"/>
    <mergeCell ref="AI5:AI6"/>
    <mergeCell ref="AF6:AG6"/>
    <mergeCell ref="AD7:AF7"/>
    <mergeCell ref="AG7:AI7"/>
    <mergeCell ref="AD8:AF8"/>
    <mergeCell ref="AG8:AI8"/>
    <mergeCell ref="AC5:AD6"/>
    <mergeCell ref="AF5:AG5"/>
    <mergeCell ref="AH5:AH6"/>
    <mergeCell ref="Z1:AA1"/>
    <mergeCell ref="AA4:AA5"/>
    <mergeCell ref="AB4:AB5"/>
    <mergeCell ref="V7:AB7"/>
    <mergeCell ref="W12:Y12"/>
    <mergeCell ref="Z12:AB12"/>
    <mergeCell ref="AC1:AD1"/>
    <mergeCell ref="AE1:AG1"/>
    <mergeCell ref="AC2:AD2"/>
    <mergeCell ref="AE2:AG2"/>
    <mergeCell ref="AC3:AD3"/>
    <mergeCell ref="AE3:AG3"/>
    <mergeCell ref="AC4:AD4"/>
    <mergeCell ref="AE4:AG4"/>
    <mergeCell ref="H37:K37"/>
    <mergeCell ref="L37:M37"/>
    <mergeCell ref="L38:M39"/>
    <mergeCell ref="I19:K19"/>
    <mergeCell ref="L19:N19"/>
    <mergeCell ref="J24:K24"/>
    <mergeCell ref="H23:I23"/>
    <mergeCell ref="L23:M23"/>
    <mergeCell ref="H26:N26"/>
    <mergeCell ref="H7:N7"/>
    <mergeCell ref="L12:N12"/>
    <mergeCell ref="I12:K12"/>
    <mergeCell ref="H14:N14"/>
    <mergeCell ref="L1:M1"/>
    <mergeCell ref="M4:M5"/>
    <mergeCell ref="N4:N5"/>
    <mergeCell ref="A23:F23"/>
    <mergeCell ref="A6:B6"/>
    <mergeCell ref="A12:B12"/>
    <mergeCell ref="D12:F12"/>
    <mergeCell ref="D13:E13"/>
    <mergeCell ref="D14:E14"/>
    <mergeCell ref="D15:E15"/>
    <mergeCell ref="D16:E16"/>
    <mergeCell ref="D17:E17"/>
    <mergeCell ref="D18:E18"/>
    <mergeCell ref="D19:E19"/>
    <mergeCell ref="A21:A22"/>
    <mergeCell ref="AN40:AO40"/>
    <mergeCell ref="AR30:AT30"/>
    <mergeCell ref="AU33:AW33"/>
    <mergeCell ref="AQ33:AT33"/>
    <mergeCell ref="T5:T6"/>
    <mergeCell ref="O9:U9"/>
    <mergeCell ref="O14:U14"/>
    <mergeCell ref="U5:U6"/>
    <mergeCell ref="R6:S6"/>
    <mergeCell ref="P7:R7"/>
    <mergeCell ref="S7:U7"/>
    <mergeCell ref="P8:R8"/>
    <mergeCell ref="S8:U8"/>
    <mergeCell ref="O27:P27"/>
    <mergeCell ref="S27:T27"/>
    <mergeCell ref="P29:R29"/>
    <mergeCell ref="P30:R30"/>
    <mergeCell ref="O31:T31"/>
    <mergeCell ref="Z38:AA39"/>
    <mergeCell ref="V14:AB14"/>
    <mergeCell ref="W19:Y19"/>
    <mergeCell ref="Z19:AB19"/>
    <mergeCell ref="V23:W23"/>
    <mergeCell ref="Z23:AA23"/>
    <mergeCell ref="O1:P1"/>
    <mergeCell ref="Q1:S1"/>
    <mergeCell ref="O2:P2"/>
    <mergeCell ref="Q2:S2"/>
    <mergeCell ref="O3:P3"/>
    <mergeCell ref="Q3:S3"/>
    <mergeCell ref="O4:P4"/>
    <mergeCell ref="Q4:S4"/>
    <mergeCell ref="O5:P6"/>
    <mergeCell ref="R5:S5"/>
  </mergeCells>
  <phoneticPr fontId="4" type="noConversion"/>
  <pageMargins left="0.7" right="0.7" top="0.75" bottom="0.75" header="0.3" footer="0.3"/>
  <pageSetup paperSize="9" orientation="portrait" r:id="rId1"/>
  <ignoredErrors>
    <ignoredError sqref="J3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926C-156A-4AB1-ABB5-9B3AB03259DD}">
  <dimension ref="A1:J95"/>
  <sheetViews>
    <sheetView topLeftCell="A76" workbookViewId="0">
      <selection activeCell="K94" sqref="K94"/>
    </sheetView>
  </sheetViews>
  <sheetFormatPr baseColWidth="10" defaultRowHeight="13.8"/>
  <cols>
    <col min="1" max="1" width="18.3984375" style="117" customWidth="1"/>
    <col min="2" max="3" width="11.19921875" style="117"/>
    <col min="4" max="4" width="17.5" style="117" customWidth="1"/>
    <col min="5" max="16384" width="11.19921875" style="117"/>
  </cols>
  <sheetData>
    <row r="1" spans="1:10" ht="14.4" thickBot="1"/>
    <row r="2" spans="1:10">
      <c r="A2" s="145" t="s">
        <v>155</v>
      </c>
      <c r="B2" s="146"/>
      <c r="C2" s="146"/>
      <c r="D2" s="146"/>
      <c r="E2" s="146"/>
      <c r="F2" s="146"/>
      <c r="G2" s="146"/>
      <c r="H2" s="146"/>
      <c r="I2" s="146"/>
      <c r="J2" s="184"/>
    </row>
    <row r="3" spans="1:10">
      <c r="A3" s="222" t="s">
        <v>156</v>
      </c>
      <c r="B3" s="118" t="s">
        <v>157</v>
      </c>
      <c r="C3" s="118" t="s">
        <v>158</v>
      </c>
      <c r="D3" s="118" t="s">
        <v>159</v>
      </c>
      <c r="E3" s="118" t="s">
        <v>76</v>
      </c>
      <c r="F3" s="118" t="s">
        <v>160</v>
      </c>
      <c r="G3" s="118" t="s">
        <v>35</v>
      </c>
      <c r="H3" s="118" t="s">
        <v>38</v>
      </c>
      <c r="I3" s="118" t="s">
        <v>107</v>
      </c>
      <c r="J3" s="131" t="s">
        <v>161</v>
      </c>
    </row>
    <row r="4" spans="1:10">
      <c r="A4" s="222"/>
      <c r="B4" s="118">
        <v>45</v>
      </c>
      <c r="C4" s="118">
        <v>45</v>
      </c>
      <c r="D4" s="137">
        <f>((C4^3)*B4)/12</f>
        <v>341718.75</v>
      </c>
      <c r="E4" s="137">
        <f>B4*C4</f>
        <v>2025</v>
      </c>
      <c r="F4" s="137">
        <v>275</v>
      </c>
      <c r="G4" s="137">
        <v>270</v>
      </c>
      <c r="H4" s="137">
        <f>15100*SQRT(G4)</f>
        <v>248118.31854984025</v>
      </c>
      <c r="I4" s="137">
        <f>0.4*H4</f>
        <v>99247.327419936104</v>
      </c>
      <c r="J4" s="138">
        <f>F4^3/(3*H4*D4)+(1.2*F4)/(E4*I4)</f>
        <v>8.3403552039504876E-5</v>
      </c>
    </row>
    <row r="5" spans="1:10">
      <c r="A5" s="121"/>
      <c r="B5" s="118"/>
      <c r="C5" s="118"/>
      <c r="D5" s="137"/>
      <c r="E5" s="137"/>
      <c r="F5" s="137"/>
      <c r="G5" s="137"/>
      <c r="H5" s="137"/>
      <c r="I5" s="137"/>
      <c r="J5" s="138"/>
    </row>
    <row r="6" spans="1:10">
      <c r="A6" s="223" t="s">
        <v>162</v>
      </c>
      <c r="B6" s="118" t="s">
        <v>157</v>
      </c>
      <c r="C6" s="118" t="s">
        <v>158</v>
      </c>
      <c r="D6" s="118" t="s">
        <v>159</v>
      </c>
      <c r="E6" s="118" t="s">
        <v>76</v>
      </c>
      <c r="F6" s="118" t="s">
        <v>160</v>
      </c>
      <c r="G6" s="118" t="s">
        <v>35</v>
      </c>
      <c r="H6" s="118" t="s">
        <v>38</v>
      </c>
      <c r="I6" s="118" t="s">
        <v>107</v>
      </c>
      <c r="J6" s="131" t="s">
        <v>161</v>
      </c>
    </row>
    <row r="7" spans="1:10">
      <c r="A7" s="223"/>
      <c r="B7" s="118">
        <v>45</v>
      </c>
      <c r="C7" s="118">
        <v>45</v>
      </c>
      <c r="D7" s="137">
        <f>((C7^3)*B7)/12</f>
        <v>341718.75</v>
      </c>
      <c r="E7" s="137">
        <f>B7*C7</f>
        <v>2025</v>
      </c>
      <c r="F7" s="137">
        <v>525</v>
      </c>
      <c r="G7" s="137">
        <v>270</v>
      </c>
      <c r="H7" s="137">
        <f>15100*SQRT(G7)</f>
        <v>248118.31854984025</v>
      </c>
      <c r="I7" s="137">
        <f>0.4*H7</f>
        <v>99247.327419936104</v>
      </c>
      <c r="J7" s="138">
        <f>F7^3/(3*H7*D7)+(1.2*F7)/(E7*I7)</f>
        <v>5.7202564478830889E-4</v>
      </c>
    </row>
    <row r="8" spans="1:10" ht="21.6" customHeight="1">
      <c r="A8" s="139"/>
      <c r="B8" s="118"/>
      <c r="C8" s="118"/>
      <c r="D8" s="137"/>
      <c r="E8" s="137"/>
      <c r="F8" s="137"/>
      <c r="G8" s="137"/>
      <c r="H8" s="137"/>
      <c r="I8" s="137"/>
      <c r="J8" s="138"/>
    </row>
    <row r="9" spans="1:10">
      <c r="A9" s="223" t="s">
        <v>163</v>
      </c>
      <c r="B9" s="118" t="s">
        <v>157</v>
      </c>
      <c r="C9" s="118" t="s">
        <v>158</v>
      </c>
      <c r="D9" s="118" t="s">
        <v>159</v>
      </c>
      <c r="E9" s="118" t="s">
        <v>76</v>
      </c>
      <c r="F9" s="118" t="s">
        <v>160</v>
      </c>
      <c r="G9" s="118" t="s">
        <v>35</v>
      </c>
      <c r="H9" s="118" t="s">
        <v>38</v>
      </c>
      <c r="I9" s="118" t="s">
        <v>107</v>
      </c>
      <c r="J9" s="131" t="s">
        <v>161</v>
      </c>
    </row>
    <row r="10" spans="1:10">
      <c r="A10" s="223"/>
      <c r="B10" s="118">
        <v>45</v>
      </c>
      <c r="C10" s="118">
        <v>45</v>
      </c>
      <c r="D10" s="137">
        <f>((C10^3)*B10)/12</f>
        <v>341718.75</v>
      </c>
      <c r="E10" s="137">
        <f>B10*C10</f>
        <v>2025</v>
      </c>
      <c r="F10" s="137">
        <v>391</v>
      </c>
      <c r="G10" s="137">
        <v>270</v>
      </c>
      <c r="H10" s="137">
        <f>15100*SQRT(G10)</f>
        <v>248118.31854984025</v>
      </c>
      <c r="I10" s="137">
        <f>0.4*H10</f>
        <v>99247.327419936104</v>
      </c>
      <c r="J10" s="138">
        <f>F10^3/(3*H10*D10)+(1.2*F10)/(E10*I10)</f>
        <v>2.373419231381091E-4</v>
      </c>
    </row>
    <row r="11" spans="1:10" ht="22.8" customHeight="1">
      <c r="A11" s="139"/>
      <c r="B11" s="118"/>
      <c r="C11" s="118"/>
      <c r="D11" s="137"/>
      <c r="E11" s="137"/>
      <c r="F11" s="137"/>
      <c r="G11" s="137"/>
      <c r="H11" s="137"/>
      <c r="I11" s="137"/>
      <c r="J11" s="138"/>
    </row>
    <row r="12" spans="1:10">
      <c r="A12" s="121" t="s">
        <v>164</v>
      </c>
      <c r="B12" s="118">
        <v>30</v>
      </c>
      <c r="C12" s="118">
        <v>175</v>
      </c>
      <c r="D12" s="137">
        <f>((C12^3)*B12)/12</f>
        <v>13398437.5</v>
      </c>
      <c r="E12" s="137">
        <f>B12*C12</f>
        <v>5250</v>
      </c>
      <c r="F12" s="137">
        <f>F7</f>
        <v>525</v>
      </c>
      <c r="G12" s="137">
        <f>G4</f>
        <v>270</v>
      </c>
      <c r="H12" s="137">
        <f>15100*SQRT(G12)</f>
        <v>248118.31854984025</v>
      </c>
      <c r="I12" s="137">
        <f>0.4*H12</f>
        <v>99247.327419936104</v>
      </c>
      <c r="J12" s="138">
        <f>F12^3/(3*H12*D12)+(1.2*F12)/(E12*I12)</f>
        <v>1.5718307389772982E-5</v>
      </c>
    </row>
    <row r="13" spans="1:10">
      <c r="A13" s="121"/>
      <c r="B13" s="118"/>
      <c r="C13" s="118"/>
      <c r="D13" s="137"/>
      <c r="E13" s="137"/>
      <c r="F13" s="137"/>
      <c r="G13" s="137"/>
      <c r="H13" s="137"/>
      <c r="I13" s="137"/>
      <c r="J13" s="138"/>
    </row>
    <row r="14" spans="1:10">
      <c r="A14" s="121" t="s">
        <v>165</v>
      </c>
      <c r="B14" s="118">
        <v>30</v>
      </c>
      <c r="C14" s="118">
        <v>175</v>
      </c>
      <c r="D14" s="137">
        <f t="shared" ref="D14" si="0">((C14^3)*B14)/12</f>
        <v>13398437.5</v>
      </c>
      <c r="E14" s="137">
        <f>B14*C14</f>
        <v>5250</v>
      </c>
      <c r="F14" s="137">
        <f>F10</f>
        <v>391</v>
      </c>
      <c r="G14" s="137">
        <f>G12</f>
        <v>270</v>
      </c>
      <c r="H14" s="137">
        <f>15100*SQRT(G14)</f>
        <v>248118.31854984025</v>
      </c>
      <c r="I14" s="137">
        <f>0.4*H14</f>
        <v>99247.327419936104</v>
      </c>
      <c r="J14" s="138">
        <f>F14^3/(3*H14*D14)+(1.2*F14)/(E14*I14)</f>
        <v>6.8942062817339441E-6</v>
      </c>
    </row>
    <row r="15" spans="1:10">
      <c r="A15" s="121"/>
      <c r="B15" s="118"/>
      <c r="C15" s="118"/>
      <c r="D15" s="137"/>
      <c r="E15" s="137"/>
      <c r="F15" s="137"/>
      <c r="G15" s="137"/>
      <c r="H15" s="137"/>
      <c r="I15" s="137"/>
      <c r="J15" s="138"/>
    </row>
    <row r="16" spans="1:10">
      <c r="A16" s="121" t="s">
        <v>166</v>
      </c>
      <c r="B16" s="118">
        <v>150</v>
      </c>
      <c r="C16" s="118">
        <v>150</v>
      </c>
      <c r="D16" s="137">
        <f t="shared" ref="D16" si="1">((C16^3)*B16)/12</f>
        <v>42187500</v>
      </c>
      <c r="E16" s="137">
        <f t="shared" ref="E16" si="2">B16*C16</f>
        <v>22500</v>
      </c>
      <c r="F16" s="137">
        <f>F4</f>
        <v>275</v>
      </c>
      <c r="G16" s="137">
        <f>G12</f>
        <v>270</v>
      </c>
      <c r="H16" s="137">
        <f t="shared" ref="H16:H24" si="3">15100*SQRT(G16)</f>
        <v>248118.31854984025</v>
      </c>
      <c r="I16" s="137">
        <f t="shared" ref="I16:I24" si="4">0.4*H16</f>
        <v>99247.327419936104</v>
      </c>
      <c r="J16" s="138">
        <f t="shared" ref="J16" si="5">F16^3/(3*H16*D16)+(1.2*F16)/(E16*I16)</f>
        <v>8.1004762363249172E-7</v>
      </c>
    </row>
    <row r="17" spans="1:10">
      <c r="A17" s="121"/>
      <c r="B17" s="118"/>
      <c r="C17" s="118"/>
      <c r="D17" s="137"/>
      <c r="E17" s="137"/>
      <c r="F17" s="137"/>
      <c r="G17" s="137"/>
      <c r="H17" s="137"/>
      <c r="I17" s="137"/>
      <c r="J17" s="138"/>
    </row>
    <row r="18" spans="1:10">
      <c r="A18" s="121" t="s">
        <v>167</v>
      </c>
      <c r="B18" s="118">
        <v>150</v>
      </c>
      <c r="C18" s="118">
        <v>150</v>
      </c>
      <c r="D18" s="137">
        <f t="shared" ref="D18" si="6">((C18^3)*B18)/12</f>
        <v>42187500</v>
      </c>
      <c r="E18" s="137">
        <f t="shared" ref="E18" si="7">B18*C18</f>
        <v>22500</v>
      </c>
      <c r="F18" s="137">
        <f t="shared" ref="F18:G18" si="8">F16</f>
        <v>275</v>
      </c>
      <c r="G18" s="137">
        <f t="shared" si="8"/>
        <v>270</v>
      </c>
      <c r="H18" s="137">
        <f t="shared" si="3"/>
        <v>248118.31854984025</v>
      </c>
      <c r="I18" s="137">
        <f t="shared" si="4"/>
        <v>99247.327419936104</v>
      </c>
      <c r="J18" s="138">
        <f t="shared" ref="J18" si="9">F18^3/(3*H18*D18)+(1.2*F18)/(E18*I18)</f>
        <v>8.1004762363249172E-7</v>
      </c>
    </row>
    <row r="19" spans="1:10">
      <c r="A19" s="121"/>
      <c r="B19" s="118"/>
      <c r="C19" s="118"/>
      <c r="D19" s="137"/>
      <c r="E19" s="137"/>
      <c r="F19" s="137"/>
      <c r="G19" s="137"/>
      <c r="H19" s="137"/>
      <c r="I19" s="137"/>
      <c r="J19" s="138"/>
    </row>
    <row r="20" spans="1:10">
      <c r="A20" s="121" t="s">
        <v>168</v>
      </c>
      <c r="B20" s="118">
        <v>150</v>
      </c>
      <c r="C20" s="118">
        <v>150</v>
      </c>
      <c r="D20" s="137">
        <f t="shared" ref="D20" si="10">((C20^3)*B20)/12</f>
        <v>42187500</v>
      </c>
      <c r="E20" s="137">
        <f t="shared" ref="E20" si="11">B20*C20</f>
        <v>22500</v>
      </c>
      <c r="F20" s="137">
        <f>F10</f>
        <v>391</v>
      </c>
      <c r="G20" s="137">
        <f>G16</f>
        <v>270</v>
      </c>
      <c r="H20" s="137">
        <f t="shared" si="3"/>
        <v>248118.31854984025</v>
      </c>
      <c r="I20" s="137">
        <f t="shared" si="4"/>
        <v>99247.327419936104</v>
      </c>
      <c r="J20" s="138">
        <f t="shared" ref="J20" si="12">F20^3/(3*H20*D20)+(1.2*F20)/(E20*I20)</f>
        <v>2.1136740544222776E-6</v>
      </c>
    </row>
    <row r="21" spans="1:10">
      <c r="A21" s="121"/>
      <c r="B21" s="118"/>
      <c r="C21" s="118"/>
      <c r="D21" s="137"/>
      <c r="E21" s="137"/>
      <c r="F21" s="137"/>
      <c r="G21" s="137"/>
      <c r="H21" s="137"/>
      <c r="I21" s="137"/>
      <c r="J21" s="138"/>
    </row>
    <row r="22" spans="1:10">
      <c r="A22" s="121" t="s">
        <v>169</v>
      </c>
      <c r="B22" s="118">
        <v>150</v>
      </c>
      <c r="C22" s="118">
        <v>150</v>
      </c>
      <c r="D22" s="137">
        <f t="shared" ref="D22" si="13">((C22^3)*B22)/12</f>
        <v>42187500</v>
      </c>
      <c r="E22" s="137">
        <f t="shared" ref="E22" si="14">B22*C22</f>
        <v>22500</v>
      </c>
      <c r="F22" s="137">
        <f>F4</f>
        <v>275</v>
      </c>
      <c r="G22" s="137">
        <f t="shared" ref="G22" si="15">G20</f>
        <v>270</v>
      </c>
      <c r="H22" s="137">
        <f t="shared" si="3"/>
        <v>248118.31854984025</v>
      </c>
      <c r="I22" s="137">
        <f t="shared" si="4"/>
        <v>99247.327419936104</v>
      </c>
      <c r="J22" s="138">
        <f t="shared" ref="J22" si="16">F22^3/(3*H22*D22)+(1.2*F22)/(E22*I22)</f>
        <v>8.1004762363249172E-7</v>
      </c>
    </row>
    <row r="23" spans="1:10">
      <c r="A23" s="121"/>
      <c r="B23" s="118"/>
      <c r="C23" s="118"/>
      <c r="D23" s="137"/>
      <c r="E23" s="137"/>
      <c r="F23" s="137"/>
      <c r="G23" s="137"/>
      <c r="H23" s="137"/>
      <c r="I23" s="137"/>
      <c r="J23" s="138"/>
    </row>
    <row r="24" spans="1:10" ht="14.4" thickBot="1">
      <c r="A24" s="122" t="s">
        <v>170</v>
      </c>
      <c r="B24" s="126">
        <v>150</v>
      </c>
      <c r="C24" s="126">
        <v>150</v>
      </c>
      <c r="D24" s="140">
        <f t="shared" ref="D24" si="17">((C24^3)*B24)/12</f>
        <v>42187500</v>
      </c>
      <c r="E24" s="140">
        <f t="shared" ref="E24" si="18">B24*C24</f>
        <v>22500</v>
      </c>
      <c r="F24" s="140">
        <f t="shared" ref="F24:G24" si="19">F22</f>
        <v>275</v>
      </c>
      <c r="G24" s="140">
        <f t="shared" si="19"/>
        <v>270</v>
      </c>
      <c r="H24" s="140">
        <f t="shared" si="3"/>
        <v>248118.31854984025</v>
      </c>
      <c r="I24" s="140">
        <f t="shared" si="4"/>
        <v>99247.327419936104</v>
      </c>
      <c r="J24" s="141">
        <f t="shared" ref="J24" si="20">F24^3/(3*H24*D24)+(1.2*F24)/(E24*I24)</f>
        <v>8.1004762363249172E-7</v>
      </c>
    </row>
    <row r="25" spans="1:10" ht="14.4" thickBot="1">
      <c r="E25" s="143">
        <f>SUM(E4:E24)</f>
        <v>129075</v>
      </c>
    </row>
    <row r="26" spans="1:10">
      <c r="A26" s="111" t="s">
        <v>171</v>
      </c>
      <c r="B26" s="203" t="s">
        <v>172</v>
      </c>
      <c r="C26" s="203"/>
      <c r="D26" s="112" t="str">
        <f>A14</f>
        <v>ELEVADOR DERECHO</v>
      </c>
      <c r="E26" s="112" t="str">
        <f>A16</f>
        <v>MURO A-1</v>
      </c>
      <c r="F26" s="112" t="str">
        <f>A18</f>
        <v>MURO A-4</v>
      </c>
      <c r="G26" s="112" t="str">
        <f>A20</f>
        <v>MURO C-4</v>
      </c>
      <c r="H26" s="112" t="str">
        <f>A22</f>
        <v>MURO D-1</v>
      </c>
      <c r="I26" s="112" t="s">
        <v>24</v>
      </c>
      <c r="J26" s="112" t="s">
        <v>173</v>
      </c>
    </row>
    <row r="27" spans="1:10">
      <c r="A27" s="121" t="s">
        <v>101</v>
      </c>
      <c r="B27" s="148">
        <v>2</v>
      </c>
      <c r="C27" s="148"/>
      <c r="D27" s="118">
        <v>1</v>
      </c>
      <c r="E27" s="118">
        <v>1</v>
      </c>
      <c r="F27" s="118">
        <v>0</v>
      </c>
      <c r="G27" s="118">
        <v>0</v>
      </c>
      <c r="H27" s="118">
        <v>0</v>
      </c>
      <c r="I27" s="118">
        <v>0</v>
      </c>
      <c r="J27" s="118">
        <f>(1/J4)+(1/J4)+(1/J16)+(1/J18)</f>
        <v>2492970.433170977</v>
      </c>
    </row>
    <row r="28" spans="1:10">
      <c r="A28" s="121" t="s">
        <v>102</v>
      </c>
      <c r="B28" s="148">
        <v>4</v>
      </c>
      <c r="C28" s="148"/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1</v>
      </c>
      <c r="J28" s="118">
        <f>(1/J4)+(1/J12)+(1/J12)+(1/J12)+(1/J12)</f>
        <v>266470.22373711492</v>
      </c>
    </row>
    <row r="29" spans="1:10">
      <c r="A29" s="121" t="s">
        <v>103</v>
      </c>
      <c r="B29" s="148">
        <v>3</v>
      </c>
      <c r="C29" s="148"/>
      <c r="D29" s="118">
        <v>0</v>
      </c>
      <c r="E29" s="118">
        <v>0</v>
      </c>
      <c r="F29" s="118">
        <v>1</v>
      </c>
      <c r="G29" s="118">
        <v>0</v>
      </c>
      <c r="H29" s="118">
        <v>0</v>
      </c>
      <c r="I29" s="118">
        <v>1</v>
      </c>
      <c r="J29" s="118">
        <f>(1/J12)+(1/J20)+(1/J4)+(1/J4)+(1/J4)</f>
        <v>572699.61571808753</v>
      </c>
    </row>
    <row r="30" spans="1:10" ht="14.4" thickBot="1">
      <c r="A30" s="122" t="s">
        <v>104</v>
      </c>
      <c r="B30" s="185">
        <v>1</v>
      </c>
      <c r="C30" s="185"/>
      <c r="D30" s="126">
        <v>0</v>
      </c>
      <c r="E30" s="126">
        <v>0</v>
      </c>
      <c r="F30" s="126">
        <v>0</v>
      </c>
      <c r="G30" s="126">
        <v>1</v>
      </c>
      <c r="H30" s="126">
        <v>1</v>
      </c>
      <c r="I30" s="126">
        <v>0</v>
      </c>
      <c r="J30" s="126">
        <f>(1/J24)+(1/J4)+(1/J22)</f>
        <v>2480980.5361516466</v>
      </c>
    </row>
    <row r="31" spans="1:10" ht="14.4" thickBot="1">
      <c r="J31" s="142">
        <f>[1]Hoja1!J658</f>
        <v>1387680.412522285</v>
      </c>
    </row>
    <row r="32" spans="1:10">
      <c r="I32" s="112" t="s">
        <v>174</v>
      </c>
      <c r="J32" s="113" t="s">
        <v>175</v>
      </c>
    </row>
    <row r="33" spans="2:10">
      <c r="I33" s="118">
        <v>0</v>
      </c>
      <c r="J33" s="131">
        <f>[1]Hoja1!L654</f>
        <v>0</v>
      </c>
    </row>
    <row r="34" spans="2:10">
      <c r="I34" s="118">
        <v>5.25</v>
      </c>
      <c r="J34" s="131">
        <f>[1]Hoja1!L655</f>
        <v>738891.28486574057</v>
      </c>
    </row>
    <row r="35" spans="2:10">
      <c r="I35" s="118">
        <v>10</v>
      </c>
      <c r="J35" s="131">
        <f>[1]Hoja1!L656</f>
        <v>2233732.6869408404</v>
      </c>
    </row>
    <row r="36" spans="2:10" ht="14.4" thickBot="1">
      <c r="I36" s="126">
        <v>15.25</v>
      </c>
      <c r="J36" s="21">
        <f>[1]Hoja1!L657</f>
        <v>7713267.3788983505</v>
      </c>
    </row>
    <row r="37" spans="2:10" ht="14.4" thickBot="1">
      <c r="J37" s="142">
        <f>[1]Hoja1!L658</f>
        <v>10685891.350704931</v>
      </c>
    </row>
    <row r="38" spans="2:10" ht="14.4" thickBot="1">
      <c r="B38" s="116" t="s">
        <v>176</v>
      </c>
      <c r="C38" s="123"/>
      <c r="D38" s="123"/>
      <c r="E38" s="123"/>
      <c r="F38" s="123"/>
      <c r="G38" s="123"/>
      <c r="H38" s="123"/>
      <c r="I38" s="124"/>
    </row>
    <row r="39" spans="2:10">
      <c r="B39" s="114" t="str">
        <f>[1]Hoja1!A660</f>
        <v>CENTRO DE RIGIDEZ</v>
      </c>
      <c r="C39" s="115"/>
      <c r="E39" s="114" t="str">
        <f>[1]Hoja1!D660</f>
        <v>CENTRO DE MASA</v>
      </c>
      <c r="F39" s="115"/>
      <c r="H39" s="114" t="str">
        <f>[1]Hoja1!G660</f>
        <v>EXCENTRICIDAD</v>
      </c>
      <c r="I39" s="115"/>
    </row>
    <row r="40" spans="2:10" ht="14.4" thickBot="1">
      <c r="B40" s="129">
        <f>J37/J31</f>
        <v>7.7005420371121103</v>
      </c>
      <c r="C40" s="130"/>
      <c r="E40" s="129">
        <f>Hoja1!BC16</f>
        <v>7.0705488458166936</v>
      </c>
      <c r="F40" s="130"/>
      <c r="H40" s="129">
        <f>B40-E40</f>
        <v>0.62999319129541664</v>
      </c>
      <c r="I40" s="130"/>
    </row>
    <row r="41" spans="2:10" ht="14.4" thickBot="1"/>
    <row r="42" spans="2:10" ht="14.4" thickBot="1">
      <c r="B42" s="116" t="s">
        <v>177</v>
      </c>
      <c r="C42" s="123"/>
      <c r="D42" s="123"/>
      <c r="E42" s="123"/>
      <c r="F42" s="123"/>
      <c r="G42" s="123"/>
      <c r="H42" s="123"/>
      <c r="I42" s="124"/>
    </row>
    <row r="43" spans="2:10">
      <c r="B43" s="114" t="str">
        <f t="shared" ref="B43:H44" si="21">B39</f>
        <v>CENTRO DE RIGIDEZ</v>
      </c>
      <c r="C43" s="115"/>
      <c r="E43" s="114" t="str">
        <f t="shared" si="21"/>
        <v>CENTRO DE MASA</v>
      </c>
      <c r="F43" s="115"/>
      <c r="H43" s="114" t="str">
        <f t="shared" si="21"/>
        <v>EXCENTRICIDAD</v>
      </c>
      <c r="I43" s="115"/>
    </row>
    <row r="44" spans="2:10" ht="14.4" thickBot="1">
      <c r="B44" s="129">
        <f t="shared" si="21"/>
        <v>7.7005420371121103</v>
      </c>
      <c r="C44" s="130"/>
      <c r="E44" s="129">
        <f t="shared" si="21"/>
        <v>7.0705488458166936</v>
      </c>
      <c r="F44" s="130"/>
      <c r="H44" s="129">
        <f t="shared" si="21"/>
        <v>0.62999319129541664</v>
      </c>
      <c r="I44" s="130"/>
    </row>
    <row r="45" spans="2:10" ht="14.4" thickBot="1"/>
    <row r="46" spans="2:10" ht="14.4" thickBot="1">
      <c r="B46" s="116" t="s">
        <v>182</v>
      </c>
      <c r="C46" s="123"/>
      <c r="D46" s="123"/>
      <c r="E46" s="123"/>
      <c r="F46" s="123"/>
      <c r="G46" s="123"/>
      <c r="H46" s="123"/>
      <c r="I46" s="124"/>
    </row>
    <row r="47" spans="2:10">
      <c r="B47" s="114" t="str">
        <f t="shared" ref="B47" si="22">B43</f>
        <v>CENTRO DE RIGIDEZ</v>
      </c>
      <c r="C47" s="115"/>
      <c r="E47" s="114" t="str">
        <f>E43</f>
        <v>CENTRO DE MASA</v>
      </c>
      <c r="F47" s="115"/>
      <c r="H47" s="114" t="str">
        <f t="shared" ref="H47" si="23">H43</f>
        <v>EXCENTRICIDAD</v>
      </c>
      <c r="I47" s="115"/>
    </row>
    <row r="48" spans="2:10" ht="13.8" customHeight="1" thickBot="1">
      <c r="B48" s="129">
        <f>$B$40</f>
        <v>7.7005420371121103</v>
      </c>
      <c r="C48" s="130"/>
      <c r="E48" s="129">
        <f>Hoja1!BC43</f>
        <v>7.5234479400019492</v>
      </c>
      <c r="F48" s="130"/>
      <c r="H48" s="129">
        <f>B48-E48</f>
        <v>0.17709409711016111</v>
      </c>
      <c r="I48" s="130"/>
    </row>
    <row r="49" spans="1:10" ht="14.4" thickBot="1"/>
    <row r="50" spans="1:10">
      <c r="A50" s="119" t="s">
        <v>178</v>
      </c>
      <c r="B50" s="120"/>
      <c r="C50" s="120"/>
      <c r="D50" s="120"/>
      <c r="E50" s="120"/>
      <c r="F50" s="120"/>
      <c r="G50" s="120"/>
      <c r="H50" s="120"/>
      <c r="I50" s="120"/>
      <c r="J50" s="125"/>
    </row>
    <row r="51" spans="1:10" ht="13.8" customHeight="1">
      <c r="A51" s="139" t="s">
        <v>156</v>
      </c>
      <c r="B51" s="118" t="s">
        <v>157</v>
      </c>
      <c r="C51" s="118" t="s">
        <v>158</v>
      </c>
      <c r="D51" s="118" t="s">
        <v>159</v>
      </c>
      <c r="E51" s="118" t="s">
        <v>76</v>
      </c>
      <c r="F51" s="118" t="s">
        <v>160</v>
      </c>
      <c r="G51" s="118" t="s">
        <v>35</v>
      </c>
      <c r="H51" s="118" t="s">
        <v>38</v>
      </c>
      <c r="I51" s="118" t="s">
        <v>107</v>
      </c>
      <c r="J51" s="131" t="s">
        <v>161</v>
      </c>
    </row>
    <row r="52" spans="1:10">
      <c r="A52" s="139"/>
      <c r="B52" s="118">
        <v>45</v>
      </c>
      <c r="C52" s="118">
        <v>45</v>
      </c>
      <c r="D52" s="137">
        <f>((C52^3)*B52)/12</f>
        <v>341718.75</v>
      </c>
      <c r="E52" s="137">
        <f>B52*C52</f>
        <v>2025</v>
      </c>
      <c r="F52" s="137">
        <v>275</v>
      </c>
      <c r="G52" s="137">
        <v>270</v>
      </c>
      <c r="H52" s="137">
        <f>15100*SQRT(G52)</f>
        <v>248118.31854984025</v>
      </c>
      <c r="I52" s="137">
        <f>0.4*H52</f>
        <v>99247.327419936104</v>
      </c>
      <c r="J52" s="138">
        <f>F52^3/(3*H52*D52)+(1.2*F52)/(E52*I52)</f>
        <v>8.3403552039504876E-5</v>
      </c>
    </row>
    <row r="53" spans="1:10">
      <c r="A53" s="121"/>
      <c r="B53" s="118"/>
      <c r="C53" s="118"/>
      <c r="D53" s="137"/>
      <c r="E53" s="137"/>
      <c r="F53" s="137"/>
      <c r="G53" s="137"/>
      <c r="H53" s="137"/>
      <c r="I53" s="137"/>
      <c r="J53" s="138"/>
    </row>
    <row r="54" spans="1:10" ht="24">
      <c r="A54" s="144" t="s">
        <v>162</v>
      </c>
      <c r="B54" s="118" t="s">
        <v>157</v>
      </c>
      <c r="C54" s="118" t="s">
        <v>158</v>
      </c>
      <c r="D54" s="118" t="s">
        <v>159</v>
      </c>
      <c r="E54" s="118" t="s">
        <v>76</v>
      </c>
      <c r="F54" s="118" t="s">
        <v>160</v>
      </c>
      <c r="G54" s="118" t="s">
        <v>35</v>
      </c>
      <c r="H54" s="118" t="s">
        <v>38</v>
      </c>
      <c r="I54" s="118" t="s">
        <v>107</v>
      </c>
      <c r="J54" s="131" t="s">
        <v>161</v>
      </c>
    </row>
    <row r="55" spans="1:10">
      <c r="A55" s="144"/>
      <c r="B55" s="118">
        <v>45</v>
      </c>
      <c r="C55" s="118">
        <v>45</v>
      </c>
      <c r="D55" s="137">
        <f>((C55^3)*B55)/12</f>
        <v>341718.75</v>
      </c>
      <c r="E55" s="137">
        <f>B55*C55</f>
        <v>2025</v>
      </c>
      <c r="F55" s="137">
        <v>525</v>
      </c>
      <c r="G55" s="137">
        <v>270</v>
      </c>
      <c r="H55" s="137">
        <f>15100*SQRT(G55)</f>
        <v>248118.31854984025</v>
      </c>
      <c r="I55" s="137">
        <f>0.4*H55</f>
        <v>99247.327419936104</v>
      </c>
      <c r="J55" s="138">
        <f>F55^3/(3*H55*D55)+(1.2*F55)/(E55*I55)</f>
        <v>5.7202564478830889E-4</v>
      </c>
    </row>
    <row r="56" spans="1:10">
      <c r="A56" s="139"/>
      <c r="B56" s="118"/>
      <c r="C56" s="118"/>
      <c r="D56" s="137"/>
      <c r="E56" s="137"/>
      <c r="F56" s="137"/>
      <c r="G56" s="137"/>
      <c r="H56" s="137"/>
      <c r="I56" s="137"/>
      <c r="J56" s="138"/>
    </row>
    <row r="57" spans="1:10" ht="24">
      <c r="A57" s="144" t="s">
        <v>163</v>
      </c>
      <c r="B57" s="118" t="s">
        <v>157</v>
      </c>
      <c r="C57" s="118" t="s">
        <v>158</v>
      </c>
      <c r="D57" s="118" t="s">
        <v>159</v>
      </c>
      <c r="E57" s="118" t="s">
        <v>76</v>
      </c>
      <c r="F57" s="118" t="s">
        <v>160</v>
      </c>
      <c r="G57" s="118" t="s">
        <v>35</v>
      </c>
      <c r="H57" s="118" t="s">
        <v>38</v>
      </c>
      <c r="I57" s="118" t="s">
        <v>107</v>
      </c>
      <c r="J57" s="131" t="s">
        <v>161</v>
      </c>
    </row>
    <row r="58" spans="1:10">
      <c r="A58" s="144"/>
      <c r="B58" s="118">
        <v>45</v>
      </c>
      <c r="C58" s="118">
        <v>45</v>
      </c>
      <c r="D58" s="137">
        <f>((C58^3)*B58)/12</f>
        <v>341718.75</v>
      </c>
      <c r="E58" s="137">
        <f>B58*C58</f>
        <v>2025</v>
      </c>
      <c r="F58" s="137">
        <v>391</v>
      </c>
      <c r="G58" s="137">
        <v>270</v>
      </c>
      <c r="H58" s="137">
        <f>15100*SQRT(G58)</f>
        <v>248118.31854984025</v>
      </c>
      <c r="I58" s="137">
        <f>0.4*H58</f>
        <v>99247.327419936104</v>
      </c>
      <c r="J58" s="138">
        <f>F58^3/(3*H58*D58)+(1.2*F58)/(E58*I58)</f>
        <v>2.373419231381091E-4</v>
      </c>
    </row>
    <row r="59" spans="1:10">
      <c r="A59" s="139"/>
      <c r="B59" s="118"/>
      <c r="C59" s="118"/>
      <c r="D59" s="137"/>
      <c r="E59" s="137"/>
      <c r="F59" s="137"/>
      <c r="G59" s="137"/>
      <c r="H59" s="137"/>
      <c r="I59" s="137"/>
      <c r="J59" s="138"/>
    </row>
    <row r="60" spans="1:10">
      <c r="A60" s="121" t="s">
        <v>24</v>
      </c>
      <c r="B60" s="118">
        <v>30</v>
      </c>
      <c r="C60" s="118">
        <v>450</v>
      </c>
      <c r="D60" s="137">
        <f t="shared" ref="D60" si="24">((C60^3)*B60)/12</f>
        <v>227812500</v>
      </c>
      <c r="E60" s="137">
        <f>B60*C60</f>
        <v>13500</v>
      </c>
      <c r="F60" s="137">
        <v>593</v>
      </c>
      <c r="G60" s="137">
        <f>G52</f>
        <v>270</v>
      </c>
      <c r="H60" s="137">
        <f>15100*SQRT(G60)</f>
        <v>248118.31854984025</v>
      </c>
      <c r="I60" s="137">
        <f>0.4*H60</f>
        <v>99247.327419936104</v>
      </c>
      <c r="J60" s="138">
        <f>F60^3/(3*H60*D60)+(1.2*F60)/(E60*I60)</f>
        <v>1.7608292135601968E-6</v>
      </c>
    </row>
    <row r="61" spans="1:10">
      <c r="A61" s="121"/>
      <c r="B61" s="118"/>
      <c r="C61" s="118"/>
      <c r="D61" s="137"/>
      <c r="E61" s="137"/>
      <c r="F61" s="137"/>
      <c r="G61" s="137"/>
      <c r="H61" s="137"/>
      <c r="I61" s="137"/>
      <c r="J61" s="138"/>
    </row>
    <row r="62" spans="1:10">
      <c r="A62" s="121" t="s">
        <v>166</v>
      </c>
      <c r="B62" s="118">
        <v>150</v>
      </c>
      <c r="C62" s="118">
        <v>150</v>
      </c>
      <c r="D62" s="137">
        <f t="shared" ref="D62" si="25">((C62^3)*B62)/12</f>
        <v>42187500</v>
      </c>
      <c r="E62" s="137">
        <f t="shared" ref="E62" si="26">B62*C62</f>
        <v>22500</v>
      </c>
      <c r="F62" s="137">
        <f>F52</f>
        <v>275</v>
      </c>
      <c r="G62" s="137">
        <f>G60</f>
        <v>270</v>
      </c>
      <c r="H62" s="137">
        <f t="shared" ref="H62" si="27">15100*SQRT(G62)</f>
        <v>248118.31854984025</v>
      </c>
      <c r="I62" s="137">
        <f t="shared" ref="I62" si="28">0.4*H62</f>
        <v>99247.327419936104</v>
      </c>
      <c r="J62" s="138">
        <f t="shared" ref="J62" si="29">F62^3/(3*H62*D62)+(1.2*F62)/(E62*I62)</f>
        <v>8.1004762363249172E-7</v>
      </c>
    </row>
    <row r="63" spans="1:10">
      <c r="A63" s="121"/>
      <c r="B63" s="118"/>
      <c r="C63" s="118"/>
      <c r="D63" s="137"/>
      <c r="E63" s="137"/>
      <c r="F63" s="137"/>
      <c r="G63" s="137"/>
      <c r="H63" s="137"/>
      <c r="I63" s="137"/>
      <c r="J63" s="138"/>
    </row>
    <row r="64" spans="1:10">
      <c r="A64" s="121" t="s">
        <v>167</v>
      </c>
      <c r="B64" s="118">
        <v>150</v>
      </c>
      <c r="C64" s="118">
        <v>150</v>
      </c>
      <c r="D64" s="137">
        <f t="shared" ref="D64" si="30">((C64^3)*B64)/12</f>
        <v>42187500</v>
      </c>
      <c r="E64" s="137">
        <f t="shared" ref="E64" si="31">B64*C64</f>
        <v>22500</v>
      </c>
      <c r="F64" s="137">
        <f t="shared" ref="F64:G64" si="32">F62</f>
        <v>275</v>
      </c>
      <c r="G64" s="137">
        <f t="shared" si="32"/>
        <v>270</v>
      </c>
      <c r="H64" s="137">
        <f t="shared" ref="H64" si="33">15100*SQRT(G64)</f>
        <v>248118.31854984025</v>
      </c>
      <c r="I64" s="137">
        <f t="shared" ref="I64" si="34">0.4*H64</f>
        <v>99247.327419936104</v>
      </c>
      <c r="J64" s="138">
        <f t="shared" ref="J64" si="35">F64^3/(3*H64*D64)+(1.2*F64)/(E64*I64)</f>
        <v>8.1004762363249172E-7</v>
      </c>
    </row>
    <row r="65" spans="1:10">
      <c r="A65" s="121"/>
      <c r="B65" s="118"/>
      <c r="C65" s="118"/>
      <c r="D65" s="137"/>
      <c r="E65" s="137"/>
      <c r="F65" s="137"/>
      <c r="G65" s="137"/>
      <c r="H65" s="137"/>
      <c r="I65" s="137"/>
      <c r="J65" s="138"/>
    </row>
    <row r="66" spans="1:10">
      <c r="A66" s="121" t="s">
        <v>168</v>
      </c>
      <c r="B66" s="118">
        <v>150</v>
      </c>
      <c r="C66" s="118">
        <v>150</v>
      </c>
      <c r="D66" s="137">
        <f t="shared" ref="D66" si="36">((C66^3)*B66)/12</f>
        <v>42187500</v>
      </c>
      <c r="E66" s="137">
        <f t="shared" ref="E66" si="37">B66*C66</f>
        <v>22500</v>
      </c>
      <c r="F66" s="137">
        <f>F58</f>
        <v>391</v>
      </c>
      <c r="G66" s="137">
        <f>G62</f>
        <v>270</v>
      </c>
      <c r="H66" s="137">
        <f t="shared" ref="H66" si="38">15100*SQRT(G66)</f>
        <v>248118.31854984025</v>
      </c>
      <c r="I66" s="137">
        <f t="shared" ref="I66" si="39">0.4*H66</f>
        <v>99247.327419936104</v>
      </c>
      <c r="J66" s="138">
        <f t="shared" ref="J66" si="40">F66^3/(3*H66*D66)+(1.2*F66)/(E66*I66)</f>
        <v>2.1136740544222776E-6</v>
      </c>
    </row>
    <row r="67" spans="1:10">
      <c r="A67" s="121"/>
      <c r="B67" s="118"/>
      <c r="C67" s="118"/>
      <c r="D67" s="137"/>
      <c r="E67" s="137"/>
      <c r="F67" s="137"/>
      <c r="G67" s="137"/>
      <c r="H67" s="137"/>
      <c r="I67" s="137"/>
      <c r="J67" s="138"/>
    </row>
    <row r="68" spans="1:10">
      <c r="A68" s="121" t="s">
        <v>169</v>
      </c>
      <c r="B68" s="118">
        <v>150</v>
      </c>
      <c r="C68" s="118">
        <v>150</v>
      </c>
      <c r="D68" s="137">
        <f t="shared" ref="D68" si="41">((C68^3)*B68)/12</f>
        <v>42187500</v>
      </c>
      <c r="E68" s="137">
        <f t="shared" ref="E68" si="42">B68*C68</f>
        <v>22500</v>
      </c>
      <c r="F68" s="137">
        <f>F52</f>
        <v>275</v>
      </c>
      <c r="G68" s="137">
        <f t="shared" ref="G68" si="43">G66</f>
        <v>270</v>
      </c>
      <c r="H68" s="137">
        <f t="shared" ref="H68" si="44">15100*SQRT(G68)</f>
        <v>248118.31854984025</v>
      </c>
      <c r="I68" s="137">
        <f t="shared" ref="I68" si="45">0.4*H68</f>
        <v>99247.327419936104</v>
      </c>
      <c r="J68" s="138">
        <f t="shared" ref="J68" si="46">F68^3/(3*H68*D68)+(1.2*F68)/(E68*I68)</f>
        <v>8.1004762363249172E-7</v>
      </c>
    </row>
    <row r="69" spans="1:10">
      <c r="A69" s="121"/>
      <c r="B69" s="118"/>
      <c r="C69" s="118"/>
      <c r="D69" s="137"/>
      <c r="E69" s="137"/>
      <c r="F69" s="137"/>
      <c r="G69" s="137"/>
      <c r="H69" s="137"/>
      <c r="I69" s="137"/>
      <c r="J69" s="138"/>
    </row>
    <row r="70" spans="1:10" ht="14.4" thickBot="1">
      <c r="A70" s="122" t="s">
        <v>170</v>
      </c>
      <c r="B70" s="126">
        <v>150</v>
      </c>
      <c r="C70" s="126">
        <v>150</v>
      </c>
      <c r="D70" s="140">
        <f t="shared" ref="D70" si="47">((C70^3)*B70)/12</f>
        <v>42187500</v>
      </c>
      <c r="E70" s="140">
        <f t="shared" ref="E70" si="48">B70*C70</f>
        <v>22500</v>
      </c>
      <c r="F70" s="140">
        <f t="shared" ref="F70:G70" si="49">F68</f>
        <v>275</v>
      </c>
      <c r="G70" s="140">
        <f t="shared" si="49"/>
        <v>270</v>
      </c>
      <c r="H70" s="140">
        <f t="shared" ref="H70" si="50">15100*SQRT(G70)</f>
        <v>248118.31854984025</v>
      </c>
      <c r="I70" s="140">
        <f t="shared" ref="I70" si="51">0.4*H70</f>
        <v>99247.327419936104</v>
      </c>
      <c r="J70" s="141">
        <f t="shared" ref="J70" si="52">F70^3/(3*H70*D70)+(1.2*F70)/(E70*I70)</f>
        <v>8.1004762363249172E-7</v>
      </c>
    </row>
    <row r="71" spans="1:10" ht="14.4" thickBot="1">
      <c r="E71" s="143">
        <f>SUM(E52:E70)</f>
        <v>132075</v>
      </c>
    </row>
    <row r="73" spans="1:10" ht="14.4" thickBot="1"/>
    <row r="74" spans="1:10">
      <c r="A74" s="111" t="s">
        <v>171</v>
      </c>
      <c r="B74" s="112" t="s">
        <v>172</v>
      </c>
      <c r="C74" s="112"/>
      <c r="D74" s="112" t="str">
        <f>A62</f>
        <v>MURO A-1</v>
      </c>
      <c r="E74" s="112" t="str">
        <f>A64</f>
        <v>MURO A-4</v>
      </c>
      <c r="F74" s="112" t="str">
        <f>A66</f>
        <v>MURO C-4</v>
      </c>
      <c r="G74" s="112" t="str">
        <f>A68</f>
        <v>MURO D-1</v>
      </c>
      <c r="H74" s="112" t="str">
        <f>A70</f>
        <v>MURO D-3</v>
      </c>
      <c r="I74" s="112" t="s">
        <v>24</v>
      </c>
      <c r="J74" s="112" t="s">
        <v>173</v>
      </c>
    </row>
    <row r="75" spans="1:10">
      <c r="A75" s="121">
        <v>1</v>
      </c>
      <c r="B75" s="118">
        <v>2</v>
      </c>
      <c r="C75" s="118"/>
      <c r="D75" s="118">
        <v>1</v>
      </c>
      <c r="E75" s="118">
        <v>0</v>
      </c>
      <c r="F75" s="118">
        <v>0</v>
      </c>
      <c r="G75" s="118">
        <v>1</v>
      </c>
      <c r="H75" s="118">
        <v>0</v>
      </c>
      <c r="I75" s="118">
        <v>0</v>
      </c>
      <c r="J75" s="118">
        <f>(1/J52)+(1/J52)+(1/J62)+(1/J68)</f>
        <v>2492970.433170977</v>
      </c>
    </row>
    <row r="76" spans="1:10">
      <c r="A76" s="121">
        <v>2</v>
      </c>
      <c r="B76" s="118">
        <v>4</v>
      </c>
      <c r="C76" s="118"/>
      <c r="D76" s="118">
        <v>0</v>
      </c>
      <c r="E76" s="118">
        <v>0</v>
      </c>
      <c r="F76" s="118">
        <v>0</v>
      </c>
      <c r="G76" s="118">
        <v>0</v>
      </c>
      <c r="H76" s="118">
        <v>0</v>
      </c>
      <c r="I76" s="118">
        <v>1</v>
      </c>
      <c r="J76" s="118">
        <f>(1/J60)+(1/J52)+(1/J52)+(1/J52)+(1/J52)</f>
        <v>615873.83682953939</v>
      </c>
    </row>
    <row r="77" spans="1:10">
      <c r="A77" s="121">
        <v>3</v>
      </c>
      <c r="B77" s="118">
        <v>3</v>
      </c>
      <c r="C77" s="118"/>
      <c r="D77" s="118">
        <v>0</v>
      </c>
      <c r="E77" s="118">
        <v>0</v>
      </c>
      <c r="F77" s="118">
        <v>0</v>
      </c>
      <c r="G77" s="118">
        <v>0</v>
      </c>
      <c r="H77" s="118">
        <v>1</v>
      </c>
      <c r="I77" s="118">
        <v>0</v>
      </c>
      <c r="J77" s="118">
        <f>(1/J70)+(1/J52)+(1/J52)+(1/J52)</f>
        <v>1270465.0106241489</v>
      </c>
    </row>
    <row r="78" spans="1:10" ht="14.4" thickBot="1">
      <c r="A78" s="122">
        <v>4</v>
      </c>
      <c r="B78" s="126">
        <v>1</v>
      </c>
      <c r="C78" s="126"/>
      <c r="D78" s="126">
        <v>0</v>
      </c>
      <c r="E78" s="126">
        <v>1</v>
      </c>
      <c r="F78" s="126">
        <v>1</v>
      </c>
      <c r="G78" s="126">
        <v>0</v>
      </c>
      <c r="H78" s="126">
        <v>0</v>
      </c>
      <c r="I78" s="126">
        <v>0</v>
      </c>
      <c r="J78" s="126">
        <f>(1/J70)+(1/J64)+(1/J66)</f>
        <v>2942100.4821129679</v>
      </c>
    </row>
    <row r="79" spans="1:10" ht="14.4" thickBot="1">
      <c r="J79" s="142">
        <f>SUM(J75:J78)</f>
        <v>7321409.7627376337</v>
      </c>
    </row>
    <row r="80" spans="1:10">
      <c r="I80" s="112" t="s">
        <v>174</v>
      </c>
      <c r="J80" s="113" t="s">
        <v>175</v>
      </c>
    </row>
    <row r="81" spans="1:10">
      <c r="I81" s="118">
        <v>0</v>
      </c>
      <c r="J81" s="131">
        <f>J75*I81</f>
        <v>0</v>
      </c>
    </row>
    <row r="82" spans="1:10">
      <c r="I82" s="118">
        <v>5.25</v>
      </c>
      <c r="J82" s="131">
        <f>J76*I82</f>
        <v>3233337.6433550818</v>
      </c>
    </row>
    <row r="83" spans="1:10">
      <c r="I83" s="118">
        <v>10</v>
      </c>
      <c r="J83" s="131">
        <f>J77*I83</f>
        <v>12704650.106241489</v>
      </c>
    </row>
    <row r="84" spans="1:10" ht="14.4" thickBot="1">
      <c r="I84" s="126">
        <v>15.25</v>
      </c>
      <c r="J84" s="21">
        <f>J78*I84</f>
        <v>44867032.352222763</v>
      </c>
    </row>
    <row r="85" spans="1:10" ht="14.4" thickBot="1">
      <c r="A85" s="116" t="s">
        <v>176</v>
      </c>
      <c r="B85" s="123"/>
      <c r="C85" s="123"/>
      <c r="D85" s="123"/>
      <c r="E85" s="123"/>
      <c r="F85" s="123"/>
      <c r="G85" s="123"/>
      <c r="H85" s="124"/>
      <c r="J85" s="142">
        <f>SUM(J81:J84)</f>
        <v>60805020.101819336</v>
      </c>
    </row>
    <row r="86" spans="1:10">
      <c r="A86" s="114" t="s">
        <v>179</v>
      </c>
      <c r="B86" s="115"/>
      <c r="D86" s="114" t="s">
        <v>180</v>
      </c>
      <c r="E86" s="115"/>
      <c r="G86" s="114" t="s">
        <v>181</v>
      </c>
      <c r="H86" s="115"/>
    </row>
    <row r="87" spans="1:10" ht="14.4" thickBot="1">
      <c r="A87" s="129">
        <f>J85/J79</f>
        <v>8.3050972520738995</v>
      </c>
      <c r="B87" s="130"/>
      <c r="D87" s="129">
        <f>Hoja1!AZ16</f>
        <v>6.7994141423979757</v>
      </c>
      <c r="E87" s="130"/>
      <c r="G87" s="129">
        <f>A87-D87</f>
        <v>1.5056831096759238</v>
      </c>
      <c r="H87" s="130"/>
    </row>
    <row r="88" spans="1:10" ht="14.4" thickBot="1"/>
    <row r="89" spans="1:10" ht="14.4" thickBot="1">
      <c r="A89" s="116" t="s">
        <v>177</v>
      </c>
      <c r="B89" s="123"/>
      <c r="C89" s="123"/>
      <c r="D89" s="123"/>
      <c r="E89" s="123"/>
      <c r="F89" s="123"/>
      <c r="G89" s="123"/>
      <c r="H89" s="124"/>
    </row>
    <row r="90" spans="1:10">
      <c r="A90" s="114" t="str">
        <f t="shared" ref="A90" si="53">A86</f>
        <v>CENTRO DE RIGIDEZ</v>
      </c>
      <c r="B90" s="115"/>
      <c r="D90" s="114" t="str">
        <f t="shared" ref="D90" si="54">D86</f>
        <v>CENTRO DE MASA</v>
      </c>
      <c r="E90" s="115"/>
      <c r="G90" s="114" t="str">
        <f t="shared" ref="G90" si="55">G86</f>
        <v>EXCENTRICIDAD</v>
      </c>
      <c r="H90" s="115"/>
    </row>
    <row r="91" spans="1:10" ht="14.4" thickBot="1">
      <c r="A91" s="129">
        <f t="shared" ref="A91" si="56">A87</f>
        <v>8.3050972520738995</v>
      </c>
      <c r="B91" s="130"/>
      <c r="D91" s="129">
        <f t="shared" ref="D91" si="57">D87</f>
        <v>6.7994141423979757</v>
      </c>
      <c r="E91" s="130"/>
      <c r="G91" s="129">
        <f t="shared" ref="G91" si="58">G87</f>
        <v>1.5056831096759238</v>
      </c>
      <c r="H91" s="130"/>
      <c r="I91"/>
    </row>
    <row r="92" spans="1:10" ht="14.4" thickBot="1">
      <c r="I92"/>
    </row>
    <row r="93" spans="1:10" ht="14.4" thickBot="1">
      <c r="A93" s="116" t="s">
        <v>182</v>
      </c>
      <c r="B93" s="123"/>
      <c r="C93" s="123"/>
      <c r="D93" s="123"/>
      <c r="E93" s="123"/>
      <c r="F93" s="123"/>
      <c r="G93" s="123"/>
      <c r="H93" s="124"/>
    </row>
    <row r="94" spans="1:10">
      <c r="A94" s="127" t="str">
        <f t="shared" ref="A94" si="59">A90</f>
        <v>CENTRO DE RIGIDEZ</v>
      </c>
      <c r="B94" s="128"/>
      <c r="D94" s="114" t="str">
        <f t="shared" ref="D94" si="60">D90</f>
        <v>CENTRO DE MASA</v>
      </c>
      <c r="E94" s="115"/>
      <c r="G94" s="114" t="str">
        <f t="shared" ref="G94" si="61">G90</f>
        <v>EXCENTRICIDAD</v>
      </c>
      <c r="H94" s="115"/>
    </row>
    <row r="95" spans="1:10" ht="14.4" thickBot="1">
      <c r="A95" s="129">
        <f>$B$40</f>
        <v>7.7005420371121103</v>
      </c>
      <c r="B95" s="130"/>
      <c r="D95" s="129">
        <f>Hoja1!AZ43</f>
        <v>9.9908171812603488</v>
      </c>
      <c r="E95" s="130"/>
      <c r="G95" s="129">
        <f>A95-D95</f>
        <v>-2.2902751441482385</v>
      </c>
      <c r="H95" s="130"/>
    </row>
  </sheetData>
  <mergeCells count="9">
    <mergeCell ref="B27:C27"/>
    <mergeCell ref="B28:C28"/>
    <mergeCell ref="B29:C29"/>
    <mergeCell ref="B30:C30"/>
    <mergeCell ref="A2:J2"/>
    <mergeCell ref="A3:A4"/>
    <mergeCell ref="A6:A7"/>
    <mergeCell ref="A9:A10"/>
    <mergeCell ref="B26:C2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Alonzo</dc:creator>
  <cp:lastModifiedBy>Nidia Alonzo</cp:lastModifiedBy>
  <cp:lastPrinted>2024-05-12T11:38:33Z</cp:lastPrinted>
  <dcterms:created xsi:type="dcterms:W3CDTF">2024-05-11T19:55:45Z</dcterms:created>
  <dcterms:modified xsi:type="dcterms:W3CDTF">2024-05-14T04:44:34Z</dcterms:modified>
</cp:coreProperties>
</file>