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Diseño Estructural\final\"/>
    </mc:Choice>
  </mc:AlternateContent>
  <xr:revisionPtr revIDLastSave="0" documentId="8_{8FADF84B-6624-48E9-8DD7-1AF66AA4DC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7" i="1" l="1"/>
  <c r="AH198" i="1"/>
  <c r="AE177" i="1"/>
  <c r="AE184" i="1"/>
  <c r="AZ113" i="1"/>
  <c r="AV132" i="1" s="1"/>
  <c r="AZ122" i="1"/>
  <c r="AV141" i="1" s="1"/>
  <c r="BA141" i="1" s="1"/>
  <c r="AV160" i="1" s="1"/>
  <c r="BA122" i="1"/>
  <c r="AW141" i="1" s="1"/>
  <c r="AZ123" i="1"/>
  <c r="AV142" i="1" s="1"/>
  <c r="BA123" i="1"/>
  <c r="AW142" i="1" s="1"/>
  <c r="AZ124" i="1"/>
  <c r="AV143" i="1" s="1"/>
  <c r="BA124" i="1"/>
  <c r="AW143" i="1" s="1"/>
  <c r="AZ125" i="1"/>
  <c r="AV144" i="1" s="1"/>
  <c r="BA125" i="1"/>
  <c r="AW144" i="1" s="1"/>
  <c r="AZ126" i="1"/>
  <c r="AV145" i="1" s="1"/>
  <c r="BA126" i="1"/>
  <c r="AW145" i="1" s="1"/>
  <c r="AZ127" i="1"/>
  <c r="AV146" i="1" s="1"/>
  <c r="BA127" i="1"/>
  <c r="AW146" i="1" s="1"/>
  <c r="AZ128" i="1"/>
  <c r="AV147" i="1" s="1"/>
  <c r="BA147" i="1" s="1"/>
  <c r="AV166" i="1" s="1"/>
  <c r="BA128" i="1"/>
  <c r="AW147" i="1" s="1"/>
  <c r="AJ114" i="1"/>
  <c r="AF134" i="1" s="1"/>
  <c r="AJ115" i="1"/>
  <c r="AF135" i="1" s="1"/>
  <c r="AJ116" i="1"/>
  <c r="AF136" i="1" s="1"/>
  <c r="AJ117" i="1"/>
  <c r="AF137" i="1" s="1"/>
  <c r="AJ118" i="1"/>
  <c r="AF138" i="1" s="1"/>
  <c r="AJ119" i="1"/>
  <c r="AF139" i="1" s="1"/>
  <c r="AJ120" i="1"/>
  <c r="AF140" i="1" s="1"/>
  <c r="AJ121" i="1"/>
  <c r="AF141" i="1" s="1"/>
  <c r="AJ122" i="1"/>
  <c r="AF142" i="1" s="1"/>
  <c r="AJ123" i="1"/>
  <c r="AF143" i="1" s="1"/>
  <c r="AJ124" i="1"/>
  <c r="AF144" i="1" s="1"/>
  <c r="AJ125" i="1"/>
  <c r="AF145" i="1" s="1"/>
  <c r="AJ126" i="1"/>
  <c r="AF146" i="1" s="1"/>
  <c r="AK146" i="1" s="1"/>
  <c r="AF165" i="1" s="1"/>
  <c r="AJ127" i="1"/>
  <c r="AF147" i="1" s="1"/>
  <c r="AK147" i="1" s="1"/>
  <c r="AF166" i="1" s="1"/>
  <c r="AJ128" i="1"/>
  <c r="AF148" i="1" s="1"/>
  <c r="AJ129" i="1"/>
  <c r="AF149" i="1" s="1"/>
  <c r="AK149" i="1" s="1"/>
  <c r="AF168" i="1" s="1"/>
  <c r="AJ113" i="1"/>
  <c r="AF133" i="1" s="1"/>
  <c r="AK113" i="1"/>
  <c r="AG133" i="1" s="1"/>
  <c r="AK122" i="1"/>
  <c r="AG142" i="1" s="1"/>
  <c r="AK123" i="1"/>
  <c r="AG143" i="1" s="1"/>
  <c r="AK124" i="1"/>
  <c r="AG144" i="1" s="1"/>
  <c r="AK125" i="1"/>
  <c r="AG145" i="1" s="1"/>
  <c r="AK126" i="1"/>
  <c r="AG146" i="1" s="1"/>
  <c r="AK127" i="1"/>
  <c r="AG147" i="1" s="1"/>
  <c r="AK128" i="1"/>
  <c r="AG148" i="1" s="1"/>
  <c r="AK129" i="1"/>
  <c r="AG149" i="1" s="1"/>
  <c r="AK121" i="1"/>
  <c r="AG141" i="1" s="1"/>
  <c r="AE92" i="1"/>
  <c r="AE86" i="1"/>
  <c r="AE85" i="1"/>
  <c r="AH66" i="1"/>
  <c r="AH65" i="1"/>
  <c r="AH61" i="1"/>
  <c r="AH64" i="1" s="1"/>
  <c r="AG23" i="1"/>
  <c r="AE23" i="1"/>
  <c r="AH36" i="1"/>
  <c r="AE26" i="1"/>
  <c r="AB12" i="1"/>
  <c r="AL18" i="1" s="1"/>
  <c r="C314" i="1"/>
  <c r="C315" i="1" s="1"/>
  <c r="D261" i="1"/>
  <c r="D262" i="1"/>
  <c r="D260" i="1"/>
  <c r="B213" i="1"/>
  <c r="F213" i="1" s="1"/>
  <c r="B212" i="1"/>
  <c r="B211" i="1"/>
  <c r="F211" i="1" s="1"/>
  <c r="B210" i="1"/>
  <c r="F210" i="1" s="1"/>
  <c r="B209" i="1"/>
  <c r="F209" i="1" s="1"/>
  <c r="J140" i="1"/>
  <c r="K153" i="1"/>
  <c r="K67" i="1"/>
  <c r="E197" i="1"/>
  <c r="E111" i="1"/>
  <c r="B128" i="1"/>
  <c r="F128" i="1" s="1"/>
  <c r="B127" i="1"/>
  <c r="F127" i="1" s="1"/>
  <c r="B42" i="1"/>
  <c r="F42" i="1" s="1"/>
  <c r="G23" i="1"/>
  <c r="B130" i="1" s="1"/>
  <c r="F130" i="1" s="1"/>
  <c r="G17" i="1"/>
  <c r="B44" i="1" s="1"/>
  <c r="F44" i="1" s="1"/>
  <c r="G16" i="1"/>
  <c r="B43" i="1" s="1"/>
  <c r="F43" i="1" s="1"/>
  <c r="BA145" i="1" l="1"/>
  <c r="AV164" i="1" s="1"/>
  <c r="BA144" i="1"/>
  <c r="AV163" i="1" s="1"/>
  <c r="BA142" i="1"/>
  <c r="AV161" i="1" s="1"/>
  <c r="AK148" i="1"/>
  <c r="AF167" i="1" s="1"/>
  <c r="AK144" i="1"/>
  <c r="AF163" i="1" s="1"/>
  <c r="B214" i="1"/>
  <c r="F214" i="1" s="1"/>
  <c r="B129" i="1"/>
  <c r="F129" i="1" s="1"/>
  <c r="AK133" i="1"/>
  <c r="AF152" i="1" s="1"/>
  <c r="AH199" i="1"/>
  <c r="AH200" i="1" s="1"/>
  <c r="BA146" i="1"/>
  <c r="AV165" i="1" s="1"/>
  <c r="BA143" i="1"/>
  <c r="AV162" i="1" s="1"/>
  <c r="AW162" i="1" s="1"/>
  <c r="K163" i="1"/>
  <c r="AW164" i="1"/>
  <c r="AF183" i="1" s="1"/>
  <c r="AK145" i="1"/>
  <c r="AF164" i="1" s="1"/>
  <c r="AK143" i="1"/>
  <c r="AF162" i="1" s="1"/>
  <c r="AK142" i="1"/>
  <c r="AF161" i="1" s="1"/>
  <c r="AK141" i="1"/>
  <c r="AF160" i="1" s="1"/>
  <c r="AG167" i="1"/>
  <c r="B45" i="1"/>
  <c r="F45" i="1" s="1"/>
  <c r="F46" i="1" s="1"/>
  <c r="B215" i="1"/>
  <c r="F215" i="1" s="1"/>
  <c r="AB13" i="1"/>
  <c r="G259" i="1"/>
  <c r="W78" i="1"/>
  <c r="F212" i="1"/>
  <c r="F131" i="1"/>
  <c r="AB14" i="1" l="1"/>
  <c r="AL20" i="1" s="1"/>
  <c r="AL19" i="1"/>
  <c r="AN200" i="1"/>
  <c r="AG183" i="1"/>
  <c r="AF182" i="1"/>
  <c r="AG163" i="1"/>
  <c r="AF175" i="1" s="1"/>
  <c r="AF176" i="1"/>
  <c r="F216" i="1"/>
  <c r="AG176" i="1" l="1"/>
  <c r="AN208" i="1"/>
  <c r="AG175" i="1"/>
  <c r="AN207" i="1"/>
  <c r="AN199" i="1"/>
  <c r="AG182" i="1"/>
  <c r="E269" i="1" l="1"/>
  <c r="D269" i="1"/>
  <c r="C269" i="1"/>
  <c r="B269" i="1"/>
  <c r="K240" i="1"/>
  <c r="E243" i="1" s="1"/>
  <c r="F243" i="1" s="1"/>
  <c r="K235" i="1"/>
  <c r="J223" i="1"/>
  <c r="E227" i="1" s="1"/>
  <c r="F227" i="1" s="1"/>
  <c r="J222" i="1"/>
  <c r="K244" i="1" s="1"/>
  <c r="E275" i="1" s="1"/>
  <c r="E279" i="1" s="1"/>
  <c r="E101" i="1"/>
  <c r="D101" i="1"/>
  <c r="C101" i="1"/>
  <c r="B101" i="1"/>
  <c r="D91" i="1"/>
  <c r="D92" i="1"/>
  <c r="D93" i="1"/>
  <c r="E187" i="1"/>
  <c r="D187" i="1"/>
  <c r="C187" i="1"/>
  <c r="B187" i="1"/>
  <c r="D174" i="1"/>
  <c r="B295" i="1" s="1"/>
  <c r="F295" i="1" s="1"/>
  <c r="D173" i="1"/>
  <c r="B294" i="1" s="1"/>
  <c r="D177" i="1"/>
  <c r="B298" i="1" s="1"/>
  <c r="D178" i="1"/>
  <c r="B299" i="1" s="1"/>
  <c r="D179" i="1"/>
  <c r="B300" i="1" s="1"/>
  <c r="K158" i="1"/>
  <c r="J141" i="1"/>
  <c r="J54" i="1"/>
  <c r="K77" i="1" s="1"/>
  <c r="E300" i="1" l="1"/>
  <c r="F300" i="1"/>
  <c r="E299" i="1"/>
  <c r="F299" i="1"/>
  <c r="E223" i="1"/>
  <c r="F223" i="1" s="1"/>
  <c r="F298" i="1"/>
  <c r="E298" i="1"/>
  <c r="F294" i="1"/>
  <c r="E294" i="1"/>
  <c r="E244" i="1"/>
  <c r="F244" i="1" s="1"/>
  <c r="E246" i="1"/>
  <c r="F246" i="1" s="1"/>
  <c r="E230" i="1"/>
  <c r="F230" i="1" s="1"/>
  <c r="E245" i="1"/>
  <c r="F245" i="1" s="1"/>
  <c r="E229" i="1"/>
  <c r="F229" i="1" s="1"/>
  <c r="E238" i="1"/>
  <c r="F238" i="1" s="1"/>
  <c r="E239" i="1"/>
  <c r="F239" i="1" s="1"/>
  <c r="E228" i="1"/>
  <c r="F228" i="1" s="1"/>
  <c r="E231" i="1"/>
  <c r="F231" i="1" s="1"/>
  <c r="E237" i="1"/>
  <c r="F237" i="1" s="1"/>
  <c r="E240" i="1"/>
  <c r="F240" i="1" s="1"/>
  <c r="E295" i="1"/>
  <c r="B274" i="1"/>
  <c r="E156" i="1"/>
  <c r="F156" i="1" s="1"/>
  <c r="E163" i="1"/>
  <c r="F163" i="1" s="1"/>
  <c r="E155" i="1"/>
  <c r="F155" i="1" s="1"/>
  <c r="E162" i="1"/>
  <c r="F162" i="1" s="1"/>
  <c r="E154" i="1"/>
  <c r="F154" i="1" s="1"/>
  <c r="E161" i="1"/>
  <c r="F161" i="1" s="1"/>
  <c r="E160" i="1"/>
  <c r="F160" i="1" s="1"/>
  <c r="E159" i="1"/>
  <c r="F159" i="1" s="1"/>
  <c r="E158" i="1"/>
  <c r="F158" i="1" s="1"/>
  <c r="E157" i="1"/>
  <c r="F157" i="1" s="1"/>
  <c r="E164" i="1"/>
  <c r="F164" i="1" s="1"/>
  <c r="E146" i="1"/>
  <c r="F146" i="1" s="1"/>
  <c r="E145" i="1"/>
  <c r="F145" i="1" s="1"/>
  <c r="E144" i="1"/>
  <c r="F144" i="1" s="1"/>
  <c r="E151" i="1"/>
  <c r="F151" i="1" s="1"/>
  <c r="E143" i="1"/>
  <c r="F143" i="1" s="1"/>
  <c r="E150" i="1"/>
  <c r="F150" i="1" s="1"/>
  <c r="E142" i="1"/>
  <c r="F142" i="1" s="1"/>
  <c r="E149" i="1"/>
  <c r="F149" i="1" s="1"/>
  <c r="E148" i="1"/>
  <c r="F148" i="1" s="1"/>
  <c r="E147" i="1"/>
  <c r="F147" i="1" s="1"/>
  <c r="E141" i="1"/>
  <c r="F141" i="1" s="1"/>
  <c r="E242" i="1"/>
  <c r="F242" i="1" s="1"/>
  <c r="E224" i="1"/>
  <c r="F224" i="1" s="1"/>
  <c r="E232" i="1"/>
  <c r="F232" i="1" s="1"/>
  <c r="E225" i="1"/>
  <c r="F225" i="1" s="1"/>
  <c r="E233" i="1"/>
  <c r="F233" i="1" s="1"/>
  <c r="E241" i="1"/>
  <c r="F241" i="1" s="1"/>
  <c r="E226" i="1"/>
  <c r="F226" i="1" s="1"/>
  <c r="E236" i="1"/>
  <c r="F236" i="1" s="1"/>
  <c r="BA121" i="1"/>
  <c r="AW140" i="1" s="1"/>
  <c r="AZ121" i="1"/>
  <c r="AV140" i="1" s="1"/>
  <c r="BA140" i="1" s="1"/>
  <c r="AV159" i="1" s="1"/>
  <c r="BA120" i="1"/>
  <c r="AW139" i="1" s="1"/>
  <c r="AZ120" i="1"/>
  <c r="AV139" i="1" s="1"/>
  <c r="AK120" i="1"/>
  <c r="AG140" i="1" s="1"/>
  <c r="AK140" i="1" s="1"/>
  <c r="AF159" i="1" s="1"/>
  <c r="BA119" i="1"/>
  <c r="AW138" i="1" s="1"/>
  <c r="AZ119" i="1"/>
  <c r="AV138" i="1" s="1"/>
  <c r="AK119" i="1"/>
  <c r="AG139" i="1" s="1"/>
  <c r="AK139" i="1" s="1"/>
  <c r="AF158" i="1" s="1"/>
  <c r="BA118" i="1"/>
  <c r="AW137" i="1" s="1"/>
  <c r="AZ118" i="1"/>
  <c r="AV137" i="1" s="1"/>
  <c r="AK118" i="1"/>
  <c r="AG138" i="1" s="1"/>
  <c r="AK138" i="1" s="1"/>
  <c r="AF157" i="1" s="1"/>
  <c r="BA117" i="1"/>
  <c r="AW136" i="1" s="1"/>
  <c r="AZ117" i="1"/>
  <c r="AV136" i="1" s="1"/>
  <c r="BA136" i="1" s="1"/>
  <c r="AV155" i="1" s="1"/>
  <c r="AK117" i="1"/>
  <c r="AG137" i="1" s="1"/>
  <c r="AK137" i="1" s="1"/>
  <c r="AF156" i="1" s="1"/>
  <c r="BA116" i="1"/>
  <c r="AW135" i="1" s="1"/>
  <c r="AZ116" i="1"/>
  <c r="AV135" i="1" s="1"/>
  <c r="BA135" i="1" s="1"/>
  <c r="AV154" i="1" s="1"/>
  <c r="AK116" i="1"/>
  <c r="AG136" i="1" s="1"/>
  <c r="AK136" i="1" s="1"/>
  <c r="AF155" i="1" s="1"/>
  <c r="BA115" i="1"/>
  <c r="AW134" i="1" s="1"/>
  <c r="AZ115" i="1"/>
  <c r="AV134" i="1" s="1"/>
  <c r="BA134" i="1" s="1"/>
  <c r="AV153" i="1" s="1"/>
  <c r="AK115" i="1"/>
  <c r="AG135" i="1" s="1"/>
  <c r="AK135" i="1" s="1"/>
  <c r="AF154" i="1" s="1"/>
  <c r="BA114" i="1"/>
  <c r="AW133" i="1" s="1"/>
  <c r="AZ114" i="1"/>
  <c r="AV133" i="1" s="1"/>
  <c r="AK114" i="1"/>
  <c r="AG134" i="1" s="1"/>
  <c r="AK134" i="1" s="1"/>
  <c r="AF153" i="1" s="1"/>
  <c r="BA113" i="1"/>
  <c r="AW132" i="1" s="1"/>
  <c r="BA132" i="1" s="1"/>
  <c r="AV151" i="1" s="1"/>
  <c r="AG26" i="1"/>
  <c r="AG29" i="1"/>
  <c r="AE29" i="1"/>
  <c r="BA152" i="1" l="1"/>
  <c r="BA138" i="1"/>
  <c r="AV157" i="1" s="1"/>
  <c r="AZ151" i="1"/>
  <c r="BA133" i="1"/>
  <c r="AV152" i="1" s="1"/>
  <c r="AW152" i="1" s="1"/>
  <c r="AF180" i="1" s="1"/>
  <c r="BA137" i="1"/>
  <c r="AV156" i="1" s="1"/>
  <c r="AW157" i="1" s="1"/>
  <c r="AF181" i="1" s="1"/>
  <c r="BA139" i="1"/>
  <c r="AV158" i="1" s="1"/>
  <c r="M235" i="1"/>
  <c r="AG154" i="1"/>
  <c r="L140" i="1"/>
  <c r="AG158" i="1"/>
  <c r="AF174" i="1" s="1"/>
  <c r="B277" i="1"/>
  <c r="B273" i="1"/>
  <c r="B276" i="1"/>
  <c r="B275" i="1"/>
  <c r="L222" i="1"/>
  <c r="O240" i="1" s="1"/>
  <c r="M153" i="1"/>
  <c r="AE41" i="1"/>
  <c r="AE38" i="1"/>
  <c r="AE32" i="1"/>
  <c r="AE35" i="1" s="1"/>
  <c r="C316" i="1"/>
  <c r="D176" i="1"/>
  <c r="B297" i="1" s="1"/>
  <c r="D175" i="1"/>
  <c r="B296" i="1" s="1"/>
  <c r="AG181" i="1" l="1"/>
  <c r="AN198" i="1"/>
  <c r="AG180" i="1"/>
  <c r="AG184" i="1" s="1"/>
  <c r="AN197" i="1"/>
  <c r="AG174" i="1"/>
  <c r="AN206" i="1"/>
  <c r="O158" i="1"/>
  <c r="E297" i="1"/>
  <c r="F297" i="1"/>
  <c r="AW167" i="1"/>
  <c r="AF184" i="1"/>
  <c r="B301" i="1"/>
  <c r="E296" i="1"/>
  <c r="E301" i="1" s="1"/>
  <c r="F296" i="1"/>
  <c r="F301" i="1" s="1"/>
  <c r="AF173" i="1"/>
  <c r="AF169" i="1"/>
  <c r="G172" i="1"/>
  <c r="B191" i="1" s="1"/>
  <c r="B280" i="1"/>
  <c r="B281" i="1"/>
  <c r="B278" i="1"/>
  <c r="F282" i="1" s="1"/>
  <c r="D88" i="1"/>
  <c r="D89" i="1"/>
  <c r="D90" i="1"/>
  <c r="D87" i="1"/>
  <c r="K72" i="1"/>
  <c r="J55" i="1"/>
  <c r="AP197" i="1" l="1"/>
  <c r="AN201" i="1"/>
  <c r="AF177" i="1"/>
  <c r="AG173" i="1"/>
  <c r="AG177" i="1" s="1"/>
  <c r="AN205" i="1"/>
  <c r="B309" i="1"/>
  <c r="AP198" i="1"/>
  <c r="B308" i="1"/>
  <c r="AO183" i="1"/>
  <c r="AL183" i="1"/>
  <c r="AO184" i="1" s="1"/>
  <c r="B315" i="1"/>
  <c r="AA13" i="1"/>
  <c r="G86" i="1"/>
  <c r="B108" i="1" s="1"/>
  <c r="E57" i="1"/>
  <c r="F57" i="1" s="1"/>
  <c r="E63" i="1"/>
  <c r="F63" i="1" s="1"/>
  <c r="E60" i="1"/>
  <c r="F60" i="1" s="1"/>
  <c r="E56" i="1"/>
  <c r="F56" i="1" s="1"/>
  <c r="E59" i="1"/>
  <c r="F59" i="1" s="1"/>
  <c r="E58" i="1"/>
  <c r="F58" i="1" s="1"/>
  <c r="E65" i="1"/>
  <c r="F65" i="1" s="1"/>
  <c r="E64" i="1"/>
  <c r="F64" i="1" s="1"/>
  <c r="E55" i="1"/>
  <c r="F55" i="1" s="1"/>
  <c r="E62" i="1"/>
  <c r="F62" i="1" s="1"/>
  <c r="E61" i="1"/>
  <c r="F61" i="1" s="1"/>
  <c r="E69" i="1"/>
  <c r="F69" i="1" s="1"/>
  <c r="E68" i="1"/>
  <c r="F68" i="1" s="1"/>
  <c r="E74" i="1"/>
  <c r="F74" i="1" s="1"/>
  <c r="E72" i="1"/>
  <c r="F72" i="1" s="1"/>
  <c r="E71" i="1"/>
  <c r="F71" i="1" s="1"/>
  <c r="E78" i="1"/>
  <c r="F78" i="1" s="1"/>
  <c r="E70" i="1"/>
  <c r="F70" i="1" s="1"/>
  <c r="E75" i="1"/>
  <c r="F75" i="1" s="1"/>
  <c r="E73" i="1"/>
  <c r="F73" i="1" s="1"/>
  <c r="E77" i="1"/>
  <c r="F77" i="1" s="1"/>
  <c r="E76" i="1"/>
  <c r="F76" i="1" s="1"/>
  <c r="B192" i="1"/>
  <c r="B194" i="1"/>
  <c r="B109" i="1"/>
  <c r="B193" i="1"/>
  <c r="B195" i="1"/>
  <c r="AG199" i="1" l="1"/>
  <c r="AK19" i="1"/>
  <c r="AM19" i="1" s="1"/>
  <c r="AN209" i="1"/>
  <c r="AP200" i="1"/>
  <c r="AP199" i="1"/>
  <c r="L54" i="1"/>
  <c r="M67" i="1"/>
  <c r="B106" i="1"/>
  <c r="B196" i="1"/>
  <c r="B198" i="1"/>
  <c r="B199" i="1"/>
  <c r="B107" i="1"/>
  <c r="B105" i="1"/>
  <c r="AP207" i="1" l="1"/>
  <c r="AP208" i="1"/>
  <c r="AP206" i="1"/>
  <c r="AP205" i="1"/>
  <c r="F200" i="1"/>
  <c r="AA12" i="1" s="1"/>
  <c r="O72" i="1"/>
  <c r="B110" i="1"/>
  <c r="B112" i="1"/>
  <c r="B113" i="1"/>
  <c r="AG198" i="1" l="1"/>
  <c r="AK18" i="1"/>
  <c r="AM18" i="1" s="1"/>
  <c r="F114" i="1"/>
  <c r="B314" i="1"/>
  <c r="AA11" i="1" l="1"/>
  <c r="B313" i="1"/>
  <c r="B316" i="1" s="1"/>
  <c r="AA14" i="1" l="1"/>
  <c r="AG197" i="1"/>
  <c r="AK17" i="1"/>
  <c r="AM17" i="1" s="1"/>
  <c r="AN17" i="1" l="1"/>
  <c r="AM20" i="1"/>
  <c r="AG200" i="1"/>
  <c r="AK20" i="1"/>
  <c r="AK23" i="1" s="1"/>
  <c r="AK24" i="1" l="1"/>
  <c r="AO17" i="1"/>
  <c r="AN19" i="1"/>
  <c r="AO19" i="1" s="1"/>
  <c r="AI199" i="1" s="1"/>
  <c r="AN18" i="1"/>
  <c r="AN20" i="1" s="1"/>
  <c r="AO18" i="1" l="1"/>
  <c r="AI198" i="1" s="1"/>
  <c r="AI197" i="1"/>
  <c r="AO20" i="1" l="1"/>
  <c r="AI200" i="1" s="1"/>
</calcChain>
</file>

<file path=xl/sharedStrings.xml><?xml version="1.0" encoding="utf-8"?>
<sst xmlns="http://schemas.openxmlformats.org/spreadsheetml/2006/main" count="711" uniqueCount="251">
  <si>
    <t>Techo</t>
  </si>
  <si>
    <t>Entre Piso</t>
  </si>
  <si>
    <t>Direccion</t>
  </si>
  <si>
    <t>Tipo</t>
  </si>
  <si>
    <t>Base (m)</t>
  </si>
  <si>
    <t>Altura (m)</t>
  </si>
  <si>
    <t>Area  (m^2)</t>
  </si>
  <si>
    <t>Carga (kg/m2)</t>
  </si>
  <si>
    <t>Viva</t>
  </si>
  <si>
    <t>Sobre Losa</t>
  </si>
  <si>
    <t>Bajo Losa</t>
  </si>
  <si>
    <t>Sobre Carga</t>
  </si>
  <si>
    <t>Y</t>
  </si>
  <si>
    <t>X</t>
  </si>
  <si>
    <t>V-A</t>
  </si>
  <si>
    <t>V-1</t>
  </si>
  <si>
    <t>Vigas</t>
  </si>
  <si>
    <t>Muros</t>
  </si>
  <si>
    <t>W (kg/m2)</t>
  </si>
  <si>
    <t>Espesor t(m)</t>
  </si>
  <si>
    <t>Longitud M1 (m)</t>
  </si>
  <si>
    <t>Longitud M2 (m)</t>
  </si>
  <si>
    <t>Area M1 (m^2)</t>
  </si>
  <si>
    <t>Area M2 (m^2)</t>
  </si>
  <si>
    <t>Elevador</t>
  </si>
  <si>
    <t>Lado Corto 1 (m)</t>
  </si>
  <si>
    <t>Lado Corto 2 (m)</t>
  </si>
  <si>
    <t>Lado Interno 1 (m)</t>
  </si>
  <si>
    <t>Espesor (m)</t>
  </si>
  <si>
    <t>Area (m^2)</t>
  </si>
  <si>
    <t>Columnas</t>
  </si>
  <si>
    <t>C-A</t>
  </si>
  <si>
    <t>Datos de Concreto</t>
  </si>
  <si>
    <t>F´c (kg/cm^2)</t>
  </si>
  <si>
    <t>Peso Concreto W (kg)</t>
  </si>
  <si>
    <t>del concreto EC</t>
  </si>
  <si>
    <t>(kg/ m^2)</t>
  </si>
  <si>
    <t xml:space="preserve">Modulo de elasticicdad </t>
  </si>
  <si>
    <t>Modulo de Corte</t>
  </si>
  <si>
    <t>EG = 40% EC</t>
  </si>
  <si>
    <t xml:space="preserve"> (kg / m^2)</t>
  </si>
  <si>
    <t>Peso en Toneladas</t>
  </si>
  <si>
    <t>t Critico (m)</t>
  </si>
  <si>
    <t>Losas</t>
  </si>
  <si>
    <t>Elemento</t>
  </si>
  <si>
    <t>Muro 1</t>
  </si>
  <si>
    <t>muro 2</t>
  </si>
  <si>
    <t>Elevadores</t>
  </si>
  <si>
    <t>Peso del Concreto</t>
  </si>
  <si>
    <t>No.</t>
  </si>
  <si>
    <t>W</t>
  </si>
  <si>
    <t>PESO DE VIGAS</t>
  </si>
  <si>
    <t>EJE Y</t>
  </si>
  <si>
    <t>A</t>
  </si>
  <si>
    <t>B</t>
  </si>
  <si>
    <t>C</t>
  </si>
  <si>
    <t>Eje</t>
  </si>
  <si>
    <t>Base de Viga (m)</t>
  </si>
  <si>
    <t>Altura de Viga (m)</t>
  </si>
  <si>
    <t>Longitud (m)</t>
  </si>
  <si>
    <t>Longitud total (m)</t>
  </si>
  <si>
    <t>Area de Viga (m^2)</t>
  </si>
  <si>
    <t>EJE X</t>
  </si>
  <si>
    <t>PESO POR LOSA</t>
  </si>
  <si>
    <t>Losa</t>
  </si>
  <si>
    <t>Longitud Y (m)</t>
  </si>
  <si>
    <t>Longitud X (m)</t>
  </si>
  <si>
    <t>Area ( m^2)</t>
  </si>
  <si>
    <t>AreaTotal</t>
  </si>
  <si>
    <t>Espesor de Losa (m)</t>
  </si>
  <si>
    <t>Carga (Ton/m^2)</t>
  </si>
  <si>
    <t>Wpropio (ton)</t>
  </si>
  <si>
    <t>WS/Losa (ton)</t>
  </si>
  <si>
    <t>WB/ Losa (ton)</t>
  </si>
  <si>
    <t>WS/C (ton)</t>
  </si>
  <si>
    <t>Peso de Carga Viva</t>
  </si>
  <si>
    <t>Peso por sismo</t>
  </si>
  <si>
    <t>Carga Muerta Total</t>
  </si>
  <si>
    <t>Peso total de Losa</t>
  </si>
  <si>
    <t>Peso total de Col. (Ton)</t>
  </si>
  <si>
    <t>Longitud muros (m)42.21</t>
  </si>
  <si>
    <t>Altura de Muros</t>
  </si>
  <si>
    <t>Wm (Ton/m^2)</t>
  </si>
  <si>
    <t>W total de Muros</t>
  </si>
  <si>
    <t>Vol</t>
  </si>
  <si>
    <t>Peso</t>
  </si>
  <si>
    <t>Peso total</t>
  </si>
  <si>
    <t>Peso Total de Vigas</t>
  </si>
  <si>
    <t>Peso Total por Nivel</t>
  </si>
  <si>
    <t>NIVEL 2</t>
  </si>
  <si>
    <t>NIVEL 1</t>
  </si>
  <si>
    <t>Calculo de Centro de masa de Cada Losa</t>
  </si>
  <si>
    <t xml:space="preserve"> Losa</t>
  </si>
  <si>
    <t>Area</t>
  </si>
  <si>
    <t>X(m)</t>
  </si>
  <si>
    <t>Y(m)</t>
  </si>
  <si>
    <t>A*x</t>
  </si>
  <si>
    <t>A*Y</t>
  </si>
  <si>
    <t>Xcm</t>
  </si>
  <si>
    <t>Ycm</t>
  </si>
  <si>
    <t xml:space="preserve">Centro de masa del Edificio </t>
  </si>
  <si>
    <t>Nivel</t>
  </si>
  <si>
    <t>Peso Sismico (ton)</t>
  </si>
  <si>
    <t>Altura Acumulada (m)</t>
  </si>
  <si>
    <t>K</t>
  </si>
  <si>
    <t>PNV</t>
  </si>
  <si>
    <t>Vb</t>
  </si>
  <si>
    <t>Peso Sismico</t>
  </si>
  <si>
    <t>H acumulada</t>
  </si>
  <si>
    <t>Wsismico*hacum</t>
  </si>
  <si>
    <t>Cx</t>
  </si>
  <si>
    <t>Rigidez por Piso</t>
  </si>
  <si>
    <t>Ec (kg/cm2)</t>
  </si>
  <si>
    <t>Eg (kg/cm2)</t>
  </si>
  <si>
    <t>Long. M1</t>
  </si>
  <si>
    <t>Long. M2</t>
  </si>
  <si>
    <t>Espe t</t>
  </si>
  <si>
    <t>Muro (cm)</t>
  </si>
  <si>
    <t>Lado Corto 1</t>
  </si>
  <si>
    <t>Lado corto 2</t>
  </si>
  <si>
    <t xml:space="preserve">Eje </t>
  </si>
  <si>
    <t>ELEMENTO</t>
  </si>
  <si>
    <t>NIVEL</t>
  </si>
  <si>
    <t>VOLAD/EMPO</t>
  </si>
  <si>
    <t>b (cm)</t>
  </si>
  <si>
    <t>h (cm)</t>
  </si>
  <si>
    <t>Inercia</t>
  </si>
  <si>
    <t>Area (cm2)</t>
  </si>
  <si>
    <t>COLUMNA</t>
  </si>
  <si>
    <t xml:space="preserve">COLUMNA </t>
  </si>
  <si>
    <t>VOLADIZO</t>
  </si>
  <si>
    <t>Altura (cm)</t>
  </si>
  <si>
    <t>Gc ( kg/cm2)</t>
  </si>
  <si>
    <t>Rigidez K</t>
  </si>
  <si>
    <t>K total de eje</t>
  </si>
  <si>
    <t>K total Y</t>
  </si>
  <si>
    <t>Dy</t>
  </si>
  <si>
    <t>K*Dy</t>
  </si>
  <si>
    <t>Dx</t>
  </si>
  <si>
    <t>K*Dx</t>
  </si>
  <si>
    <t xml:space="preserve">Ecuacion de Ejes paralelos </t>
  </si>
  <si>
    <t>Hallamos Centro de Rigideces</t>
  </si>
  <si>
    <t>Xcr</t>
  </si>
  <si>
    <t>Ycr</t>
  </si>
  <si>
    <t>e Exentricidad</t>
  </si>
  <si>
    <t>ey(m)</t>
  </si>
  <si>
    <t>ex (m)</t>
  </si>
  <si>
    <t>Distribucion de Fuerzas por Eje</t>
  </si>
  <si>
    <t>Fuerza de Piso</t>
  </si>
  <si>
    <t>h Acumulada</t>
  </si>
  <si>
    <t>Fp (ton)</t>
  </si>
  <si>
    <t>Fuerza Por eje</t>
  </si>
  <si>
    <t>Feje (ton)</t>
  </si>
  <si>
    <t>Metodo  SEAOC</t>
  </si>
  <si>
    <t>Decripcion de Variables</t>
  </si>
  <si>
    <t>Io= Indice de Sismicidad</t>
  </si>
  <si>
    <t>Scr= Ordenada Espectral T corto (g)</t>
  </si>
  <si>
    <t>S1r= Ordenada espectral T largo (g)</t>
  </si>
  <si>
    <t>NPS = Nivel de Proteccion Sismica</t>
  </si>
  <si>
    <t>Prob = En 50 años</t>
  </si>
  <si>
    <t>Fa= Coeficiente de Ssitio T corto</t>
  </si>
  <si>
    <t>Fv= Coeficientes de sitio T largo</t>
  </si>
  <si>
    <t>Na = Fac. por la proximidad de amenazas</t>
  </si>
  <si>
    <t>Nv = Fac. por la proximidad de amendazas</t>
  </si>
  <si>
    <t>Kd= Factores por nivel sismico</t>
  </si>
  <si>
    <t>D</t>
  </si>
  <si>
    <t>Norma</t>
  </si>
  <si>
    <t>Busqueda</t>
  </si>
  <si>
    <t>Ingrese</t>
  </si>
  <si>
    <t>Figugra: 4.5-1</t>
  </si>
  <si>
    <t>Figura: 4.2.2-1</t>
  </si>
  <si>
    <t>Tabla : 4.5-1</t>
  </si>
  <si>
    <t>Tabla : 4.5-2</t>
  </si>
  <si>
    <t>Figura: 4.6.2-2</t>
  </si>
  <si>
    <t>Figura: 4.6.2-3</t>
  </si>
  <si>
    <t>Figura: 4.5.5-1</t>
  </si>
  <si>
    <t>NSE-2</t>
  </si>
  <si>
    <t>Por clase de sitio</t>
  </si>
  <si>
    <t>Scs= Scr*Fa</t>
  </si>
  <si>
    <t>S1s= S1r*Fv</t>
  </si>
  <si>
    <t>Scs= Scr*Fa*Na</t>
  </si>
  <si>
    <t>S1s= S1r*Fv*Nv</t>
  </si>
  <si>
    <t>Por intensidad Sismica</t>
  </si>
  <si>
    <t>Periodo de Transicion</t>
  </si>
  <si>
    <t>Ts = S1s/Scs</t>
  </si>
  <si>
    <t>Scd = Kd*Scs</t>
  </si>
  <si>
    <t>S1d= Kd* S1s</t>
  </si>
  <si>
    <t>Periodo deMeseta</t>
  </si>
  <si>
    <t>To= 0.2 Ts</t>
  </si>
  <si>
    <t>Aceleracion Maxima</t>
  </si>
  <si>
    <t>AMSd= 0.40*Scd</t>
  </si>
  <si>
    <t>Componente Vertical</t>
  </si>
  <si>
    <t>Svd= 0.20*Scd</t>
  </si>
  <si>
    <t>T_a =K_T * ( (h_n)^ x )</t>
  </si>
  <si>
    <t>h_n (m)</t>
  </si>
  <si>
    <t>Altura de Edificacion</t>
  </si>
  <si>
    <t>K_T</t>
  </si>
  <si>
    <t>Coeficiente</t>
  </si>
  <si>
    <t>2.1.6</t>
  </si>
  <si>
    <t xml:space="preserve">T_a </t>
  </si>
  <si>
    <t>Caso 2</t>
  </si>
  <si>
    <t>Caso 3</t>
  </si>
  <si>
    <t xml:space="preserve"> Caso 1</t>
  </si>
  <si>
    <t>Sa(T) = Scd</t>
  </si>
  <si>
    <r>
      <t>Cuando To</t>
    </r>
    <r>
      <rPr>
        <sz val="11"/>
        <color theme="1"/>
        <rFont val="Calibri"/>
        <family val="2"/>
      </rPr>
      <t>≤ T≤ Ts</t>
    </r>
  </si>
  <si>
    <t>4.5.6-1</t>
  </si>
  <si>
    <t>4.5.6-2</t>
  </si>
  <si>
    <t>4.5.6-3</t>
  </si>
  <si>
    <t>Cuando T &gt; Ts</t>
  </si>
  <si>
    <t>Cuando  T&lt; To</t>
  </si>
  <si>
    <r>
      <t xml:space="preserve">Sa(T) = S1d/T </t>
    </r>
    <r>
      <rPr>
        <sz val="11"/>
        <color theme="1"/>
        <rFont val="Calibri"/>
        <family val="2"/>
      </rPr>
      <t>≤</t>
    </r>
    <r>
      <rPr>
        <sz val="8.6999999999999993"/>
        <color theme="1"/>
        <rFont val="Calibri"/>
        <family val="2"/>
      </rPr>
      <t xml:space="preserve"> Scd</t>
    </r>
  </si>
  <si>
    <t>Sa (T)m= Scd (0.4+0.6 T/ To)</t>
  </si>
  <si>
    <t>To</t>
  </si>
  <si>
    <t>Ta</t>
  </si>
  <si>
    <t>Ts</t>
  </si>
  <si>
    <t>Coeficiente Sismico</t>
  </si>
  <si>
    <t>Sc = Sa (t)/ R</t>
  </si>
  <si>
    <t>Sa (T) =</t>
  </si>
  <si>
    <t>R</t>
  </si>
  <si>
    <t>Cs</t>
  </si>
  <si>
    <t>0.75*kd *S1r/r</t>
  </si>
  <si>
    <t>0.044 Scd</t>
  </si>
  <si>
    <t>hn (m)</t>
  </si>
  <si>
    <t>Dx (m)</t>
  </si>
  <si>
    <t>K total en Y</t>
  </si>
  <si>
    <t>Longitud muros (m)</t>
  </si>
  <si>
    <t>NIVEL 3</t>
  </si>
  <si>
    <t>Longitud total de muros</t>
  </si>
  <si>
    <t>Longitud total de vigas x y Y</t>
  </si>
  <si>
    <t>Muro 2</t>
  </si>
  <si>
    <t>LONGITU TOTAL Y y Z</t>
  </si>
  <si>
    <t>Columnas 1 (EjeB)</t>
  </si>
  <si>
    <t>Columnas 1 (EjeC)</t>
  </si>
  <si>
    <t>Columnas 1 (EjeA Y D)</t>
  </si>
  <si>
    <t>Muro 1 (EjeY)</t>
  </si>
  <si>
    <t>Muro 2 (EjeX)</t>
  </si>
  <si>
    <t>Muro Inclinado</t>
  </si>
  <si>
    <t>Lado LARGO</t>
  </si>
  <si>
    <t>MURO</t>
  </si>
  <si>
    <t>EVELAVOR</t>
  </si>
  <si>
    <t>EVELADOR</t>
  </si>
  <si>
    <t>Ec ( kg/cm2)</t>
  </si>
  <si>
    <t xml:space="preserve">ELEVADOR </t>
  </si>
  <si>
    <t xml:space="preserve">MURO </t>
  </si>
  <si>
    <t>SENTIDO Y</t>
  </si>
  <si>
    <t>SENTIDO X</t>
  </si>
  <si>
    <t>TOMA EN X</t>
  </si>
  <si>
    <t>TOTAL</t>
  </si>
  <si>
    <t>K total X</t>
  </si>
  <si>
    <t>Fp</t>
  </si>
  <si>
    <t>F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</si>
</sst>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Q&quot;* #,##0.00_-;\-&quot;Q&quot;* #,##0.00_-;_-&quot;Q&quot;* &quot;-&quot;??_-;_-@_-"/>
    <numFmt numFmtId="43" formatCode="_-* #,##0.00_-;\-* #,##0.00_-;_-* &quot;-&quot;??_-;_-@_-"/>
    <numFmt numFmtId="164" formatCode="0.000E+00"/>
    <numFmt numFmtId="165" formatCode="#,##0.00_ ;[Red]\-#,##0.00\ "/>
    <numFmt numFmtId="166" formatCode="0.0000"/>
    <numFmt numFmtId="167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8.6999999999999993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82">
    <xf numFmtId="0" fontId="0" fillId="0" borderId="0" xfId="0"/>
    <xf numFmtId="0" fontId="0" fillId="2" borderId="4" xfId="0" applyFill="1" applyBorder="1"/>
    <xf numFmtId="0" fontId="0" fillId="4" borderId="0" xfId="0" applyFill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2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3" xfId="0" applyFill="1" applyBorder="1"/>
    <xf numFmtId="0" fontId="1" fillId="0" borderId="7" xfId="0" applyFont="1" applyBorder="1"/>
    <xf numFmtId="0" fontId="1" fillId="5" borderId="2" xfId="0" applyFont="1" applyFill="1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0" fontId="1" fillId="5" borderId="4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3" xfId="0" applyFont="1" applyBorder="1"/>
    <xf numFmtId="0" fontId="1" fillId="0" borderId="6" xfId="0" applyFont="1" applyBorder="1"/>
    <xf numFmtId="0" fontId="1" fillId="0" borderId="5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/>
    <xf numFmtId="0" fontId="0" fillId="6" borderId="0" xfId="0" applyFill="1"/>
    <xf numFmtId="0" fontId="1" fillId="6" borderId="0" xfId="0" applyFont="1" applyFill="1"/>
    <xf numFmtId="11" fontId="0" fillId="0" borderId="3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10" borderId="2" xfId="0" applyFill="1" applyBorder="1"/>
    <xf numFmtId="0" fontId="0" fillId="11" borderId="2" xfId="0" applyFill="1" applyBorder="1"/>
    <xf numFmtId="0" fontId="0" fillId="11" borderId="1" xfId="0" applyFill="1" applyBorder="1"/>
    <xf numFmtId="0" fontId="0" fillId="11" borderId="4" xfId="0" applyFill="1" applyBorder="1"/>
    <xf numFmtId="0" fontId="0" fillId="11" borderId="0" xfId="0" applyFill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43" fontId="0" fillId="0" borderId="3" xfId="1" applyFont="1" applyBorder="1"/>
    <xf numFmtId="43" fontId="0" fillId="0" borderId="2" xfId="1" applyFont="1" applyBorder="1"/>
    <xf numFmtId="43" fontId="0" fillId="9" borderId="4" xfId="1" applyFont="1" applyFill="1" applyBorder="1"/>
    <xf numFmtId="164" fontId="0" fillId="0" borderId="3" xfId="0" applyNumberFormat="1" applyBorder="1"/>
    <xf numFmtId="43" fontId="0" fillId="0" borderId="3" xfId="0" applyNumberFormat="1" applyBorder="1"/>
    <xf numFmtId="0" fontId="0" fillId="0" borderId="0" xfId="0" applyAlignment="1">
      <alignment horizontal="left"/>
    </xf>
    <xf numFmtId="0" fontId="0" fillId="4" borderId="3" xfId="0" applyFill="1" applyBorder="1"/>
    <xf numFmtId="0" fontId="0" fillId="4" borderId="2" xfId="0" applyFill="1" applyBorder="1"/>
    <xf numFmtId="0" fontId="0" fillId="4" borderId="3" xfId="0" applyFill="1" applyBorder="1" applyAlignment="1">
      <alignment vertical="center"/>
    </xf>
    <xf numFmtId="165" fontId="0" fillId="0" borderId="3" xfId="0" applyNumberFormat="1" applyBorder="1"/>
    <xf numFmtId="166" fontId="0" fillId="0" borderId="2" xfId="0" applyNumberFormat="1" applyBorder="1"/>
    <xf numFmtId="167" fontId="0" fillId="0" borderId="3" xfId="0" applyNumberFormat="1" applyBorder="1" applyAlignment="1">
      <alignment vertical="center"/>
    </xf>
    <xf numFmtId="0" fontId="0" fillId="10" borderId="3" xfId="0" applyFill="1" applyBorder="1"/>
    <xf numFmtId="167" fontId="0" fillId="10" borderId="3" xfId="0" applyNumberFormat="1" applyFill="1" applyBorder="1" applyAlignment="1">
      <alignment vertical="center"/>
    </xf>
    <xf numFmtId="0" fontId="0" fillId="0" borderId="3" xfId="2" applyNumberFormat="1" applyFont="1" applyBorder="1"/>
    <xf numFmtId="0" fontId="0" fillId="12" borderId="0" xfId="0" applyFill="1"/>
    <xf numFmtId="43" fontId="0" fillId="0" borderId="0" xfId="0" applyNumberFormat="1"/>
    <xf numFmtId="0" fontId="0" fillId="0" borderId="10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7" borderId="3" xfId="0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141514</xdr:colOff>
      <xdr:row>248</xdr:row>
      <xdr:rowOff>119743</xdr:rowOff>
    </xdr:from>
    <xdr:to>
      <xdr:col>5</xdr:col>
      <xdr:colOff>413657</xdr:colOff>
      <xdr:row>253</xdr:row>
      <xdr:rowOff>174171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1514" y="45959486"/>
          <a:ext cx="6531429" cy="979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PARA</a:t>
          </a:r>
          <a:r>
            <a:rPr lang="es-GT" sz="1100" baseline="0"/>
            <a:t> LA ULTIMA LOSA DEBIDO A QUE TIENE UNA INCLINACION SE TOMARON LOSAS COMPLETAS A LO LARGO DEL EDIFICIO, SIENDO ASI UN TOTAL DE 3 LOSAS, PARA HALLAR LOS CENTROS DE MASA DEK EDIFICIO, SE HALLARON LOS CENTRO DE MASA DE CADA LOSA INCLINADA YA QUE SON LOSAS RECTANGULARES INCLINADA.</a:t>
          </a:r>
          <a:endParaRPr lang="es-GT" sz="1100"/>
        </a:p>
      </xdr:txBody>
    </xdr:sp>
    <xdr:clientData/>
  </xdr:twoCellAnchor>
  <xdr:twoCellAnchor>
    <xdr:from>
      <xdr:col>34</xdr:col>
      <xdr:colOff>1099458</xdr:colOff>
      <xdr:row>62</xdr:row>
      <xdr:rowOff>141514</xdr:rowOff>
    </xdr:from>
    <xdr:to>
      <xdr:col>38</xdr:col>
      <xdr:colOff>457200</xdr:colOff>
      <xdr:row>66</xdr:row>
      <xdr:rowOff>163286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23458" y="11560628"/>
          <a:ext cx="4648199" cy="762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NOTA:</a:t>
          </a:r>
          <a:r>
            <a:rPr lang="es-GT" sz="1100" baseline="0"/>
            <a:t> </a:t>
          </a:r>
          <a:r>
            <a:rPr lang="es-GT"/>
            <a:t>El valor del PNV obtenido tambien servira para determinar si a la estructura se le deberá de calcular la FUERZA TOP, pues si PNV&gt;0.25 debe de calcularse  COMO PVN ES IGUAL A 0.21 NO SE CALCULA LA FUERZA TOP</a:t>
          </a:r>
          <a:endParaRPr lang="es-GT" sz="1100"/>
        </a:p>
      </xdr:txBody>
    </xdr:sp>
    <xdr:clientData/>
  </xdr:twoCellAnchor>
  <xdr:twoCellAnchor editAs="oneCell">
    <xdr:from>
      <xdr:col>33</xdr:col>
      <xdr:colOff>0</xdr:colOff>
      <xdr:row>86</xdr:row>
      <xdr:rowOff>0</xdr:rowOff>
    </xdr:from>
    <xdr:to>
      <xdr:col>33</xdr:col>
      <xdr:colOff>304800</xdr:colOff>
      <xdr:row>87</xdr:row>
      <xdr:rowOff>121920</xdr:rowOff>
    </xdr:to>
    <xdr:sp macro="" textlink="">
      <xdr:nvSpPr>
        <xdr:cNvPr id="1026" name="AutoShape 2" descr="blob:https://web.whatsapp.com/8a5bf171-283c-46a6-8708-f16314d85a5a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7635180" y="1568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33</xdr:col>
      <xdr:colOff>0</xdr:colOff>
      <xdr:row>86</xdr:row>
      <xdr:rowOff>0</xdr:rowOff>
    </xdr:from>
    <xdr:to>
      <xdr:col>33</xdr:col>
      <xdr:colOff>304800</xdr:colOff>
      <xdr:row>87</xdr:row>
      <xdr:rowOff>121920</xdr:rowOff>
    </xdr:to>
    <xdr:sp macro="" textlink="">
      <xdr:nvSpPr>
        <xdr:cNvPr id="1027" name="AutoShape 3" descr="blob:https://web.whatsapp.com/8a5bf171-283c-46a6-8708-f16314d85a5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37635180" y="1568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82</xdr:row>
      <xdr:rowOff>0</xdr:rowOff>
    </xdr:from>
    <xdr:to>
      <xdr:col>32</xdr:col>
      <xdr:colOff>304800</xdr:colOff>
      <xdr:row>83</xdr:row>
      <xdr:rowOff>121920</xdr:rowOff>
    </xdr:to>
    <xdr:sp macro="" textlink="">
      <xdr:nvSpPr>
        <xdr:cNvPr id="1028" name="AutoShape 4" descr="blob:https://web.whatsapp.com/8a5bf171-283c-46a6-8708-f16314d85a5a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36294060" y="1495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33</xdr:col>
      <xdr:colOff>0</xdr:colOff>
      <xdr:row>81</xdr:row>
      <xdr:rowOff>0</xdr:rowOff>
    </xdr:from>
    <xdr:to>
      <xdr:col>33</xdr:col>
      <xdr:colOff>304800</xdr:colOff>
      <xdr:row>82</xdr:row>
      <xdr:rowOff>121920</xdr:rowOff>
    </xdr:to>
    <xdr:sp macro="" textlink="">
      <xdr:nvSpPr>
        <xdr:cNvPr id="1029" name="AutoShape 5" descr="blob:https://web.whatsapp.com/8a5bf171-283c-46a6-8708-f16314d85a5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7635180" y="14767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33</xdr:col>
      <xdr:colOff>0</xdr:colOff>
      <xdr:row>81</xdr:row>
      <xdr:rowOff>0</xdr:rowOff>
    </xdr:from>
    <xdr:to>
      <xdr:col>33</xdr:col>
      <xdr:colOff>304800</xdr:colOff>
      <xdr:row>82</xdr:row>
      <xdr:rowOff>121920</xdr:rowOff>
    </xdr:to>
    <xdr:sp macro="" textlink="">
      <xdr:nvSpPr>
        <xdr:cNvPr id="1030" name="AutoShape 6" descr="blob:https://web.whatsapp.com/8a5bf171-283c-46a6-8708-f16314d85a5a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37635180" y="14767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1005840</xdr:colOff>
      <xdr:row>79</xdr:row>
      <xdr:rowOff>0</xdr:rowOff>
    </xdr:from>
    <xdr:to>
      <xdr:col>33</xdr:col>
      <xdr:colOff>731520</xdr:colOff>
      <xdr:row>90</xdr:row>
      <xdr:rowOff>79213</xdr:rowOff>
    </xdr:to>
    <xdr:pic>
      <xdr:nvPicPr>
        <xdr:cNvPr id="9" name="Imagen 8" descr="C:\Users\rebec\Downloads\WhatsApp Image 2024-11-09 at 12.45.22 PM.jpe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7" t="23762" r="63849" b="27865"/>
        <a:stretch/>
      </xdr:blipFill>
      <xdr:spPr bwMode="auto">
        <a:xfrm>
          <a:off x="36332160" y="14417040"/>
          <a:ext cx="2103120" cy="2090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C392"/>
  <sheetViews>
    <sheetView tabSelected="1" topLeftCell="AF178" zoomScale="70" zoomScaleNormal="70" workbookViewId="0">
      <selection activeCell="AM198" sqref="AM198"/>
    </sheetView>
  </sheetViews>
  <sheetFormatPr baseColWidth="10" defaultRowHeight="14.4" x14ac:dyDescent="0.3"/>
  <cols>
    <col min="1" max="1" width="18.6640625" customWidth="1"/>
    <col min="2" max="3" width="24.33203125" customWidth="1"/>
    <col min="4" max="4" width="25.109375" customWidth="1"/>
    <col min="6" max="6" width="20.21875" customWidth="1"/>
    <col min="9" max="9" width="19.6640625" customWidth="1"/>
    <col min="10" max="10" width="21" customWidth="1"/>
    <col min="12" max="12" width="17" customWidth="1"/>
    <col min="13" max="14" width="16.33203125" customWidth="1"/>
    <col min="18" max="18" width="21.21875" customWidth="1"/>
    <col min="19" max="19" width="14.21875" customWidth="1"/>
    <col min="20" max="20" width="13.88671875" customWidth="1"/>
    <col min="22" max="22" width="13.6640625" customWidth="1"/>
    <col min="23" max="23" width="13.77734375" customWidth="1"/>
    <col min="24" max="24" width="13.33203125" customWidth="1"/>
    <col min="26" max="26" width="13.21875" customWidth="1"/>
    <col min="27" max="27" width="16.21875" customWidth="1"/>
    <col min="28" max="28" width="19.77734375" customWidth="1"/>
    <col min="30" max="30" width="39.77734375" customWidth="1"/>
    <col min="31" max="31" width="19.6640625" customWidth="1"/>
    <col min="32" max="32" width="15.21875" customWidth="1"/>
    <col min="33" max="33" width="19.5546875" customWidth="1"/>
    <col min="34" max="34" width="25.21875" customWidth="1"/>
    <col min="35" max="35" width="19.88671875" customWidth="1"/>
    <col min="36" max="36" width="20.6640625" customWidth="1"/>
    <col min="37" max="37" width="19.21875" customWidth="1"/>
    <col min="38" max="38" width="17.44140625" customWidth="1"/>
    <col min="39" max="39" width="20.33203125" customWidth="1"/>
    <col min="40" max="40" width="20" customWidth="1"/>
    <col min="41" max="41" width="22.5546875" customWidth="1"/>
    <col min="42" max="42" width="16.44140625" customWidth="1"/>
    <col min="43" max="43" width="15.33203125" customWidth="1"/>
    <col min="47" max="47" width="22.44140625" customWidth="1"/>
    <col min="48" max="48" width="18" customWidth="1"/>
    <col min="49" max="49" width="15.44140625" customWidth="1"/>
    <col min="52" max="52" width="14.109375" customWidth="1"/>
    <col min="53" max="53" width="20.44140625" customWidth="1"/>
    <col min="56" max="56" width="15.6640625" customWidth="1"/>
    <col min="58" max="58" width="18.5546875" customWidth="1"/>
    <col min="59" max="59" width="14.6640625" customWidth="1"/>
  </cols>
  <sheetData>
    <row r="3" spans="1:41" ht="25.8" x14ac:dyDescent="0.5">
      <c r="A3" s="38" t="s">
        <v>153</v>
      </c>
      <c r="B3" s="37"/>
      <c r="C3" s="37"/>
      <c r="D3" s="37"/>
      <c r="E3" s="37"/>
      <c r="O3" s="57"/>
      <c r="P3" s="57"/>
      <c r="Q3" s="57"/>
    </row>
    <row r="5" spans="1:41" x14ac:dyDescent="0.3">
      <c r="A5" s="20" t="s">
        <v>7</v>
      </c>
      <c r="B5" s="21" t="s">
        <v>8</v>
      </c>
      <c r="C5" s="21" t="s">
        <v>9</v>
      </c>
      <c r="D5" s="21" t="s">
        <v>10</v>
      </c>
      <c r="E5" s="20" t="s">
        <v>11</v>
      </c>
      <c r="Q5" s="29"/>
      <c r="R5" s="54"/>
      <c r="S5" s="54"/>
      <c r="T5" s="54"/>
      <c r="U5" s="29"/>
    </row>
    <row r="6" spans="1:41" x14ac:dyDescent="0.3">
      <c r="A6" s="23" t="s">
        <v>0</v>
      </c>
      <c r="B6" s="3">
        <v>150</v>
      </c>
      <c r="C6" s="3">
        <v>175</v>
      </c>
      <c r="D6" s="3">
        <v>125</v>
      </c>
      <c r="E6" s="3">
        <v>175</v>
      </c>
      <c r="Q6" s="29"/>
    </row>
    <row r="7" spans="1:41" x14ac:dyDescent="0.3">
      <c r="A7" s="23" t="s">
        <v>1</v>
      </c>
      <c r="B7" s="3">
        <v>250</v>
      </c>
      <c r="C7" s="3">
        <v>175</v>
      </c>
      <c r="D7" s="3">
        <v>125</v>
      </c>
      <c r="E7" s="3">
        <v>275</v>
      </c>
      <c r="Q7" s="29"/>
    </row>
    <row r="8" spans="1:41" x14ac:dyDescent="0.3">
      <c r="AD8" s="39" t="s">
        <v>154</v>
      </c>
      <c r="AE8" s="39" t="s">
        <v>168</v>
      </c>
      <c r="AF8" s="39" t="s">
        <v>166</v>
      </c>
      <c r="AG8" s="39" t="s">
        <v>167</v>
      </c>
    </row>
    <row r="9" spans="1:41" x14ac:dyDescent="0.3">
      <c r="AD9" s="4" t="s">
        <v>155</v>
      </c>
      <c r="AE9" s="41">
        <v>4</v>
      </c>
      <c r="AF9" s="6" t="s">
        <v>176</v>
      </c>
      <c r="AG9" s="43" t="s">
        <v>169</v>
      </c>
    </row>
    <row r="10" spans="1:41" x14ac:dyDescent="0.3">
      <c r="Z10" s="3" t="s">
        <v>101</v>
      </c>
      <c r="AA10" s="3" t="s">
        <v>102</v>
      </c>
      <c r="AB10" s="3" t="s">
        <v>103</v>
      </c>
      <c r="AD10" s="4" t="s">
        <v>156</v>
      </c>
      <c r="AE10" s="41">
        <v>1.65</v>
      </c>
      <c r="AF10" s="7" t="s">
        <v>176</v>
      </c>
      <c r="AG10" s="43" t="s">
        <v>169</v>
      </c>
    </row>
    <row r="11" spans="1:41" x14ac:dyDescent="0.3">
      <c r="A11" s="22"/>
      <c r="B11" s="27" t="s">
        <v>16</v>
      </c>
      <c r="C11" s="1"/>
      <c r="F11" s="28" t="s">
        <v>17</v>
      </c>
      <c r="G11" s="1"/>
      <c r="Q11" s="29"/>
      <c r="R11" s="55"/>
      <c r="V11" s="54"/>
      <c r="Z11" s="3">
        <v>1</v>
      </c>
      <c r="AA11">
        <f>F114</f>
        <v>337.72403750000001</v>
      </c>
      <c r="AB11" s="3">
        <v>4.25</v>
      </c>
      <c r="AD11" s="4" t="s">
        <v>157</v>
      </c>
      <c r="AE11" s="41">
        <v>0.6</v>
      </c>
      <c r="AF11" s="7" t="s">
        <v>176</v>
      </c>
      <c r="AG11" s="43" t="s">
        <v>169</v>
      </c>
    </row>
    <row r="12" spans="1:41" x14ac:dyDescent="0.3">
      <c r="A12" s="23" t="s">
        <v>2</v>
      </c>
      <c r="B12" s="4" t="s">
        <v>12</v>
      </c>
      <c r="C12" s="4" t="s">
        <v>13</v>
      </c>
      <c r="F12" s="23" t="s">
        <v>18</v>
      </c>
      <c r="G12" s="3">
        <v>180</v>
      </c>
      <c r="Q12" s="29"/>
      <c r="R12" s="35"/>
      <c r="S12" s="35"/>
      <c r="V12" s="29"/>
      <c r="Z12" s="3">
        <v>2</v>
      </c>
      <c r="AA12" s="3">
        <f>F200</f>
        <v>527.9765625</v>
      </c>
      <c r="AB12" s="3">
        <f>AB11+3.25</f>
        <v>7.5</v>
      </c>
      <c r="AD12" s="4" t="s">
        <v>158</v>
      </c>
      <c r="AE12" s="41" t="s">
        <v>165</v>
      </c>
      <c r="AF12" s="7" t="s">
        <v>176</v>
      </c>
      <c r="AG12" s="43" t="s">
        <v>170</v>
      </c>
    </row>
    <row r="13" spans="1:41" x14ac:dyDescent="0.3">
      <c r="A13" s="23" t="s">
        <v>3</v>
      </c>
      <c r="B13" s="4" t="s">
        <v>14</v>
      </c>
      <c r="C13" s="4" t="s">
        <v>15</v>
      </c>
      <c r="F13" s="23" t="s">
        <v>19</v>
      </c>
      <c r="G13" s="3">
        <v>0.3</v>
      </c>
      <c r="Q13" s="29"/>
      <c r="R13" s="35"/>
      <c r="S13" s="35"/>
      <c r="V13" s="29"/>
      <c r="Z13" s="3">
        <v>3</v>
      </c>
      <c r="AA13" s="3">
        <f>F282</f>
        <v>291.12547849999999</v>
      </c>
      <c r="AB13" s="3">
        <f>AB12+3.25+2.75</f>
        <v>13.5</v>
      </c>
      <c r="AD13" s="4" t="s">
        <v>159</v>
      </c>
      <c r="AE13" s="42">
        <v>0.05</v>
      </c>
      <c r="AF13" s="7" t="s">
        <v>176</v>
      </c>
      <c r="AG13" s="43" t="s">
        <v>170</v>
      </c>
    </row>
    <row r="14" spans="1:41" x14ac:dyDescent="0.3">
      <c r="A14" s="23" t="s">
        <v>4</v>
      </c>
      <c r="B14" s="3">
        <v>0.3</v>
      </c>
      <c r="C14" s="3">
        <v>0.3</v>
      </c>
      <c r="F14" s="23" t="s">
        <v>20</v>
      </c>
      <c r="G14" s="3">
        <v>1.5</v>
      </c>
      <c r="Q14" s="29"/>
      <c r="V14" s="29"/>
      <c r="Z14" s="3"/>
      <c r="AA14" s="3">
        <f>AA13+AA12+AA11</f>
        <v>1156.8260785</v>
      </c>
      <c r="AB14" s="3">
        <f>AB11+AB12+AB13</f>
        <v>25.25</v>
      </c>
      <c r="AD14" s="4" t="s">
        <v>160</v>
      </c>
      <c r="AE14" s="41">
        <v>1</v>
      </c>
      <c r="AF14" s="7" t="s">
        <v>176</v>
      </c>
      <c r="AG14" s="43" t="s">
        <v>171</v>
      </c>
    </row>
    <row r="15" spans="1:41" x14ac:dyDescent="0.3">
      <c r="A15" s="23" t="s">
        <v>5</v>
      </c>
      <c r="B15" s="3">
        <v>0.5</v>
      </c>
      <c r="C15" s="3">
        <v>0.5</v>
      </c>
      <c r="F15" s="23" t="s">
        <v>21</v>
      </c>
      <c r="G15" s="3">
        <v>1.2</v>
      </c>
      <c r="Q15" s="29"/>
      <c r="V15" s="29"/>
      <c r="AD15" s="4" t="s">
        <v>161</v>
      </c>
      <c r="AE15" s="41">
        <v>1.5</v>
      </c>
      <c r="AF15" s="7" t="s">
        <v>176</v>
      </c>
      <c r="AG15" s="43" t="s">
        <v>172</v>
      </c>
    </row>
    <row r="16" spans="1:41" x14ac:dyDescent="0.3">
      <c r="A16" s="23" t="s">
        <v>6</v>
      </c>
      <c r="B16" s="3">
        <v>0.15</v>
      </c>
      <c r="C16" s="3">
        <v>0.15</v>
      </c>
      <c r="F16" s="23" t="s">
        <v>22</v>
      </c>
      <c r="G16" s="3">
        <f>G14*G13</f>
        <v>0.44999999999999996</v>
      </c>
      <c r="Q16" s="29"/>
      <c r="V16" s="29"/>
      <c r="AD16" s="4" t="s">
        <v>162</v>
      </c>
      <c r="AE16" s="41">
        <v>1.1200000000000001</v>
      </c>
      <c r="AF16" s="7" t="s">
        <v>176</v>
      </c>
      <c r="AG16" s="43" t="s">
        <v>173</v>
      </c>
      <c r="AJ16" s="64" t="s">
        <v>101</v>
      </c>
      <c r="AK16" s="64" t="s">
        <v>107</v>
      </c>
      <c r="AL16" s="64" t="s">
        <v>108</v>
      </c>
      <c r="AM16" s="64" t="s">
        <v>109</v>
      </c>
      <c r="AN16" s="65" t="s">
        <v>110</v>
      </c>
      <c r="AO16" s="66" t="s">
        <v>249</v>
      </c>
    </row>
    <row r="17" spans="1:41" x14ac:dyDescent="0.3">
      <c r="F17" s="23" t="s">
        <v>23</v>
      </c>
      <c r="G17" s="3">
        <f>G15*G13</f>
        <v>0.36</v>
      </c>
      <c r="V17" s="29"/>
      <c r="AD17" s="4" t="s">
        <v>163</v>
      </c>
      <c r="AE17" s="41">
        <v>1.2</v>
      </c>
      <c r="AF17" s="7" t="s">
        <v>176</v>
      </c>
      <c r="AG17" s="43" t="s">
        <v>174</v>
      </c>
      <c r="AJ17" s="3">
        <v>1</v>
      </c>
      <c r="AK17" s="67">
        <f>AA11</f>
        <v>337.72403750000001</v>
      </c>
      <c r="AL17" s="3">
        <f>AB11</f>
        <v>4.25</v>
      </c>
      <c r="AM17" s="72">
        <f>AK17*AL17</f>
        <v>1435.3271593750001</v>
      </c>
      <c r="AN17" s="68">
        <f>AM17/AM20</f>
        <v>0.15391678349384036</v>
      </c>
      <c r="AO17" s="69">
        <f>(AK23-AK24)*AN17</f>
        <v>28.947194316688648</v>
      </c>
    </row>
    <row r="18" spans="1:41" x14ac:dyDescent="0.3">
      <c r="F18" s="28" t="s">
        <v>24</v>
      </c>
      <c r="G18" s="1"/>
      <c r="V18" s="54"/>
      <c r="AD18" s="4" t="s">
        <v>164</v>
      </c>
      <c r="AE18" s="41">
        <v>0.8</v>
      </c>
      <c r="AF18" s="8" t="s">
        <v>176</v>
      </c>
      <c r="AG18" s="43" t="s">
        <v>175</v>
      </c>
      <c r="AJ18" s="3">
        <v>2</v>
      </c>
      <c r="AK18" s="67">
        <f t="shared" ref="AK18:AK20" si="0">AA12</f>
        <v>527.9765625</v>
      </c>
      <c r="AL18" s="3">
        <f t="shared" ref="AL18:AL20" si="1">AB12</f>
        <v>7.5</v>
      </c>
      <c r="AM18" s="3">
        <f>AK18*AL18</f>
        <v>3959.82421875</v>
      </c>
      <c r="AN18" s="68">
        <f>AM18/AM20</f>
        <v>0.4246303032518407</v>
      </c>
      <c r="AO18" s="69">
        <f>(AK23-AK24)*AN18</f>
        <v>79.860400028937534</v>
      </c>
    </row>
    <row r="19" spans="1:41" x14ac:dyDescent="0.3">
      <c r="A19" s="26" t="s">
        <v>30</v>
      </c>
      <c r="B19" s="5"/>
      <c r="F19" s="23" t="s">
        <v>25</v>
      </c>
      <c r="G19" s="3">
        <v>1.75</v>
      </c>
      <c r="Q19" s="55"/>
      <c r="R19" s="56"/>
      <c r="V19" s="29"/>
      <c r="AJ19" s="3">
        <v>3</v>
      </c>
      <c r="AK19" s="67">
        <f t="shared" si="0"/>
        <v>291.12547849999999</v>
      </c>
      <c r="AL19" s="3">
        <f t="shared" si="1"/>
        <v>13.5</v>
      </c>
      <c r="AM19" s="3">
        <f>AK19*AL19</f>
        <v>3930.19395975</v>
      </c>
      <c r="AN19" s="68">
        <f>AM19/AM20</f>
        <v>0.42145291325431894</v>
      </c>
      <c r="AO19" s="69">
        <f>(AK23-AK24)*AN19</f>
        <v>79.262826953472072</v>
      </c>
    </row>
    <row r="20" spans="1:41" x14ac:dyDescent="0.3">
      <c r="A20" s="23" t="s">
        <v>3</v>
      </c>
      <c r="B20" s="4" t="s">
        <v>31</v>
      </c>
      <c r="F20" s="23" t="s">
        <v>26</v>
      </c>
      <c r="G20" s="3">
        <v>1.75</v>
      </c>
      <c r="Q20" s="29"/>
      <c r="R20" s="35"/>
      <c r="V20" s="29"/>
      <c r="AJ20" s="70"/>
      <c r="AK20" s="67">
        <f t="shared" si="0"/>
        <v>1156.8260785</v>
      </c>
      <c r="AL20" s="3">
        <f t="shared" si="1"/>
        <v>25.25</v>
      </c>
      <c r="AM20" s="70">
        <f>AM17+AM18+AM19</f>
        <v>9325.345337875</v>
      </c>
      <c r="AN20" s="47">
        <f>AN17+AN18+AN19</f>
        <v>1</v>
      </c>
      <c r="AO20" s="71">
        <f>+SUM(AO17:AO19)</f>
        <v>188.07042129909826</v>
      </c>
    </row>
    <row r="21" spans="1:41" x14ac:dyDescent="0.3">
      <c r="A21" s="23" t="s">
        <v>4</v>
      </c>
      <c r="B21" s="3">
        <v>0.45</v>
      </c>
      <c r="F21" s="23" t="s">
        <v>27</v>
      </c>
      <c r="G21" s="3">
        <v>4.3499999999999996</v>
      </c>
      <c r="Q21" s="29"/>
      <c r="V21" s="29"/>
    </row>
    <row r="22" spans="1:41" x14ac:dyDescent="0.3">
      <c r="A22" s="23" t="s">
        <v>5</v>
      </c>
      <c r="B22" s="3">
        <v>0.45</v>
      </c>
      <c r="F22" s="23" t="s">
        <v>28</v>
      </c>
      <c r="G22" s="3">
        <v>0.3</v>
      </c>
      <c r="Q22" s="29"/>
      <c r="V22" s="29"/>
      <c r="AD22" t="s">
        <v>177</v>
      </c>
    </row>
    <row r="23" spans="1:41" x14ac:dyDescent="0.3">
      <c r="A23" s="23" t="s">
        <v>29</v>
      </c>
      <c r="B23" s="3">
        <v>0.2</v>
      </c>
      <c r="F23" s="23" t="s">
        <v>29</v>
      </c>
      <c r="G23" s="3">
        <f>(G19+G20+G21)*G22</f>
        <v>2.355</v>
      </c>
      <c r="Q23" s="29"/>
      <c r="V23" s="29"/>
      <c r="AD23" s="3" t="s">
        <v>178</v>
      </c>
      <c r="AE23" s="3">
        <f>AE10*AE14</f>
        <v>1.65</v>
      </c>
      <c r="AF23" s="3" t="s">
        <v>179</v>
      </c>
      <c r="AG23" s="3">
        <f>AE11*AE15</f>
        <v>0.89999999999999991</v>
      </c>
      <c r="AI23" s="73"/>
      <c r="AJ23" s="73" t="s">
        <v>106</v>
      </c>
      <c r="AK23" s="73">
        <f>AH61*AK20</f>
        <v>190.8763029525</v>
      </c>
      <c r="AL23" s="73"/>
    </row>
    <row r="24" spans="1:41" x14ac:dyDescent="0.3">
      <c r="V24" s="29"/>
      <c r="AJ24" t="s">
        <v>250</v>
      </c>
      <c r="AK24">
        <f>0.07*AK61*AK23</f>
        <v>2.8058816534017503</v>
      </c>
    </row>
    <row r="25" spans="1:41" x14ac:dyDescent="0.3">
      <c r="V25" s="29"/>
      <c r="AD25" t="s">
        <v>182</v>
      </c>
    </row>
    <row r="26" spans="1:41" x14ac:dyDescent="0.3">
      <c r="A26" s="22" t="s">
        <v>32</v>
      </c>
      <c r="B26" s="1"/>
      <c r="F26" s="29"/>
      <c r="Q26" s="29"/>
      <c r="V26" s="29"/>
      <c r="AD26" s="3" t="s">
        <v>180</v>
      </c>
      <c r="AE26" s="3">
        <f>AE10*AE14*AE16</f>
        <v>1.8480000000000001</v>
      </c>
      <c r="AF26" s="3" t="s">
        <v>181</v>
      </c>
      <c r="AG26" s="3">
        <f>AE11*AE15*AE17</f>
        <v>1.0799999999999998</v>
      </c>
    </row>
    <row r="27" spans="1:41" x14ac:dyDescent="0.3">
      <c r="A27" s="23" t="s">
        <v>33</v>
      </c>
      <c r="B27" s="3">
        <v>350</v>
      </c>
      <c r="F27" s="29"/>
      <c r="Q27" s="29"/>
      <c r="V27" s="29"/>
    </row>
    <row r="28" spans="1:41" x14ac:dyDescent="0.3">
      <c r="A28" s="23" t="s">
        <v>34</v>
      </c>
      <c r="B28" s="3">
        <v>2400</v>
      </c>
      <c r="F28" s="28" t="s">
        <v>43</v>
      </c>
      <c r="G28" s="1"/>
      <c r="Q28" s="29"/>
      <c r="V28" s="54"/>
      <c r="AD28" t="s">
        <v>183</v>
      </c>
    </row>
    <row r="29" spans="1:41" x14ac:dyDescent="0.3">
      <c r="A29" s="24" t="s">
        <v>37</v>
      </c>
      <c r="B29" s="6"/>
      <c r="F29" s="23" t="s">
        <v>42</v>
      </c>
      <c r="G29" s="3">
        <v>0.13</v>
      </c>
      <c r="Q29" s="29"/>
      <c r="V29" s="29"/>
      <c r="AD29" s="3" t="s">
        <v>185</v>
      </c>
      <c r="AE29" s="3">
        <f>AE18*AE23</f>
        <v>1.32</v>
      </c>
      <c r="AF29" s="3" t="s">
        <v>186</v>
      </c>
      <c r="AG29" s="3">
        <f>AE18*AG23</f>
        <v>0.72</v>
      </c>
    </row>
    <row r="30" spans="1:41" x14ac:dyDescent="0.3">
      <c r="A30" s="24" t="s">
        <v>35</v>
      </c>
      <c r="B30" s="7">
        <v>282495.13</v>
      </c>
      <c r="Q30" s="29"/>
    </row>
    <row r="31" spans="1:41" x14ac:dyDescent="0.3">
      <c r="A31" s="15" t="s">
        <v>36</v>
      </c>
      <c r="B31" s="8"/>
      <c r="Q31" s="29"/>
      <c r="AD31" t="s">
        <v>183</v>
      </c>
    </row>
    <row r="32" spans="1:41" x14ac:dyDescent="0.3">
      <c r="A32" s="25" t="s">
        <v>38</v>
      </c>
      <c r="B32" s="6"/>
      <c r="Q32" s="29"/>
      <c r="AD32" s="3" t="s">
        <v>184</v>
      </c>
      <c r="AE32" s="3">
        <f>AG23/AE23</f>
        <v>0.54545454545454541</v>
      </c>
    </row>
    <row r="33" spans="1:39" x14ac:dyDescent="0.3">
      <c r="A33" s="24" t="s">
        <v>39</v>
      </c>
      <c r="B33" s="7">
        <v>112998.05</v>
      </c>
      <c r="Q33" s="29"/>
    </row>
    <row r="34" spans="1:39" x14ac:dyDescent="0.3">
      <c r="A34" s="15" t="s">
        <v>40</v>
      </c>
      <c r="B34" s="8"/>
      <c r="Q34" s="29"/>
      <c r="AD34" t="s">
        <v>187</v>
      </c>
      <c r="AG34" s="45" t="s">
        <v>193</v>
      </c>
      <c r="AH34" s="43"/>
      <c r="AI34" s="43" t="s">
        <v>194</v>
      </c>
      <c r="AJ34" s="34">
        <v>13.5</v>
      </c>
      <c r="AK34" s="34" t="s">
        <v>195</v>
      </c>
      <c r="AL34" s="43"/>
      <c r="AM34" s="43"/>
    </row>
    <row r="35" spans="1:39" x14ac:dyDescent="0.3">
      <c r="A35" s="23" t="s">
        <v>41</v>
      </c>
      <c r="B35" s="3">
        <v>2.4</v>
      </c>
      <c r="Q35" s="29"/>
      <c r="AD35" s="3" t="s">
        <v>188</v>
      </c>
      <c r="AE35" s="3">
        <f>0.2*AE32</f>
        <v>0.10909090909090909</v>
      </c>
      <c r="AG35" s="43"/>
      <c r="AH35" s="44"/>
      <c r="AI35" s="3" t="s">
        <v>196</v>
      </c>
      <c r="AJ35" s="3">
        <v>4.9000000000000002E-2</v>
      </c>
      <c r="AK35" s="8"/>
      <c r="AL35" s="8" t="s">
        <v>197</v>
      </c>
      <c r="AM35" s="3" t="s">
        <v>198</v>
      </c>
    </row>
    <row r="36" spans="1:39" x14ac:dyDescent="0.3">
      <c r="AG36" s="8" t="s">
        <v>199</v>
      </c>
      <c r="AH36" s="3">
        <f>AJ35*(AJ34)^AJ36</f>
        <v>0.34510114990615981</v>
      </c>
      <c r="AI36" s="3" t="s">
        <v>13</v>
      </c>
      <c r="AJ36" s="3">
        <v>0.75</v>
      </c>
      <c r="AK36" s="3"/>
      <c r="AL36" s="3" t="s">
        <v>197</v>
      </c>
      <c r="AM36" s="3" t="s">
        <v>198</v>
      </c>
    </row>
    <row r="37" spans="1:39" x14ac:dyDescent="0.3">
      <c r="AD37" t="s">
        <v>189</v>
      </c>
    </row>
    <row r="38" spans="1:39" x14ac:dyDescent="0.3">
      <c r="A38" s="31"/>
      <c r="B38" s="31"/>
      <c r="C38" s="31" t="s">
        <v>90</v>
      </c>
      <c r="D38" s="31"/>
      <c r="E38" s="31"/>
      <c r="F38" s="31"/>
      <c r="AD38" s="3" t="s">
        <v>190</v>
      </c>
      <c r="AE38" s="3">
        <f>0.4*AE29</f>
        <v>0.52800000000000002</v>
      </c>
    </row>
    <row r="40" spans="1:39" x14ac:dyDescent="0.3">
      <c r="AD40" t="s">
        <v>191</v>
      </c>
    </row>
    <row r="41" spans="1:39" x14ac:dyDescent="0.3">
      <c r="A41" s="20" t="s">
        <v>44</v>
      </c>
      <c r="B41" s="20" t="s">
        <v>29</v>
      </c>
      <c r="C41" s="20" t="s">
        <v>5</v>
      </c>
      <c r="D41" s="20" t="s">
        <v>48</v>
      </c>
      <c r="E41" s="20" t="s">
        <v>49</v>
      </c>
      <c r="F41" s="21" t="s">
        <v>50</v>
      </c>
      <c r="Q41" s="29"/>
      <c r="R41" s="29"/>
      <c r="S41" s="29"/>
      <c r="T41" s="29"/>
      <c r="U41" s="29"/>
      <c r="V41" s="54"/>
      <c r="AD41" s="3" t="s">
        <v>192</v>
      </c>
      <c r="AE41" s="3">
        <f>0.2*AE29</f>
        <v>0.26400000000000001</v>
      </c>
    </row>
    <row r="42" spans="1:39" x14ac:dyDescent="0.3">
      <c r="A42" s="20" t="s">
        <v>30</v>
      </c>
      <c r="B42" s="3">
        <f>$B$23</f>
        <v>0.2</v>
      </c>
      <c r="C42" s="3">
        <v>3.75</v>
      </c>
      <c r="D42" s="3">
        <v>2.4</v>
      </c>
      <c r="E42" s="3">
        <v>9</v>
      </c>
      <c r="F42" s="3">
        <f>B42*C42*D42*E42</f>
        <v>16.2</v>
      </c>
      <c r="Q42" s="29"/>
      <c r="AG42" s="3" t="s">
        <v>202</v>
      </c>
      <c r="AH42" s="3" t="s">
        <v>203</v>
      </c>
      <c r="AI42" s="3" t="s">
        <v>204</v>
      </c>
      <c r="AJ42" s="46" t="s">
        <v>205</v>
      </c>
    </row>
    <row r="43" spans="1:39" x14ac:dyDescent="0.3">
      <c r="A43" s="20" t="s">
        <v>45</v>
      </c>
      <c r="B43" s="3">
        <f>$G$16</f>
        <v>0.44999999999999996</v>
      </c>
      <c r="C43" s="3">
        <v>3.75</v>
      </c>
      <c r="D43" s="3">
        <v>2.4</v>
      </c>
      <c r="E43" s="3">
        <v>6</v>
      </c>
      <c r="F43" s="3">
        <f>B43*C43*D43*E43</f>
        <v>24.299999999999994</v>
      </c>
      <c r="Q43" s="29"/>
      <c r="AG43" s="3" t="s">
        <v>200</v>
      </c>
      <c r="AH43" s="3" t="s">
        <v>210</v>
      </c>
      <c r="AI43" s="3" t="s">
        <v>208</v>
      </c>
      <c r="AJ43" s="46" t="s">
        <v>206</v>
      </c>
    </row>
    <row r="44" spans="1:39" x14ac:dyDescent="0.3">
      <c r="A44" s="20" t="s">
        <v>229</v>
      </c>
      <c r="B44" s="3">
        <f>$G$17</f>
        <v>0.36</v>
      </c>
      <c r="C44" s="3">
        <v>3.75</v>
      </c>
      <c r="D44" s="3">
        <v>2.4</v>
      </c>
      <c r="E44" s="3">
        <v>6</v>
      </c>
      <c r="F44" s="3">
        <f t="shared" ref="F44:F45" si="2">B44*C44*D44*E44</f>
        <v>19.439999999999998</v>
      </c>
      <c r="Q44" s="29"/>
      <c r="AG44" s="3" t="s">
        <v>201</v>
      </c>
      <c r="AH44" s="3" t="s">
        <v>211</v>
      </c>
      <c r="AI44" s="3" t="s">
        <v>209</v>
      </c>
      <c r="AJ44" s="46" t="s">
        <v>207</v>
      </c>
    </row>
    <row r="45" spans="1:39" x14ac:dyDescent="0.3">
      <c r="A45" s="20" t="s">
        <v>47</v>
      </c>
      <c r="B45" s="3">
        <f>$G$23</f>
        <v>2.355</v>
      </c>
      <c r="C45" s="3">
        <v>3.75</v>
      </c>
      <c r="D45" s="3">
        <v>2.4</v>
      </c>
      <c r="E45" s="3">
        <v>1</v>
      </c>
      <c r="F45" s="3">
        <f t="shared" si="2"/>
        <v>21.195</v>
      </c>
      <c r="Q45" s="29"/>
    </row>
    <row r="46" spans="1:39" x14ac:dyDescent="0.3">
      <c r="A46" s="20" t="s">
        <v>79</v>
      </c>
      <c r="B46" s="3"/>
      <c r="C46" s="3"/>
      <c r="D46" s="3"/>
      <c r="E46" s="3"/>
      <c r="F46" s="3">
        <f>F42+F43+F44+F45</f>
        <v>81.134999999999991</v>
      </c>
      <c r="Q46" s="29"/>
    </row>
    <row r="47" spans="1:39" x14ac:dyDescent="0.3">
      <c r="AG47" s="3" t="s">
        <v>212</v>
      </c>
      <c r="AH47" s="3">
        <v>0.11</v>
      </c>
    </row>
    <row r="48" spans="1:39" ht="13.8" customHeight="1" x14ac:dyDescent="0.3">
      <c r="AG48" s="3" t="s">
        <v>213</v>
      </c>
      <c r="AH48" s="3">
        <v>0.34</v>
      </c>
    </row>
    <row r="49" spans="1:38" hidden="1" x14ac:dyDescent="0.3">
      <c r="AG49" s="3" t="s">
        <v>214</v>
      </c>
      <c r="AH49" s="3">
        <v>0.62</v>
      </c>
    </row>
    <row r="50" spans="1:38" x14ac:dyDescent="0.3">
      <c r="AG50" s="3" t="s">
        <v>214</v>
      </c>
      <c r="AH50" s="3">
        <v>0.54</v>
      </c>
    </row>
    <row r="51" spans="1:38" x14ac:dyDescent="0.3">
      <c r="A51" s="12"/>
      <c r="B51" s="13"/>
      <c r="C51" s="13" t="s">
        <v>51</v>
      </c>
      <c r="D51" s="13"/>
      <c r="Q51" s="35"/>
      <c r="R51" s="35"/>
      <c r="S51" s="35"/>
      <c r="T51" s="35"/>
    </row>
    <row r="53" spans="1:38" x14ac:dyDescent="0.3">
      <c r="A53" s="16"/>
      <c r="B53" s="17" t="s">
        <v>52</v>
      </c>
      <c r="C53" s="18"/>
      <c r="D53" s="19"/>
      <c r="Q53" s="29"/>
      <c r="R53" s="53"/>
      <c r="S53" s="29"/>
      <c r="T53" s="29"/>
    </row>
    <row r="54" spans="1:38" x14ac:dyDescent="0.3">
      <c r="A54" s="15" t="s">
        <v>56</v>
      </c>
      <c r="B54" s="15" t="s">
        <v>57</v>
      </c>
      <c r="C54" s="15" t="s">
        <v>58</v>
      </c>
      <c r="D54" s="15" t="s">
        <v>59</v>
      </c>
      <c r="E54" s="23" t="s">
        <v>84</v>
      </c>
      <c r="F54" s="23" t="s">
        <v>85</v>
      </c>
      <c r="I54" t="s">
        <v>60</v>
      </c>
      <c r="J54">
        <f>D55+D56+D57+D58+D59+D60+D61+D62+D63+D64+D65</f>
        <v>39.04999999999999</v>
      </c>
      <c r="K54" t="s">
        <v>86</v>
      </c>
      <c r="L54">
        <f>F55+F56+F57+F58+F59+F60+F61+F62+F63+F64+F65</f>
        <v>14.058</v>
      </c>
      <c r="Q54" s="29"/>
      <c r="R54" s="29"/>
      <c r="S54" s="29"/>
      <c r="T54" s="29"/>
      <c r="U54" s="29"/>
      <c r="V54" s="29"/>
      <c r="AG54" s="40" t="s">
        <v>215</v>
      </c>
      <c r="AH54" s="40"/>
      <c r="AI54" s="40" t="s">
        <v>215</v>
      </c>
      <c r="AJ54" s="40"/>
      <c r="AK54" s="40"/>
      <c r="AL54" s="40"/>
    </row>
    <row r="55" spans="1:38" x14ac:dyDescent="0.3">
      <c r="A55" s="23" t="s">
        <v>53</v>
      </c>
      <c r="B55" s="3">
        <v>0.3</v>
      </c>
      <c r="C55" s="3">
        <v>0.5</v>
      </c>
      <c r="D55" s="3">
        <v>3.23</v>
      </c>
      <c r="E55" s="3">
        <f>J55*D55</f>
        <v>0.48449999999999999</v>
      </c>
      <c r="F55" s="3">
        <f>E55*K74</f>
        <v>1.1627999999999998</v>
      </c>
      <c r="I55" s="23" t="s">
        <v>61</v>
      </c>
      <c r="J55" s="3">
        <f>B55*C55</f>
        <v>0.15</v>
      </c>
      <c r="Q55" s="29"/>
    </row>
    <row r="56" spans="1:38" x14ac:dyDescent="0.3">
      <c r="A56" s="23" t="s">
        <v>53</v>
      </c>
      <c r="B56" s="3">
        <v>0.3</v>
      </c>
      <c r="C56" s="3">
        <v>0.5</v>
      </c>
      <c r="D56" s="3">
        <v>3.73</v>
      </c>
      <c r="E56" s="3">
        <f>J55*D56</f>
        <v>0.5595</v>
      </c>
      <c r="F56" s="3">
        <f>E56*K74</f>
        <v>1.3428</v>
      </c>
      <c r="Q56" s="29"/>
      <c r="AG56" t="s">
        <v>216</v>
      </c>
    </row>
    <row r="57" spans="1:38" x14ac:dyDescent="0.3">
      <c r="A57" s="23" t="s">
        <v>53</v>
      </c>
      <c r="B57" s="3">
        <v>0.3</v>
      </c>
      <c r="C57" s="3">
        <v>0.5</v>
      </c>
      <c r="D57" s="3">
        <v>3.3</v>
      </c>
      <c r="E57" s="3">
        <f>J55*D57</f>
        <v>0.49499999999999994</v>
      </c>
      <c r="F57" s="3">
        <f>E57*K74</f>
        <v>1.1879999999999997</v>
      </c>
      <c r="Q57" s="29"/>
    </row>
    <row r="58" spans="1:38" x14ac:dyDescent="0.3">
      <c r="A58" s="23" t="s">
        <v>54</v>
      </c>
      <c r="B58" s="3">
        <v>0.3</v>
      </c>
      <c r="C58" s="3">
        <v>0.5</v>
      </c>
      <c r="D58" s="3">
        <v>4.28</v>
      </c>
      <c r="E58" s="3">
        <f>J55*D58</f>
        <v>0.64200000000000002</v>
      </c>
      <c r="F58" s="3">
        <f>E58*K74</f>
        <v>1.5407999999999999</v>
      </c>
      <c r="Q58" s="29"/>
    </row>
    <row r="59" spans="1:38" x14ac:dyDescent="0.3">
      <c r="A59" s="23" t="s">
        <v>54</v>
      </c>
      <c r="B59" s="3">
        <v>0.3</v>
      </c>
      <c r="C59" s="3">
        <v>0.5</v>
      </c>
      <c r="D59" s="3">
        <v>2.88</v>
      </c>
      <c r="E59" s="3">
        <f>J55*D59</f>
        <v>0.432</v>
      </c>
      <c r="F59" s="3">
        <f>E59*K74</f>
        <v>1.0367999999999999</v>
      </c>
      <c r="Q59" s="29"/>
      <c r="AG59" s="3" t="s">
        <v>217</v>
      </c>
      <c r="AH59" s="3">
        <v>1.32</v>
      </c>
      <c r="AJ59" s="3" t="s">
        <v>222</v>
      </c>
      <c r="AK59" s="3">
        <v>13.5</v>
      </c>
    </row>
    <row r="60" spans="1:38" x14ac:dyDescent="0.3">
      <c r="A60" s="23" t="s">
        <v>54</v>
      </c>
      <c r="B60" s="3">
        <v>0.3</v>
      </c>
      <c r="C60" s="3">
        <v>0.5</v>
      </c>
      <c r="D60" s="3">
        <v>4.28</v>
      </c>
      <c r="E60" s="3">
        <f>J55*D60</f>
        <v>0.64200000000000002</v>
      </c>
      <c r="F60" s="3">
        <f>E60*K74</f>
        <v>1.5407999999999999</v>
      </c>
      <c r="AG60" s="3" t="s">
        <v>218</v>
      </c>
      <c r="AH60" s="3">
        <v>8</v>
      </c>
      <c r="AJ60" s="3" t="s">
        <v>223</v>
      </c>
      <c r="AK60" s="3">
        <v>15.7</v>
      </c>
    </row>
    <row r="61" spans="1:38" x14ac:dyDescent="0.3">
      <c r="A61" s="23" t="s">
        <v>55</v>
      </c>
      <c r="B61" s="3">
        <v>0.3</v>
      </c>
      <c r="C61" s="3">
        <v>0.5</v>
      </c>
      <c r="D61" s="3">
        <v>4.28</v>
      </c>
      <c r="E61" s="3">
        <f>J55*D61</f>
        <v>0.64200000000000002</v>
      </c>
      <c r="F61" s="3">
        <f>E61*K74</f>
        <v>1.5407999999999999</v>
      </c>
      <c r="AG61" s="3" t="s">
        <v>219</v>
      </c>
      <c r="AH61" s="3">
        <f>AH59/AH60</f>
        <v>0.16500000000000001</v>
      </c>
      <c r="AJ61" s="3" t="s">
        <v>105</v>
      </c>
      <c r="AK61" s="3">
        <v>0.21</v>
      </c>
    </row>
    <row r="62" spans="1:38" x14ac:dyDescent="0.3">
      <c r="A62" s="23" t="s">
        <v>55</v>
      </c>
      <c r="B62" s="3">
        <v>0.3</v>
      </c>
      <c r="C62" s="3">
        <v>0.5</v>
      </c>
      <c r="D62" s="3">
        <v>2.88</v>
      </c>
      <c r="E62" s="3">
        <f>J55*D62</f>
        <v>0.432</v>
      </c>
      <c r="F62" s="3">
        <f>E62*K74</f>
        <v>1.0367999999999999</v>
      </c>
    </row>
    <row r="63" spans="1:38" x14ac:dyDescent="0.3">
      <c r="A63" s="23" t="s">
        <v>55</v>
      </c>
      <c r="B63" s="3">
        <v>0.3</v>
      </c>
      <c r="C63" s="3">
        <v>0.5</v>
      </c>
      <c r="D63" s="3">
        <v>3.23</v>
      </c>
      <c r="E63" s="3">
        <f>J55*D63</f>
        <v>0.48449999999999999</v>
      </c>
      <c r="F63" s="3">
        <f>E63*K74</f>
        <v>1.1627999999999998</v>
      </c>
      <c r="R63" s="29"/>
    </row>
    <row r="64" spans="1:38" x14ac:dyDescent="0.3">
      <c r="A64" s="23" t="s">
        <v>165</v>
      </c>
      <c r="B64" s="3">
        <v>0.3</v>
      </c>
      <c r="C64" s="3">
        <v>0.5</v>
      </c>
      <c r="D64" s="3">
        <v>3.23</v>
      </c>
      <c r="E64" s="3">
        <f>J55*D64</f>
        <v>0.48449999999999999</v>
      </c>
      <c r="F64" s="3">
        <f>E64*K74</f>
        <v>1.1627999999999998</v>
      </c>
      <c r="Q64" s="53"/>
      <c r="AG64" s="3" t="s">
        <v>219</v>
      </c>
      <c r="AH64" s="3">
        <f>AH61</f>
        <v>0.16500000000000001</v>
      </c>
    </row>
    <row r="65" spans="1:34" x14ac:dyDescent="0.3">
      <c r="A65" s="23" t="s">
        <v>165</v>
      </c>
      <c r="B65" s="3">
        <v>0.3</v>
      </c>
      <c r="C65" s="3">
        <v>0.5</v>
      </c>
      <c r="D65" s="3">
        <v>3.73</v>
      </c>
      <c r="E65" s="3">
        <f>J55*D65</f>
        <v>0.5595</v>
      </c>
      <c r="F65" s="3">
        <f>E65*K74</f>
        <v>1.3428</v>
      </c>
      <c r="AG65" s="3" t="s">
        <v>221</v>
      </c>
      <c r="AH65" s="3">
        <f>0.044*AH59</f>
        <v>5.808E-2</v>
      </c>
    </row>
    <row r="66" spans="1:34" x14ac:dyDescent="0.3">
      <c r="A66" s="16"/>
      <c r="B66" s="17" t="s">
        <v>62</v>
      </c>
      <c r="C66" s="18"/>
      <c r="D66" s="19"/>
      <c r="Q66" s="29"/>
      <c r="S66" s="29"/>
      <c r="T66" s="29"/>
      <c r="AG66" s="3" t="s">
        <v>220</v>
      </c>
      <c r="AH66" s="3">
        <f>0.75*AE18*(AE11/AH60)</f>
        <v>4.5000000000000005E-2</v>
      </c>
    </row>
    <row r="67" spans="1:34" x14ac:dyDescent="0.3">
      <c r="A67" s="15" t="s">
        <v>56</v>
      </c>
      <c r="B67" s="15" t="s">
        <v>57</v>
      </c>
      <c r="C67" s="15" t="s">
        <v>58</v>
      </c>
      <c r="D67" s="15" t="s">
        <v>59</v>
      </c>
      <c r="E67" s="23" t="s">
        <v>84</v>
      </c>
      <c r="F67" s="23" t="s">
        <v>85</v>
      </c>
      <c r="J67" s="3" t="s">
        <v>60</v>
      </c>
      <c r="K67" s="3">
        <f>D68+D69+D70+D71+D72+D73+D74+D75+D77+D76+D78</f>
        <v>44.47999999999999</v>
      </c>
      <c r="L67" t="s">
        <v>86</v>
      </c>
      <c r="M67">
        <f>F68+F69+F70+F71+F72+F73+F74+F75+F76+F77+F78</f>
        <v>16.012800000000002</v>
      </c>
      <c r="Q67" s="29"/>
      <c r="R67" s="29"/>
      <c r="S67" s="29"/>
      <c r="T67" s="29"/>
      <c r="U67" s="29"/>
      <c r="V67" s="29"/>
    </row>
    <row r="68" spans="1:34" x14ac:dyDescent="0.3">
      <c r="A68" s="23">
        <v>1</v>
      </c>
      <c r="B68" s="3">
        <v>0.3</v>
      </c>
      <c r="C68" s="3">
        <v>0.5</v>
      </c>
      <c r="D68" s="3">
        <v>3.73</v>
      </c>
      <c r="E68" s="3">
        <f>K72*D68</f>
        <v>0.5595</v>
      </c>
      <c r="F68" s="3">
        <f>E68*K74</f>
        <v>1.3428</v>
      </c>
      <c r="Q68" s="29"/>
    </row>
    <row r="69" spans="1:34" x14ac:dyDescent="0.3">
      <c r="A69" s="23">
        <v>1</v>
      </c>
      <c r="B69" s="3">
        <v>0.3</v>
      </c>
      <c r="C69" s="3">
        <v>0.5</v>
      </c>
      <c r="D69" s="3">
        <v>4.3499999999999996</v>
      </c>
      <c r="E69" s="3">
        <f>K72*D69</f>
        <v>0.65249999999999997</v>
      </c>
      <c r="F69" s="3">
        <f>E69*K74</f>
        <v>1.5659999999999998</v>
      </c>
      <c r="Q69" s="29"/>
    </row>
    <row r="70" spans="1:34" x14ac:dyDescent="0.3">
      <c r="A70" s="23">
        <v>1</v>
      </c>
      <c r="B70" s="3">
        <v>0.3</v>
      </c>
      <c r="C70" s="3">
        <v>0.5</v>
      </c>
      <c r="D70" s="3">
        <v>3.73</v>
      </c>
      <c r="E70" s="3">
        <f>K72*D70</f>
        <v>0.5595</v>
      </c>
      <c r="F70" s="3">
        <f>E70*K74</f>
        <v>1.3428</v>
      </c>
      <c r="Q70" s="29"/>
    </row>
    <row r="71" spans="1:34" x14ac:dyDescent="0.3">
      <c r="A71" s="23">
        <v>2</v>
      </c>
      <c r="B71" s="3">
        <v>0.3</v>
      </c>
      <c r="C71" s="3">
        <v>0.5</v>
      </c>
      <c r="D71" s="3">
        <v>4.7750000000000004</v>
      </c>
      <c r="E71" s="3">
        <f>K72*D71</f>
        <v>0.71625000000000005</v>
      </c>
      <c r="F71" s="3">
        <f>E71*K74</f>
        <v>1.7190000000000001</v>
      </c>
      <c r="Q71" s="29"/>
    </row>
    <row r="72" spans="1:34" x14ac:dyDescent="0.3">
      <c r="A72" s="23">
        <v>2</v>
      </c>
      <c r="B72" s="3">
        <v>0.3</v>
      </c>
      <c r="C72" s="3">
        <v>0.5</v>
      </c>
      <c r="D72" s="3">
        <v>4.3499999999999996</v>
      </c>
      <c r="E72" s="3">
        <f>K72*D72</f>
        <v>0.65249999999999997</v>
      </c>
      <c r="F72" s="3">
        <f>E72*K74</f>
        <v>1.5659999999999998</v>
      </c>
      <c r="J72" s="23" t="s">
        <v>61</v>
      </c>
      <c r="K72" s="3">
        <f>B70*C70</f>
        <v>0.15</v>
      </c>
      <c r="M72" s="2" t="s">
        <v>87</v>
      </c>
      <c r="N72" s="2"/>
      <c r="O72" s="2">
        <f>L54+M67</f>
        <v>30.070800000000002</v>
      </c>
      <c r="Q72" s="29"/>
    </row>
    <row r="73" spans="1:34" x14ac:dyDescent="0.3">
      <c r="A73" s="23">
        <v>2</v>
      </c>
      <c r="B73" s="3">
        <v>0.3</v>
      </c>
      <c r="C73" s="3">
        <v>0.5</v>
      </c>
      <c r="D73" s="3">
        <v>4.7750000000000004</v>
      </c>
      <c r="E73" s="3">
        <f>K72*D73</f>
        <v>0.71625000000000005</v>
      </c>
      <c r="F73" s="3">
        <f>E73*K74</f>
        <v>1.7190000000000001</v>
      </c>
      <c r="Q73" s="29"/>
      <c r="AG73" s="24" t="s">
        <v>37</v>
      </c>
      <c r="AH73" s="6"/>
    </row>
    <row r="74" spans="1:34" x14ac:dyDescent="0.3">
      <c r="A74" s="23">
        <v>3</v>
      </c>
      <c r="B74" s="3">
        <v>0.3</v>
      </c>
      <c r="C74" s="3">
        <v>0.5</v>
      </c>
      <c r="D74" s="3">
        <v>3.73</v>
      </c>
      <c r="E74" s="3">
        <f>K72*D74</f>
        <v>0.5595</v>
      </c>
      <c r="F74" s="3">
        <f>E74*K74</f>
        <v>1.3428</v>
      </c>
      <c r="J74" s="23" t="s">
        <v>48</v>
      </c>
      <c r="K74" s="3">
        <v>2.4</v>
      </c>
      <c r="AG74" s="24" t="s">
        <v>35</v>
      </c>
      <c r="AH74" s="7">
        <v>282495.13</v>
      </c>
    </row>
    <row r="75" spans="1:34" x14ac:dyDescent="0.3">
      <c r="A75" s="23">
        <v>3</v>
      </c>
      <c r="B75" s="3">
        <v>0.3</v>
      </c>
      <c r="C75" s="3">
        <v>0.5</v>
      </c>
      <c r="D75" s="3">
        <v>4.3499999999999996</v>
      </c>
      <c r="E75" s="3">
        <f>K72*D75</f>
        <v>0.65249999999999997</v>
      </c>
      <c r="F75" s="3">
        <f>E75*K74</f>
        <v>1.5659999999999998</v>
      </c>
      <c r="AG75" s="15" t="s">
        <v>36</v>
      </c>
      <c r="AH75" s="8"/>
    </row>
    <row r="76" spans="1:34" x14ac:dyDescent="0.3">
      <c r="A76" s="23">
        <v>3</v>
      </c>
      <c r="B76" s="3">
        <v>0.3</v>
      </c>
      <c r="C76" s="3">
        <v>0.5</v>
      </c>
      <c r="D76" s="3">
        <v>3.73</v>
      </c>
      <c r="E76" s="3">
        <f>K72*D76</f>
        <v>0.5595</v>
      </c>
      <c r="F76" s="3">
        <f>E76*K74</f>
        <v>1.3428</v>
      </c>
      <c r="AG76" s="25" t="s">
        <v>38</v>
      </c>
      <c r="AH76" s="6"/>
    </row>
    <row r="77" spans="1:34" x14ac:dyDescent="0.3">
      <c r="A77" s="23">
        <v>4</v>
      </c>
      <c r="B77" s="3">
        <v>0.3</v>
      </c>
      <c r="C77" s="3">
        <v>0.5</v>
      </c>
      <c r="D77" s="3">
        <v>3.73</v>
      </c>
      <c r="E77" s="3">
        <f>K72*D77</f>
        <v>0.5595</v>
      </c>
      <c r="F77" s="3">
        <f>E77*K74</f>
        <v>1.3428</v>
      </c>
      <c r="I77" s="48"/>
      <c r="J77" s="49" t="s">
        <v>228</v>
      </c>
      <c r="K77" s="49">
        <f>J54+K67-4.35</f>
        <v>79.179999999999978</v>
      </c>
      <c r="L77" s="50"/>
      <c r="AG77" s="24" t="s">
        <v>39</v>
      </c>
      <c r="AH77" s="7">
        <v>112998.05</v>
      </c>
    </row>
    <row r="78" spans="1:34" x14ac:dyDescent="0.3">
      <c r="A78" s="23">
        <v>4</v>
      </c>
      <c r="B78" s="3">
        <v>0.3</v>
      </c>
      <c r="C78" s="3">
        <v>0.5</v>
      </c>
      <c r="D78" s="3">
        <v>3.23</v>
      </c>
      <c r="E78" s="3">
        <f>K72*D78</f>
        <v>0.48449999999999999</v>
      </c>
      <c r="F78" s="3">
        <f>E78*K74</f>
        <v>1.1627999999999998</v>
      </c>
      <c r="R78" s="29"/>
      <c r="W78">
        <f>V60+V74</f>
        <v>0</v>
      </c>
      <c r="AG78" s="15" t="s">
        <v>40</v>
      </c>
      <c r="AH78" s="8"/>
    </row>
    <row r="79" spans="1:34" x14ac:dyDescent="0.3">
      <c r="A79" s="23"/>
      <c r="B79" s="3"/>
      <c r="C79" s="3"/>
      <c r="D79" s="3"/>
      <c r="E79" s="3"/>
      <c r="F79" s="3"/>
    </row>
    <row r="80" spans="1:34" x14ac:dyDescent="0.3">
      <c r="R80" s="29"/>
      <c r="AD80" s="28" t="s">
        <v>17</v>
      </c>
      <c r="AE80" s="1"/>
      <c r="AH80" s="35"/>
    </row>
    <row r="81" spans="1:34" x14ac:dyDescent="0.3">
      <c r="AD81" s="23" t="s">
        <v>18</v>
      </c>
      <c r="AE81" s="3">
        <v>180</v>
      </c>
      <c r="AH81" s="35"/>
    </row>
    <row r="82" spans="1:34" x14ac:dyDescent="0.3">
      <c r="AD82" s="23" t="s">
        <v>19</v>
      </c>
      <c r="AE82" s="3">
        <v>0.3</v>
      </c>
    </row>
    <row r="83" spans="1:34" x14ac:dyDescent="0.3">
      <c r="A83" s="9"/>
      <c r="B83" s="30" t="s">
        <v>63</v>
      </c>
      <c r="C83" s="10"/>
      <c r="D83" s="11"/>
      <c r="R83" s="29"/>
      <c r="AD83" s="23" t="s">
        <v>20</v>
      </c>
      <c r="AE83" s="3">
        <v>1.5</v>
      </c>
    </row>
    <row r="84" spans="1:34" x14ac:dyDescent="0.3">
      <c r="AD84" s="23" t="s">
        <v>21</v>
      </c>
      <c r="AE84" s="3">
        <v>1.2</v>
      </c>
    </row>
    <row r="85" spans="1:34" x14ac:dyDescent="0.3">
      <c r="AD85" s="23" t="s">
        <v>22</v>
      </c>
      <c r="AE85" s="3">
        <f>AE83*AE82</f>
        <v>0.44999999999999996</v>
      </c>
    </row>
    <row r="86" spans="1:34" x14ac:dyDescent="0.3">
      <c r="A86" s="14" t="s">
        <v>64</v>
      </c>
      <c r="B86" s="14" t="s">
        <v>65</v>
      </c>
      <c r="C86" s="14" t="s">
        <v>66</v>
      </c>
      <c r="D86" s="14" t="s">
        <v>67</v>
      </c>
      <c r="F86" s="3" t="s">
        <v>68</v>
      </c>
      <c r="G86" s="3">
        <f>D87+D88+D89+D90+D91+D92+D93</f>
        <v>151.02500000000001</v>
      </c>
      <c r="AD86" s="23" t="s">
        <v>23</v>
      </c>
      <c r="AE86" s="3">
        <f>AE84*AE82</f>
        <v>0.36</v>
      </c>
      <c r="AH86" s="35"/>
    </row>
    <row r="87" spans="1:34" x14ac:dyDescent="0.3">
      <c r="A87" s="3">
        <v>1</v>
      </c>
      <c r="B87" s="3">
        <v>4.5</v>
      </c>
      <c r="C87" s="3">
        <v>5</v>
      </c>
      <c r="D87" s="3">
        <f>B87*C87</f>
        <v>22.5</v>
      </c>
      <c r="AD87" s="28" t="s">
        <v>24</v>
      </c>
      <c r="AE87" s="1"/>
    </row>
    <row r="88" spans="1:34" x14ac:dyDescent="0.3">
      <c r="A88" s="3">
        <v>2</v>
      </c>
      <c r="B88" s="3">
        <v>4.5</v>
      </c>
      <c r="C88" s="3">
        <v>5</v>
      </c>
      <c r="D88" s="3">
        <f t="shared" ref="D88:D93" si="3">B88*C88</f>
        <v>22.5</v>
      </c>
      <c r="AD88" s="23" t="s">
        <v>25</v>
      </c>
      <c r="AE88" s="3">
        <v>1.75</v>
      </c>
    </row>
    <row r="89" spans="1:34" x14ac:dyDescent="0.3">
      <c r="A89" s="3">
        <v>3</v>
      </c>
      <c r="B89" s="3">
        <v>5</v>
      </c>
      <c r="C89" s="3">
        <v>5</v>
      </c>
      <c r="D89" s="3">
        <f t="shared" si="3"/>
        <v>25</v>
      </c>
      <c r="F89" s="3" t="s">
        <v>69</v>
      </c>
      <c r="G89" s="3">
        <v>0.13</v>
      </c>
      <c r="AD89" s="23" t="s">
        <v>26</v>
      </c>
      <c r="AE89" s="3">
        <v>1.75</v>
      </c>
    </row>
    <row r="90" spans="1:34" x14ac:dyDescent="0.3">
      <c r="A90" s="3">
        <v>4</v>
      </c>
      <c r="B90" s="3">
        <v>2.95</v>
      </c>
      <c r="C90" s="3">
        <v>4.5</v>
      </c>
      <c r="D90" s="3">
        <f t="shared" si="3"/>
        <v>13.275</v>
      </c>
      <c r="AD90" s="23" t="s">
        <v>27</v>
      </c>
      <c r="AE90" s="3">
        <v>4.3499999999999996</v>
      </c>
    </row>
    <row r="91" spans="1:34" x14ac:dyDescent="0.3">
      <c r="A91" s="3">
        <v>4</v>
      </c>
      <c r="B91" s="3">
        <v>5</v>
      </c>
      <c r="C91" s="3">
        <v>5</v>
      </c>
      <c r="D91" s="3">
        <f t="shared" si="3"/>
        <v>25</v>
      </c>
      <c r="AD91" s="23" t="s">
        <v>28</v>
      </c>
      <c r="AE91" s="3">
        <v>0.3</v>
      </c>
    </row>
    <row r="92" spans="1:34" x14ac:dyDescent="0.3">
      <c r="A92" s="3">
        <v>4</v>
      </c>
      <c r="B92" s="3">
        <v>4.5</v>
      </c>
      <c r="C92" s="3">
        <v>5</v>
      </c>
      <c r="D92" s="3">
        <f t="shared" si="3"/>
        <v>22.5</v>
      </c>
      <c r="AD92" s="23" t="s">
        <v>29</v>
      </c>
      <c r="AE92" s="3">
        <f>(AE88+AE89+AE90)*AE91</f>
        <v>2.355</v>
      </c>
    </row>
    <row r="93" spans="1:34" x14ac:dyDescent="0.3">
      <c r="A93" s="3">
        <v>4</v>
      </c>
      <c r="B93" s="3">
        <v>4.5</v>
      </c>
      <c r="C93" s="3">
        <v>4.5</v>
      </c>
      <c r="D93" s="3">
        <f t="shared" si="3"/>
        <v>20.25</v>
      </c>
    </row>
    <row r="94" spans="1:34" x14ac:dyDescent="0.3">
      <c r="AD94" t="s">
        <v>111</v>
      </c>
    </row>
    <row r="95" spans="1:34" x14ac:dyDescent="0.3">
      <c r="AG95" s="75" t="s">
        <v>117</v>
      </c>
      <c r="AH95" s="75"/>
    </row>
    <row r="96" spans="1:34" x14ac:dyDescent="0.3">
      <c r="AD96" s="3" t="s">
        <v>112</v>
      </c>
      <c r="AE96" s="3">
        <v>282495.13</v>
      </c>
      <c r="AG96" s="3" t="s">
        <v>114</v>
      </c>
      <c r="AH96" s="3">
        <v>150</v>
      </c>
    </row>
    <row r="97" spans="1:53" x14ac:dyDescent="0.3">
      <c r="AD97" s="3" t="s">
        <v>113</v>
      </c>
      <c r="AE97" s="3">
        <v>112998.05</v>
      </c>
      <c r="AG97" s="3" t="s">
        <v>115</v>
      </c>
      <c r="AH97" s="3">
        <v>150</v>
      </c>
    </row>
    <row r="98" spans="1:53" x14ac:dyDescent="0.3">
      <c r="A98" s="20" t="s">
        <v>7</v>
      </c>
      <c r="B98" s="21" t="s">
        <v>8</v>
      </c>
      <c r="C98" s="21" t="s">
        <v>9</v>
      </c>
      <c r="D98" s="21" t="s">
        <v>10</v>
      </c>
      <c r="E98" s="20" t="s">
        <v>11</v>
      </c>
      <c r="Q98" s="29"/>
      <c r="R98" s="54"/>
      <c r="S98" s="54"/>
      <c r="T98" s="54"/>
      <c r="U98" s="29"/>
      <c r="AG98" s="3" t="s">
        <v>116</v>
      </c>
      <c r="AH98" s="3">
        <v>30</v>
      </c>
    </row>
    <row r="99" spans="1:53" x14ac:dyDescent="0.3">
      <c r="A99" s="23" t="s">
        <v>0</v>
      </c>
      <c r="B99" s="3">
        <v>250</v>
      </c>
      <c r="C99" s="3">
        <v>175</v>
      </c>
      <c r="D99" s="3">
        <v>125</v>
      </c>
      <c r="E99" s="3">
        <v>275</v>
      </c>
      <c r="Q99" s="29"/>
    </row>
    <row r="100" spans="1:53" x14ac:dyDescent="0.3">
      <c r="A100" s="20" t="s">
        <v>70</v>
      </c>
      <c r="B100" s="21" t="s">
        <v>8</v>
      </c>
      <c r="C100" s="21" t="s">
        <v>9</v>
      </c>
      <c r="D100" s="21" t="s">
        <v>10</v>
      </c>
      <c r="E100" s="20" t="s">
        <v>11</v>
      </c>
      <c r="Q100" s="29"/>
      <c r="R100" s="54"/>
      <c r="S100" s="54"/>
      <c r="T100" s="54"/>
      <c r="U100" s="29"/>
      <c r="AD100" t="s">
        <v>24</v>
      </c>
    </row>
    <row r="101" spans="1:53" x14ac:dyDescent="0.3">
      <c r="A101" s="23" t="s">
        <v>0</v>
      </c>
      <c r="B101" s="3">
        <f>B99/1000</f>
        <v>0.25</v>
      </c>
      <c r="C101" s="3">
        <f>C99/1000</f>
        <v>0.17499999999999999</v>
      </c>
      <c r="D101" s="3">
        <f>D99/1000</f>
        <v>0.125</v>
      </c>
      <c r="E101" s="3">
        <f>E99/1000</f>
        <v>0.27500000000000002</v>
      </c>
      <c r="Q101" s="29"/>
      <c r="AD101" s="3" t="s">
        <v>237</v>
      </c>
      <c r="AE101" s="3">
        <v>435</v>
      </c>
    </row>
    <row r="102" spans="1:53" x14ac:dyDescent="0.3">
      <c r="AD102" s="3" t="s">
        <v>118</v>
      </c>
      <c r="AE102" s="3">
        <v>175</v>
      </c>
      <c r="AG102" s="34" t="s">
        <v>224</v>
      </c>
      <c r="AH102" s="43">
        <v>416716.64490000001</v>
      </c>
    </row>
    <row r="103" spans="1:53" x14ac:dyDescent="0.3">
      <c r="D103" s="23" t="s">
        <v>48</v>
      </c>
      <c r="E103" s="3">
        <v>2.4</v>
      </c>
      <c r="T103" s="29"/>
      <c r="AD103" s="3" t="s">
        <v>119</v>
      </c>
      <c r="AE103" s="3">
        <v>175</v>
      </c>
    </row>
    <row r="104" spans="1:53" x14ac:dyDescent="0.3">
      <c r="AD104" s="3" t="s">
        <v>116</v>
      </c>
      <c r="AE104" s="3">
        <v>30</v>
      </c>
    </row>
    <row r="105" spans="1:53" x14ac:dyDescent="0.3">
      <c r="A105" s="23" t="s">
        <v>71</v>
      </c>
      <c r="B105" s="3">
        <f>E103*G86*G89</f>
        <v>47.119799999999998</v>
      </c>
      <c r="Q105" s="29"/>
      <c r="AD105" s="3"/>
      <c r="AE105" s="3"/>
    </row>
    <row r="106" spans="1:53" x14ac:dyDescent="0.3">
      <c r="A106" s="23" t="s">
        <v>72</v>
      </c>
      <c r="B106" s="3">
        <f>G86*C101</f>
        <v>26.429375</v>
      </c>
      <c r="Q106" s="29"/>
    </row>
    <row r="107" spans="1:53" x14ac:dyDescent="0.3">
      <c r="A107" s="23" t="s">
        <v>73</v>
      </c>
      <c r="B107" s="3">
        <f>D101*G86</f>
        <v>18.878125000000001</v>
      </c>
      <c r="D107" s="3" t="s">
        <v>225</v>
      </c>
      <c r="E107" s="3">
        <v>79.19</v>
      </c>
      <c r="Q107" s="29"/>
    </row>
    <row r="108" spans="1:53" x14ac:dyDescent="0.3">
      <c r="A108" s="23" t="s">
        <v>74</v>
      </c>
      <c r="B108" s="3">
        <f>G86*E101</f>
        <v>41.531875000000007</v>
      </c>
      <c r="D108" s="3" t="s">
        <v>81</v>
      </c>
      <c r="E108" s="3">
        <v>3.75</v>
      </c>
      <c r="Q108" s="29"/>
    </row>
    <row r="109" spans="1:53" x14ac:dyDescent="0.3">
      <c r="A109" s="23" t="s">
        <v>75</v>
      </c>
      <c r="B109" s="3">
        <f>B101*G86</f>
        <v>37.756250000000001</v>
      </c>
      <c r="D109" s="3" t="s">
        <v>82</v>
      </c>
      <c r="E109" s="3">
        <v>0.18</v>
      </c>
      <c r="Q109" s="29"/>
    </row>
    <row r="110" spans="1:53" x14ac:dyDescent="0.3">
      <c r="A110" s="23" t="s">
        <v>76</v>
      </c>
      <c r="B110" s="3">
        <f>B105+B106+B107+B108+0.25*B109</f>
        <v>143.39823749999999</v>
      </c>
      <c r="D110" s="3"/>
      <c r="E110" s="3"/>
      <c r="Q110" s="29"/>
    </row>
    <row r="111" spans="1:53" x14ac:dyDescent="0.3">
      <c r="A111" s="23"/>
      <c r="B111" s="3"/>
      <c r="D111" s="3" t="s">
        <v>83</v>
      </c>
      <c r="E111" s="3">
        <f>E107+E108+E109</f>
        <v>83.12</v>
      </c>
      <c r="Q111" s="29"/>
      <c r="AD111" s="80" t="s">
        <v>244</v>
      </c>
      <c r="AE111" s="80"/>
      <c r="AF111" s="80"/>
      <c r="AG111" s="80"/>
      <c r="AH111" s="80"/>
      <c r="AI111" s="80"/>
      <c r="AJ111" s="80"/>
      <c r="AK111" s="80"/>
      <c r="AT111" s="75" t="s">
        <v>245</v>
      </c>
      <c r="AU111" s="75"/>
      <c r="AV111" s="75"/>
      <c r="AW111" s="75"/>
      <c r="AX111" s="75"/>
      <c r="AY111" s="75"/>
      <c r="AZ111" s="75"/>
      <c r="BA111" s="75"/>
    </row>
    <row r="112" spans="1:53" x14ac:dyDescent="0.3">
      <c r="A112" s="23" t="s">
        <v>77</v>
      </c>
      <c r="B112" s="3">
        <f>B105+B106+B107+B108</f>
        <v>133.95917499999999</v>
      </c>
      <c r="Q112" s="29"/>
      <c r="AD112" s="3" t="s">
        <v>120</v>
      </c>
      <c r="AE112" s="3" t="s">
        <v>121</v>
      </c>
      <c r="AF112" s="3" t="s">
        <v>122</v>
      </c>
      <c r="AG112" s="3" t="s">
        <v>123</v>
      </c>
      <c r="AH112" s="3" t="s">
        <v>124</v>
      </c>
      <c r="AI112" s="3" t="s">
        <v>125</v>
      </c>
      <c r="AJ112" s="3" t="s">
        <v>126</v>
      </c>
      <c r="AK112" s="3" t="s">
        <v>127</v>
      </c>
      <c r="AT112" s="3" t="s">
        <v>120</v>
      </c>
      <c r="AU112" s="3" t="s">
        <v>121</v>
      </c>
      <c r="AV112" s="3" t="s">
        <v>122</v>
      </c>
      <c r="AW112" s="3" t="s">
        <v>123</v>
      </c>
      <c r="AX112" s="3" t="s">
        <v>124</v>
      </c>
      <c r="AY112" s="3" t="s">
        <v>125</v>
      </c>
      <c r="AZ112" s="3" t="s">
        <v>126</v>
      </c>
      <c r="BA112" s="3" t="s">
        <v>127</v>
      </c>
    </row>
    <row r="113" spans="1:53" x14ac:dyDescent="0.3">
      <c r="A113" s="23" t="s">
        <v>78</v>
      </c>
      <c r="B113" s="3">
        <f>B105+B106+B107+B108+B109</f>
        <v>171.71542499999998</v>
      </c>
      <c r="Q113" s="29"/>
      <c r="AD113" s="3" t="s">
        <v>53</v>
      </c>
      <c r="AE113" s="3" t="s">
        <v>238</v>
      </c>
      <c r="AF113" s="3">
        <v>3</v>
      </c>
      <c r="AG113" s="3" t="s">
        <v>130</v>
      </c>
      <c r="AH113" s="3">
        <v>30</v>
      </c>
      <c r="AI113" s="3">
        <v>150</v>
      </c>
      <c r="AJ113" s="3">
        <f>(AH113*AI113^3)/12</f>
        <v>8437500</v>
      </c>
      <c r="AK113" s="3">
        <f>AH113*AI113</f>
        <v>4500</v>
      </c>
      <c r="AT113" s="3">
        <v>1</v>
      </c>
      <c r="AU113" s="3" t="s">
        <v>238</v>
      </c>
      <c r="AV113" s="3">
        <v>3</v>
      </c>
      <c r="AW113" s="3" t="s">
        <v>130</v>
      </c>
      <c r="AX113" s="3">
        <v>30</v>
      </c>
      <c r="AY113" s="3">
        <v>150</v>
      </c>
      <c r="AZ113" s="3">
        <f>(AX113*AY113^3)/12</f>
        <v>8437500</v>
      </c>
      <c r="BA113" s="3">
        <f>AX113*AY113</f>
        <v>4500</v>
      </c>
    </row>
    <row r="114" spans="1:53" x14ac:dyDescent="0.3">
      <c r="C114" s="51"/>
      <c r="D114" s="51" t="s">
        <v>88</v>
      </c>
      <c r="E114" s="51"/>
      <c r="F114" s="51">
        <f>E111+O72+B110+F46</f>
        <v>337.72403750000001</v>
      </c>
      <c r="AD114" s="3" t="s">
        <v>53</v>
      </c>
      <c r="AE114" s="3" t="s">
        <v>129</v>
      </c>
      <c r="AF114" s="3">
        <v>3</v>
      </c>
      <c r="AG114" s="3" t="s">
        <v>130</v>
      </c>
      <c r="AH114" s="3">
        <v>45</v>
      </c>
      <c r="AI114" s="3">
        <v>45</v>
      </c>
      <c r="AJ114" s="3">
        <f t="shared" ref="AJ114:AJ129" si="4">(AH114*AI114^3)/12</f>
        <v>341718.75</v>
      </c>
      <c r="AK114" s="3">
        <f t="shared" ref="AK114:AK120" si="5">AH114*AI114</f>
        <v>2025</v>
      </c>
      <c r="AT114" s="3">
        <v>1</v>
      </c>
      <c r="AU114" s="3" t="s">
        <v>129</v>
      </c>
      <c r="AV114" s="3">
        <v>3</v>
      </c>
      <c r="AW114" s="3" t="s">
        <v>130</v>
      </c>
      <c r="AX114" s="3">
        <v>45</v>
      </c>
      <c r="AY114" s="3">
        <v>45</v>
      </c>
      <c r="AZ114" s="3">
        <f t="shared" ref="AZ114:AZ121" si="6">(AX114*AY114^3)/12</f>
        <v>341718.75</v>
      </c>
      <c r="BA114" s="3">
        <f t="shared" ref="BA114:BA121" si="7">AX114*AY114</f>
        <v>2025</v>
      </c>
    </row>
    <row r="115" spans="1:53" x14ac:dyDescent="0.3">
      <c r="AD115" s="3" t="s">
        <v>53</v>
      </c>
      <c r="AE115" s="3" t="s">
        <v>238</v>
      </c>
      <c r="AF115" s="3">
        <v>3</v>
      </c>
      <c r="AG115" s="3" t="s">
        <v>130</v>
      </c>
      <c r="AH115" s="3">
        <v>30</v>
      </c>
      <c r="AI115" s="3">
        <v>150</v>
      </c>
      <c r="AJ115" s="3">
        <f t="shared" si="4"/>
        <v>8437500</v>
      </c>
      <c r="AK115" s="3">
        <f t="shared" si="5"/>
        <v>4500</v>
      </c>
      <c r="AT115" s="3">
        <v>1</v>
      </c>
      <c r="AU115" s="3" t="s">
        <v>128</v>
      </c>
      <c r="AV115" s="3">
        <v>3</v>
      </c>
      <c r="AW115" s="3" t="s">
        <v>130</v>
      </c>
      <c r="AX115" s="3">
        <v>45</v>
      </c>
      <c r="AY115" s="3">
        <v>45</v>
      </c>
      <c r="AZ115" s="3">
        <f>(AX115*AY115^3)/12</f>
        <v>341718.75</v>
      </c>
      <c r="BA115" s="3">
        <f>AX115*AY115</f>
        <v>2025</v>
      </c>
    </row>
    <row r="116" spans="1:53" x14ac:dyDescent="0.3">
      <c r="AD116" s="3" t="s">
        <v>53</v>
      </c>
      <c r="AE116" s="3" t="s">
        <v>238</v>
      </c>
      <c r="AF116" s="3">
        <v>3</v>
      </c>
      <c r="AG116" s="3" t="s">
        <v>130</v>
      </c>
      <c r="AH116" s="3">
        <v>30</v>
      </c>
      <c r="AI116" s="3">
        <v>150</v>
      </c>
      <c r="AJ116" s="3">
        <f t="shared" si="4"/>
        <v>8437500</v>
      </c>
      <c r="AK116" s="3">
        <f t="shared" si="5"/>
        <v>4500</v>
      </c>
      <c r="AT116" s="3">
        <v>1</v>
      </c>
      <c r="AU116" s="3" t="s">
        <v>238</v>
      </c>
      <c r="AV116" s="3">
        <v>3</v>
      </c>
      <c r="AW116" s="3" t="s">
        <v>130</v>
      </c>
      <c r="AX116" s="3">
        <v>30</v>
      </c>
      <c r="AY116" s="3">
        <v>150</v>
      </c>
      <c r="AZ116" s="3">
        <f>(AX116*AY116^3)/12</f>
        <v>8437500</v>
      </c>
      <c r="BA116" s="3">
        <f>AX116*AY116</f>
        <v>4500</v>
      </c>
    </row>
    <row r="117" spans="1:53" x14ac:dyDescent="0.3">
      <c r="AD117" s="3" t="s">
        <v>54</v>
      </c>
      <c r="AE117" s="3" t="s">
        <v>129</v>
      </c>
      <c r="AF117" s="3">
        <v>3</v>
      </c>
      <c r="AG117" s="3" t="s">
        <v>130</v>
      </c>
      <c r="AH117" s="3">
        <v>45</v>
      </c>
      <c r="AI117" s="3">
        <v>45</v>
      </c>
      <c r="AJ117" s="3">
        <f t="shared" si="4"/>
        <v>341718.75</v>
      </c>
      <c r="AK117" s="3">
        <f t="shared" si="5"/>
        <v>2025</v>
      </c>
      <c r="AT117" s="3">
        <v>2</v>
      </c>
      <c r="AU117" s="3" t="s">
        <v>129</v>
      </c>
      <c r="AV117" s="3">
        <v>3</v>
      </c>
      <c r="AW117" s="3" t="s">
        <v>130</v>
      </c>
      <c r="AX117" s="3">
        <v>45</v>
      </c>
      <c r="AY117" s="3">
        <v>45</v>
      </c>
      <c r="AZ117" s="3">
        <f>(AX117*AY117^3)/12</f>
        <v>341718.75</v>
      </c>
      <c r="BA117" s="3">
        <f>AX117*AY117</f>
        <v>2025</v>
      </c>
    </row>
    <row r="118" spans="1:53" x14ac:dyDescent="0.3">
      <c r="AD118" s="3" t="s">
        <v>54</v>
      </c>
      <c r="AE118" s="3" t="s">
        <v>129</v>
      </c>
      <c r="AF118" s="3">
        <v>3</v>
      </c>
      <c r="AG118" s="3" t="s">
        <v>130</v>
      </c>
      <c r="AH118" s="3">
        <v>45</v>
      </c>
      <c r="AI118" s="3">
        <v>45</v>
      </c>
      <c r="AJ118" s="3">
        <f t="shared" si="4"/>
        <v>341718.75</v>
      </c>
      <c r="AK118" s="3">
        <f t="shared" si="5"/>
        <v>2025</v>
      </c>
      <c r="AT118" s="3">
        <v>2</v>
      </c>
      <c r="AU118" s="3" t="s">
        <v>129</v>
      </c>
      <c r="AV118" s="3">
        <v>3</v>
      </c>
      <c r="AW118" s="3" t="s">
        <v>130</v>
      </c>
      <c r="AX118" s="3">
        <v>45</v>
      </c>
      <c r="AY118" s="3">
        <v>45</v>
      </c>
      <c r="AZ118" s="3">
        <f>(AX118*AY118^3)/12</f>
        <v>341718.75</v>
      </c>
      <c r="BA118" s="3">
        <f>AX118*AY118</f>
        <v>2025</v>
      </c>
    </row>
    <row r="119" spans="1:53" x14ac:dyDescent="0.3">
      <c r="AD119" s="3" t="s">
        <v>54</v>
      </c>
      <c r="AE119" s="3" t="s">
        <v>239</v>
      </c>
      <c r="AF119" s="3">
        <v>3</v>
      </c>
      <c r="AG119" s="3" t="s">
        <v>130</v>
      </c>
      <c r="AH119" s="3">
        <v>30</v>
      </c>
      <c r="AI119" s="3">
        <v>175</v>
      </c>
      <c r="AJ119" s="3">
        <f t="shared" si="4"/>
        <v>13398437.5</v>
      </c>
      <c r="AK119" s="3">
        <f t="shared" si="5"/>
        <v>5250</v>
      </c>
      <c r="AT119" s="3">
        <v>2</v>
      </c>
      <c r="AU119" s="3" t="s">
        <v>242</v>
      </c>
      <c r="AV119" s="3">
        <v>3</v>
      </c>
      <c r="AW119" s="3" t="s">
        <v>130</v>
      </c>
      <c r="AX119" s="3">
        <v>30</v>
      </c>
      <c r="AY119" s="3">
        <v>435</v>
      </c>
      <c r="AZ119" s="3">
        <f t="shared" si="6"/>
        <v>205782187.5</v>
      </c>
      <c r="BA119" s="3">
        <f t="shared" si="7"/>
        <v>13050</v>
      </c>
    </row>
    <row r="120" spans="1:53" x14ac:dyDescent="0.3">
      <c r="AD120" s="3" t="s">
        <v>54</v>
      </c>
      <c r="AE120" s="3" t="s">
        <v>128</v>
      </c>
      <c r="AF120" s="3">
        <v>3</v>
      </c>
      <c r="AG120" s="3" t="s">
        <v>130</v>
      </c>
      <c r="AH120" s="3">
        <v>45</v>
      </c>
      <c r="AI120" s="3">
        <v>45</v>
      </c>
      <c r="AJ120" s="3">
        <f t="shared" si="4"/>
        <v>341718.75</v>
      </c>
      <c r="AK120" s="3">
        <f t="shared" si="5"/>
        <v>2025</v>
      </c>
      <c r="AT120" s="3">
        <v>2</v>
      </c>
      <c r="AU120" s="3" t="s">
        <v>129</v>
      </c>
      <c r="AV120" s="3">
        <v>3</v>
      </c>
      <c r="AW120" s="3" t="s">
        <v>130</v>
      </c>
      <c r="AX120" s="3">
        <v>45</v>
      </c>
      <c r="AY120" s="3">
        <v>45</v>
      </c>
      <c r="AZ120" s="3">
        <f t="shared" si="6"/>
        <v>341718.75</v>
      </c>
      <c r="BA120" s="3">
        <f t="shared" si="7"/>
        <v>2025</v>
      </c>
    </row>
    <row r="121" spans="1:53" x14ac:dyDescent="0.3">
      <c r="AD121" s="3" t="s">
        <v>54</v>
      </c>
      <c r="AE121" s="3" t="s">
        <v>128</v>
      </c>
      <c r="AF121" s="3">
        <v>3</v>
      </c>
      <c r="AG121" s="3" t="s">
        <v>130</v>
      </c>
      <c r="AH121" s="3">
        <v>45</v>
      </c>
      <c r="AI121" s="3">
        <v>45</v>
      </c>
      <c r="AJ121" s="3">
        <f t="shared" si="4"/>
        <v>341718.75</v>
      </c>
      <c r="AK121" s="3">
        <f t="shared" ref="AK121" si="8">AH121*AI121</f>
        <v>2025</v>
      </c>
      <c r="AT121" s="3">
        <v>2</v>
      </c>
      <c r="AU121" s="3" t="s">
        <v>129</v>
      </c>
      <c r="AV121" s="3">
        <v>3</v>
      </c>
      <c r="AW121" s="3" t="s">
        <v>130</v>
      </c>
      <c r="AX121" s="3">
        <v>45</v>
      </c>
      <c r="AY121" s="3">
        <v>45</v>
      </c>
      <c r="AZ121" s="3">
        <f t="shared" si="6"/>
        <v>341718.75</v>
      </c>
      <c r="BA121" s="3">
        <f t="shared" si="7"/>
        <v>2025</v>
      </c>
    </row>
    <row r="122" spans="1:53" x14ac:dyDescent="0.3">
      <c r="A122" s="31"/>
      <c r="B122" s="31"/>
      <c r="C122" s="32" t="s">
        <v>89</v>
      </c>
      <c r="D122" s="31"/>
      <c r="E122" s="31"/>
      <c r="F122" s="31"/>
      <c r="S122" s="29"/>
      <c r="AD122" s="3" t="s">
        <v>55</v>
      </c>
      <c r="AE122" s="3" t="s">
        <v>128</v>
      </c>
      <c r="AF122" s="3">
        <v>3</v>
      </c>
      <c r="AG122" s="3" t="s">
        <v>130</v>
      </c>
      <c r="AH122" s="3">
        <v>45</v>
      </c>
      <c r="AI122" s="3">
        <v>45</v>
      </c>
      <c r="AJ122" s="3">
        <f t="shared" si="4"/>
        <v>341718.75</v>
      </c>
      <c r="AK122" s="3">
        <f t="shared" ref="AK122:AK129" si="9">AH122*AI122</f>
        <v>2025</v>
      </c>
      <c r="AT122" s="3">
        <v>3</v>
      </c>
      <c r="AU122" s="3" t="s">
        <v>243</v>
      </c>
      <c r="AV122" s="3">
        <v>4</v>
      </c>
      <c r="AW122" s="3" t="s">
        <v>130</v>
      </c>
      <c r="AX122" s="3">
        <v>30</v>
      </c>
      <c r="AY122" s="3">
        <v>150</v>
      </c>
      <c r="AZ122" s="3">
        <f t="shared" ref="AZ122:AZ128" si="10">(AX122*AY122^3)/12</f>
        <v>8437500</v>
      </c>
      <c r="BA122" s="3">
        <f t="shared" ref="BA122:BA128" si="11">AX122*AY122</f>
        <v>4500</v>
      </c>
    </row>
    <row r="123" spans="1:53" x14ac:dyDescent="0.3">
      <c r="AD123" s="3" t="s">
        <v>55</v>
      </c>
      <c r="AE123" s="3" t="s">
        <v>128</v>
      </c>
      <c r="AF123" s="3">
        <v>3</v>
      </c>
      <c r="AG123" s="3" t="s">
        <v>130</v>
      </c>
      <c r="AH123" s="3">
        <v>45</v>
      </c>
      <c r="AI123" s="3">
        <v>45</v>
      </c>
      <c r="AJ123" s="3">
        <f t="shared" si="4"/>
        <v>341718.75</v>
      </c>
      <c r="AK123" s="3">
        <f t="shared" si="9"/>
        <v>2025</v>
      </c>
      <c r="AT123" s="3">
        <v>3</v>
      </c>
      <c r="AU123" s="3" t="s">
        <v>129</v>
      </c>
      <c r="AV123" s="3">
        <v>5</v>
      </c>
      <c r="AW123" s="3" t="s">
        <v>130</v>
      </c>
      <c r="AX123" s="3">
        <v>45</v>
      </c>
      <c r="AY123" s="3">
        <v>45</v>
      </c>
      <c r="AZ123" s="3">
        <f t="shared" si="10"/>
        <v>341718.75</v>
      </c>
      <c r="BA123" s="3">
        <f t="shared" si="11"/>
        <v>2025</v>
      </c>
    </row>
    <row r="124" spans="1:53" x14ac:dyDescent="0.3">
      <c r="AD124" s="3" t="s">
        <v>55</v>
      </c>
      <c r="AE124" s="3" t="s">
        <v>240</v>
      </c>
      <c r="AF124" s="3">
        <v>3</v>
      </c>
      <c r="AG124" s="3" t="s">
        <v>130</v>
      </c>
      <c r="AH124" s="3">
        <v>30</v>
      </c>
      <c r="AI124" s="3">
        <v>175</v>
      </c>
      <c r="AJ124" s="3">
        <f t="shared" si="4"/>
        <v>13398437.5</v>
      </c>
      <c r="AK124" s="3">
        <f t="shared" si="9"/>
        <v>5250</v>
      </c>
      <c r="AT124" s="3">
        <v>3</v>
      </c>
      <c r="AU124" s="3" t="s">
        <v>129</v>
      </c>
      <c r="AV124" s="3">
        <v>6</v>
      </c>
      <c r="AW124" s="3" t="s">
        <v>130</v>
      </c>
      <c r="AX124" s="3">
        <v>45</v>
      </c>
      <c r="AY124" s="3">
        <v>45</v>
      </c>
      <c r="AZ124" s="3">
        <f t="shared" si="10"/>
        <v>341718.75</v>
      </c>
      <c r="BA124" s="3">
        <f t="shared" si="11"/>
        <v>2025</v>
      </c>
    </row>
    <row r="125" spans="1:53" x14ac:dyDescent="0.3">
      <c r="AD125" s="3" t="s">
        <v>55</v>
      </c>
      <c r="AE125" s="3" t="s">
        <v>128</v>
      </c>
      <c r="AF125" s="3">
        <v>3</v>
      </c>
      <c r="AG125" s="3" t="s">
        <v>130</v>
      </c>
      <c r="AH125" s="3">
        <v>45</v>
      </c>
      <c r="AI125" s="3">
        <v>45</v>
      </c>
      <c r="AJ125" s="3">
        <f t="shared" si="4"/>
        <v>341718.75</v>
      </c>
      <c r="AK125" s="3">
        <f t="shared" si="9"/>
        <v>2025</v>
      </c>
      <c r="AT125" s="3">
        <v>3</v>
      </c>
      <c r="AU125" s="3" t="s">
        <v>238</v>
      </c>
      <c r="AV125" s="3">
        <v>7</v>
      </c>
      <c r="AW125" s="3" t="s">
        <v>130</v>
      </c>
      <c r="AX125" s="3">
        <v>30</v>
      </c>
      <c r="AY125" s="3">
        <v>150</v>
      </c>
      <c r="AZ125" s="3">
        <f t="shared" si="10"/>
        <v>8437500</v>
      </c>
      <c r="BA125" s="3">
        <f t="shared" si="11"/>
        <v>4500</v>
      </c>
    </row>
    <row r="126" spans="1:53" x14ac:dyDescent="0.3">
      <c r="A126" s="20" t="s">
        <v>44</v>
      </c>
      <c r="B126" s="20" t="s">
        <v>29</v>
      </c>
      <c r="C126" s="20" t="s">
        <v>5</v>
      </c>
      <c r="D126" s="20" t="s">
        <v>48</v>
      </c>
      <c r="E126" s="20" t="s">
        <v>49</v>
      </c>
      <c r="F126" s="21" t="s">
        <v>50</v>
      </c>
      <c r="AD126" s="3" t="s">
        <v>55</v>
      </c>
      <c r="AE126" s="3" t="s">
        <v>238</v>
      </c>
      <c r="AF126" s="3">
        <v>3</v>
      </c>
      <c r="AG126" s="3" t="s">
        <v>130</v>
      </c>
      <c r="AH126" s="3">
        <v>30</v>
      </c>
      <c r="AI126" s="3">
        <v>150</v>
      </c>
      <c r="AJ126" s="3">
        <f t="shared" si="4"/>
        <v>8437500</v>
      </c>
      <c r="AK126" s="3">
        <f t="shared" si="9"/>
        <v>4500</v>
      </c>
      <c r="AT126" s="3">
        <v>4</v>
      </c>
      <c r="AU126" s="3" t="s">
        <v>238</v>
      </c>
      <c r="AV126" s="3">
        <v>8</v>
      </c>
      <c r="AW126" s="3" t="s">
        <v>130</v>
      </c>
      <c r="AX126" s="3">
        <v>30</v>
      </c>
      <c r="AY126" s="3">
        <v>150</v>
      </c>
      <c r="AZ126" s="3">
        <f t="shared" si="10"/>
        <v>8437500</v>
      </c>
      <c r="BA126" s="3">
        <f t="shared" si="11"/>
        <v>4500</v>
      </c>
    </row>
    <row r="127" spans="1:53" x14ac:dyDescent="0.3">
      <c r="A127" s="20" t="s">
        <v>30</v>
      </c>
      <c r="B127" s="3">
        <f>$B$23</f>
        <v>0.2</v>
      </c>
      <c r="C127" s="3">
        <v>3.25</v>
      </c>
      <c r="D127" s="3">
        <v>2.4</v>
      </c>
      <c r="E127" s="3">
        <v>9</v>
      </c>
      <c r="F127" s="3">
        <f>B127*C127*D127*E127</f>
        <v>14.040000000000001</v>
      </c>
      <c r="Q127" s="29"/>
      <c r="R127" s="29"/>
      <c r="S127" s="29"/>
      <c r="T127" s="29"/>
      <c r="U127" s="29"/>
      <c r="V127" s="54"/>
      <c r="AD127" s="3" t="s">
        <v>165</v>
      </c>
      <c r="AE127" s="3" t="s">
        <v>238</v>
      </c>
      <c r="AF127" s="3">
        <v>3</v>
      </c>
      <c r="AG127" s="3" t="s">
        <v>130</v>
      </c>
      <c r="AH127" s="3">
        <v>30</v>
      </c>
      <c r="AI127" s="3">
        <v>150</v>
      </c>
      <c r="AJ127" s="3">
        <f t="shared" si="4"/>
        <v>8437500</v>
      </c>
      <c r="AK127" s="3">
        <f t="shared" si="9"/>
        <v>4500</v>
      </c>
      <c r="AT127" s="3">
        <v>4</v>
      </c>
      <c r="AU127" s="3" t="s">
        <v>129</v>
      </c>
      <c r="AV127" s="3">
        <v>9</v>
      </c>
      <c r="AW127" s="3" t="s">
        <v>130</v>
      </c>
      <c r="AX127" s="3">
        <v>45</v>
      </c>
      <c r="AY127" s="3">
        <v>45</v>
      </c>
      <c r="AZ127" s="3">
        <f t="shared" si="10"/>
        <v>341718.75</v>
      </c>
      <c r="BA127" s="3">
        <f t="shared" si="11"/>
        <v>2025</v>
      </c>
    </row>
    <row r="128" spans="1:53" x14ac:dyDescent="0.3">
      <c r="A128" s="20" t="s">
        <v>45</v>
      </c>
      <c r="B128" s="3">
        <f>$G$16</f>
        <v>0.44999999999999996</v>
      </c>
      <c r="C128" s="3">
        <v>3.25</v>
      </c>
      <c r="D128" s="3">
        <v>2.4</v>
      </c>
      <c r="E128" s="3">
        <v>6</v>
      </c>
      <c r="F128" s="3">
        <f>B128*C128*D128*E128</f>
        <v>21.06</v>
      </c>
      <c r="Q128" s="29"/>
      <c r="AD128" s="3" t="s">
        <v>165</v>
      </c>
      <c r="AE128" s="3" t="s">
        <v>128</v>
      </c>
      <c r="AF128" s="3">
        <v>3</v>
      </c>
      <c r="AG128" s="3" t="s">
        <v>130</v>
      </c>
      <c r="AH128" s="3">
        <v>45</v>
      </c>
      <c r="AI128" s="3">
        <v>45</v>
      </c>
      <c r="AJ128" s="3">
        <f t="shared" si="4"/>
        <v>341718.75</v>
      </c>
      <c r="AK128" s="3">
        <f t="shared" si="9"/>
        <v>2025</v>
      </c>
      <c r="AT128" s="3">
        <v>4</v>
      </c>
      <c r="AU128" s="3" t="s">
        <v>238</v>
      </c>
      <c r="AV128" s="3">
        <v>10</v>
      </c>
      <c r="AW128" s="3" t="s">
        <v>130</v>
      </c>
      <c r="AX128" s="3">
        <v>30</v>
      </c>
      <c r="AY128" s="3">
        <v>150</v>
      </c>
      <c r="AZ128" s="3">
        <f t="shared" si="10"/>
        <v>8437500</v>
      </c>
      <c r="BA128" s="3">
        <f t="shared" si="11"/>
        <v>4500</v>
      </c>
    </row>
    <row r="129" spans="1:54" x14ac:dyDescent="0.3">
      <c r="A129" s="20" t="s">
        <v>46</v>
      </c>
      <c r="B129" s="3">
        <f>$G$17</f>
        <v>0.36</v>
      </c>
      <c r="C129" s="3">
        <v>3.25</v>
      </c>
      <c r="D129" s="3">
        <v>2.4</v>
      </c>
      <c r="E129" s="3">
        <v>6</v>
      </c>
      <c r="F129" s="3">
        <f t="shared" ref="F129:F130" si="12">B129*C129*D129*E129</f>
        <v>16.847999999999999</v>
      </c>
      <c r="Q129" s="29"/>
      <c r="AD129" s="3" t="s">
        <v>165</v>
      </c>
      <c r="AE129" s="3" t="s">
        <v>238</v>
      </c>
      <c r="AF129" s="3">
        <v>3</v>
      </c>
      <c r="AG129" s="3" t="s">
        <v>130</v>
      </c>
      <c r="AH129" s="3">
        <v>30</v>
      </c>
      <c r="AI129" s="3">
        <v>150</v>
      </c>
      <c r="AJ129" s="3">
        <f t="shared" si="4"/>
        <v>8437500</v>
      </c>
      <c r="AK129" s="3">
        <f t="shared" si="9"/>
        <v>4500</v>
      </c>
    </row>
    <row r="130" spans="1:54" x14ac:dyDescent="0.3">
      <c r="A130" s="20" t="s">
        <v>47</v>
      </c>
      <c r="B130" s="3">
        <f>$G$23</f>
        <v>2.355</v>
      </c>
      <c r="C130" s="3">
        <v>3.25</v>
      </c>
      <c r="D130" s="3">
        <v>2.4</v>
      </c>
      <c r="E130" s="3">
        <v>1</v>
      </c>
      <c r="F130" s="3">
        <f t="shared" si="12"/>
        <v>18.369</v>
      </c>
      <c r="Q130" s="29"/>
      <c r="BB130" s="3"/>
    </row>
    <row r="131" spans="1:54" x14ac:dyDescent="0.3">
      <c r="A131" s="20" t="s">
        <v>79</v>
      </c>
      <c r="B131" s="3"/>
      <c r="C131" s="3"/>
      <c r="D131" s="3"/>
      <c r="E131" s="3"/>
      <c r="F131" s="3">
        <f>F127+F128+F129+F130</f>
        <v>70.317000000000007</v>
      </c>
      <c r="Q131" s="29"/>
      <c r="AT131" s="3" t="s">
        <v>120</v>
      </c>
      <c r="AU131" s="3" t="s">
        <v>121</v>
      </c>
      <c r="AV131" s="3" t="s">
        <v>126</v>
      </c>
      <c r="AW131" s="3" t="s">
        <v>127</v>
      </c>
      <c r="AX131" s="3" t="s">
        <v>131</v>
      </c>
      <c r="AY131" s="3" t="s">
        <v>112</v>
      </c>
      <c r="AZ131" s="3" t="s">
        <v>132</v>
      </c>
    </row>
    <row r="132" spans="1:54" x14ac:dyDescent="0.3">
      <c r="Q132" s="29"/>
      <c r="AD132" s="3" t="s">
        <v>120</v>
      </c>
      <c r="AE132" s="3" t="s">
        <v>121</v>
      </c>
      <c r="AF132" s="3" t="s">
        <v>126</v>
      </c>
      <c r="AG132" s="3" t="s">
        <v>127</v>
      </c>
      <c r="AH132" s="3" t="s">
        <v>131</v>
      </c>
      <c r="AI132" s="3" t="s">
        <v>112</v>
      </c>
      <c r="AJ132" s="3" t="s">
        <v>241</v>
      </c>
      <c r="AK132" s="3"/>
      <c r="AT132" s="3">
        <v>1</v>
      </c>
      <c r="AU132" s="3" t="s">
        <v>238</v>
      </c>
      <c r="AV132" s="3">
        <f>AZ113</f>
        <v>8437500</v>
      </c>
      <c r="AW132" s="3">
        <f>BA113</f>
        <v>4500</v>
      </c>
      <c r="AX132" s="3">
        <v>325</v>
      </c>
      <c r="AY132" s="3">
        <v>282495.13</v>
      </c>
      <c r="AZ132" s="3">
        <v>112998.05</v>
      </c>
      <c r="BA132" s="61">
        <f>((AX132^3)/(3*AY132*AV132))+((1.2*AX132)/(AW132*AZ132))</f>
        <v>5.5676694674620196E-6</v>
      </c>
    </row>
    <row r="133" spans="1:54" x14ac:dyDescent="0.3">
      <c r="AD133" s="3" t="s">
        <v>53</v>
      </c>
      <c r="AE133" s="3" t="s">
        <v>238</v>
      </c>
      <c r="AF133" s="3">
        <f>AJ113</f>
        <v>8437500</v>
      </c>
      <c r="AG133" s="3">
        <f>AK113</f>
        <v>4500</v>
      </c>
      <c r="AH133" s="3">
        <v>325</v>
      </c>
      <c r="AI133" s="3">
        <v>282495.13</v>
      </c>
      <c r="AJ133" s="3">
        <v>112998.05</v>
      </c>
      <c r="AK133" s="33">
        <f>(((AH133^3)/(3*AI133*AF133))+((1.2*AH133)/(AG133*AJ133)))</f>
        <v>5.5676694674620196E-6</v>
      </c>
      <c r="AT133" s="3">
        <v>1</v>
      </c>
      <c r="AU133" s="3" t="s">
        <v>129</v>
      </c>
      <c r="AV133" s="3">
        <f t="shared" ref="AV133:AV147" si="13">AZ114</f>
        <v>341718.75</v>
      </c>
      <c r="AW133" s="3">
        <f t="shared" ref="AW133:AW147" si="14">BA114</f>
        <v>2025</v>
      </c>
      <c r="AX133" s="3">
        <v>600</v>
      </c>
      <c r="AY133" s="3">
        <v>282495.13</v>
      </c>
      <c r="AZ133" s="3">
        <v>112998.05</v>
      </c>
      <c r="BA133" s="61">
        <f t="shared" ref="BA133:BA147" si="15">((AX133^3)/(3*AY133*AV133))+((1.2*AX133)/(AW133*AZ133))</f>
        <v>7.4899867258592376E-4</v>
      </c>
    </row>
    <row r="134" spans="1:54" x14ac:dyDescent="0.3">
      <c r="AD134" s="3" t="s">
        <v>53</v>
      </c>
      <c r="AE134" s="3" t="s">
        <v>129</v>
      </c>
      <c r="AF134" s="3">
        <f t="shared" ref="AF134:AF149" si="16">AJ114</f>
        <v>341718.75</v>
      </c>
      <c r="AG134" s="3">
        <f t="shared" ref="AG134:AG149" si="17">AK114</f>
        <v>2025</v>
      </c>
      <c r="AH134" s="3">
        <v>325</v>
      </c>
      <c r="AI134" s="3">
        <v>282495.13</v>
      </c>
      <c r="AJ134" s="3">
        <v>112998.05</v>
      </c>
      <c r="AK134" s="33">
        <f t="shared" ref="AK134:AK149" si="18">(((AH134^3)/(3*AI134*AF134))+((1.2*AH134)/(AG134*AJ134)))</f>
        <v>1.2024005728386408E-4</v>
      </c>
      <c r="AT134" s="3">
        <v>1</v>
      </c>
      <c r="AU134" s="3" t="s">
        <v>128</v>
      </c>
      <c r="AV134" s="3">
        <f t="shared" si="13"/>
        <v>341718.75</v>
      </c>
      <c r="AW134" s="3">
        <f t="shared" si="14"/>
        <v>2025</v>
      </c>
      <c r="AX134" s="3">
        <v>460</v>
      </c>
      <c r="AY134" s="3">
        <v>282495.13</v>
      </c>
      <c r="AZ134" s="3">
        <v>112998.05</v>
      </c>
      <c r="BA134" s="61">
        <f t="shared" si="15"/>
        <v>3.3851542507020999E-4</v>
      </c>
    </row>
    <row r="135" spans="1:54" x14ac:dyDescent="0.3">
      <c r="AD135" s="3" t="s">
        <v>53</v>
      </c>
      <c r="AE135" s="3" t="s">
        <v>238</v>
      </c>
      <c r="AF135" s="3">
        <f t="shared" si="16"/>
        <v>8437500</v>
      </c>
      <c r="AG135" s="3">
        <f t="shared" si="17"/>
        <v>4500</v>
      </c>
      <c r="AH135" s="3">
        <v>325</v>
      </c>
      <c r="AI135" s="3">
        <v>282495.13</v>
      </c>
      <c r="AJ135" s="3">
        <v>112998.05</v>
      </c>
      <c r="AK135" s="33">
        <f t="shared" si="18"/>
        <v>5.5676694674620196E-6</v>
      </c>
      <c r="AT135" s="3">
        <v>1</v>
      </c>
      <c r="AU135" s="3" t="s">
        <v>238</v>
      </c>
      <c r="AV135" s="3">
        <f t="shared" si="13"/>
        <v>8437500</v>
      </c>
      <c r="AW135" s="3">
        <f t="shared" si="14"/>
        <v>4500</v>
      </c>
      <c r="AX135" s="3">
        <v>325</v>
      </c>
      <c r="AY135" s="3">
        <v>282495.13</v>
      </c>
      <c r="AZ135" s="3">
        <v>112998.05</v>
      </c>
      <c r="BA135" s="61">
        <f t="shared" si="15"/>
        <v>5.5676694674620196E-6</v>
      </c>
    </row>
    <row r="136" spans="1:54" x14ac:dyDescent="0.3">
      <c r="AD136" s="3" t="s">
        <v>53</v>
      </c>
      <c r="AE136" s="3" t="s">
        <v>238</v>
      </c>
      <c r="AF136" s="3">
        <f t="shared" si="16"/>
        <v>8437500</v>
      </c>
      <c r="AG136" s="3">
        <f t="shared" si="17"/>
        <v>4500</v>
      </c>
      <c r="AH136" s="3">
        <v>325</v>
      </c>
      <c r="AI136" s="3">
        <v>282495.13</v>
      </c>
      <c r="AJ136" s="3">
        <v>112998.05</v>
      </c>
      <c r="AK136" s="33">
        <f t="shared" si="18"/>
        <v>5.5676694674620196E-6</v>
      </c>
      <c r="AT136" s="3">
        <v>2</v>
      </c>
      <c r="AU136" s="3" t="s">
        <v>129</v>
      </c>
      <c r="AV136" s="3">
        <f t="shared" si="13"/>
        <v>341718.75</v>
      </c>
      <c r="AW136" s="3">
        <f t="shared" si="14"/>
        <v>2025</v>
      </c>
      <c r="AX136" s="3">
        <v>325</v>
      </c>
      <c r="AY136" s="3">
        <v>282495.13</v>
      </c>
      <c r="AZ136" s="3">
        <v>112998.05</v>
      </c>
      <c r="BA136" s="61">
        <f t="shared" si="15"/>
        <v>1.2024005728386408E-4</v>
      </c>
    </row>
    <row r="137" spans="1:54" x14ac:dyDescent="0.3">
      <c r="A137" s="12"/>
      <c r="B137" s="13"/>
      <c r="C137" s="13" t="s">
        <v>51</v>
      </c>
      <c r="D137" s="13"/>
      <c r="Q137" s="35"/>
      <c r="R137" s="35"/>
      <c r="S137" s="35"/>
      <c r="T137" s="35"/>
      <c r="AD137" s="3" t="s">
        <v>54</v>
      </c>
      <c r="AE137" s="3" t="s">
        <v>129</v>
      </c>
      <c r="AF137" s="3">
        <f t="shared" si="16"/>
        <v>341718.75</v>
      </c>
      <c r="AG137" s="3">
        <f t="shared" si="17"/>
        <v>2025</v>
      </c>
      <c r="AH137" s="3">
        <v>600</v>
      </c>
      <c r="AI137" s="3">
        <v>282495.13</v>
      </c>
      <c r="AJ137" s="3">
        <v>112998.05</v>
      </c>
      <c r="AK137" s="33">
        <f t="shared" si="18"/>
        <v>7.4899867258592376E-4</v>
      </c>
      <c r="AT137" s="3">
        <v>2</v>
      </c>
      <c r="AU137" s="3" t="s">
        <v>129</v>
      </c>
      <c r="AV137" s="3">
        <f t="shared" si="13"/>
        <v>341718.75</v>
      </c>
      <c r="AW137" s="3">
        <f t="shared" si="14"/>
        <v>2025</v>
      </c>
      <c r="AX137" s="3">
        <v>600</v>
      </c>
      <c r="AY137" s="3">
        <v>282495.13</v>
      </c>
      <c r="AZ137" s="3">
        <v>112998.05</v>
      </c>
      <c r="BA137" s="61">
        <f t="shared" si="15"/>
        <v>7.4899867258592376E-4</v>
      </c>
    </row>
    <row r="138" spans="1:54" x14ac:dyDescent="0.3">
      <c r="AD138" s="3" t="s">
        <v>54</v>
      </c>
      <c r="AE138" s="3" t="s">
        <v>129</v>
      </c>
      <c r="AF138" s="3">
        <f t="shared" si="16"/>
        <v>341718.75</v>
      </c>
      <c r="AG138" s="3">
        <f t="shared" si="17"/>
        <v>2025</v>
      </c>
      <c r="AH138" s="3">
        <v>600</v>
      </c>
      <c r="AI138" s="3">
        <v>282495.13</v>
      </c>
      <c r="AJ138" s="3">
        <v>112998.05</v>
      </c>
      <c r="AK138" s="33">
        <f t="shared" si="18"/>
        <v>7.4899867258592376E-4</v>
      </c>
      <c r="AT138" s="3">
        <v>2</v>
      </c>
      <c r="AU138" s="3" t="s">
        <v>242</v>
      </c>
      <c r="AV138" s="3">
        <f t="shared" si="13"/>
        <v>205782187.5</v>
      </c>
      <c r="AW138" s="3">
        <f t="shared" si="14"/>
        <v>13050</v>
      </c>
      <c r="AX138" s="3">
        <v>325</v>
      </c>
      <c r="AY138" s="3">
        <v>282495.13</v>
      </c>
      <c r="AZ138" s="3">
        <v>112998.05</v>
      </c>
      <c r="BA138" s="61">
        <f>((AX138^3)/(3*AY138*AV138))+((1.2*AX138)/(AW138*AZ138))</f>
        <v>4.6131261562747264E-7</v>
      </c>
    </row>
    <row r="139" spans="1:54" x14ac:dyDescent="0.3">
      <c r="A139" s="16"/>
      <c r="B139" s="17" t="s">
        <v>52</v>
      </c>
      <c r="C139" s="18"/>
      <c r="D139" s="19"/>
      <c r="Q139" s="29"/>
      <c r="R139" s="53"/>
      <c r="S139" s="29"/>
      <c r="T139" s="29"/>
      <c r="AD139" s="3" t="s">
        <v>54</v>
      </c>
      <c r="AE139" s="3" t="s">
        <v>239</v>
      </c>
      <c r="AF139" s="3">
        <f t="shared" si="16"/>
        <v>13398437.5</v>
      </c>
      <c r="AG139" s="3">
        <f t="shared" si="17"/>
        <v>5250</v>
      </c>
      <c r="AH139" s="3">
        <v>600</v>
      </c>
      <c r="AI139" s="3">
        <v>282495.13</v>
      </c>
      <c r="AJ139" s="3">
        <v>112998.05</v>
      </c>
      <c r="AK139" s="33">
        <f t="shared" si="18"/>
        <v>2.023616506900534E-5</v>
      </c>
      <c r="AT139" s="3">
        <v>2</v>
      </c>
      <c r="AU139" s="3" t="s">
        <v>129</v>
      </c>
      <c r="AV139" s="3">
        <f t="shared" si="13"/>
        <v>341718.75</v>
      </c>
      <c r="AW139" s="3">
        <f t="shared" si="14"/>
        <v>2025</v>
      </c>
      <c r="AX139" s="3">
        <v>460</v>
      </c>
      <c r="AY139" s="3">
        <v>282495.13</v>
      </c>
      <c r="AZ139" s="3">
        <v>112998.05</v>
      </c>
      <c r="BA139" s="61">
        <f t="shared" si="15"/>
        <v>3.3851542507020999E-4</v>
      </c>
    </row>
    <row r="140" spans="1:54" x14ac:dyDescent="0.3">
      <c r="A140" s="15" t="s">
        <v>56</v>
      </c>
      <c r="B140" s="15" t="s">
        <v>57</v>
      </c>
      <c r="C140" s="15" t="s">
        <v>58</v>
      </c>
      <c r="D140" s="15" t="s">
        <v>59</v>
      </c>
      <c r="E140" s="23" t="s">
        <v>84</v>
      </c>
      <c r="F140" s="23" t="s">
        <v>85</v>
      </c>
      <c r="I140" t="s">
        <v>60</v>
      </c>
      <c r="J140">
        <f>D141+D142+D143+D144+D145+D146+D147+D148+D149+D150+D151</f>
        <v>39.04999999999999</v>
      </c>
      <c r="K140" t="s">
        <v>86</v>
      </c>
      <c r="L140">
        <f>F141+F142+F143+F144+F145+F146+F147+F148+F149+F150+F151</f>
        <v>14.058</v>
      </c>
      <c r="Q140" s="29"/>
      <c r="R140" s="29"/>
      <c r="S140" s="29"/>
      <c r="T140" s="29"/>
      <c r="U140" s="29"/>
      <c r="V140" s="29"/>
      <c r="AD140" s="3" t="s">
        <v>54</v>
      </c>
      <c r="AE140" s="3" t="s">
        <v>128</v>
      </c>
      <c r="AF140" s="3">
        <f t="shared" si="16"/>
        <v>341718.75</v>
      </c>
      <c r="AG140" s="3">
        <f t="shared" si="17"/>
        <v>2025</v>
      </c>
      <c r="AH140" s="3">
        <v>600</v>
      </c>
      <c r="AI140" s="3">
        <v>282495.13</v>
      </c>
      <c r="AJ140" s="3">
        <v>112998.05</v>
      </c>
      <c r="AK140" s="33">
        <f t="shared" si="18"/>
        <v>7.4899867258592376E-4</v>
      </c>
      <c r="AT140" s="3">
        <v>2</v>
      </c>
      <c r="AU140" s="3" t="s">
        <v>129</v>
      </c>
      <c r="AV140" s="3">
        <f t="shared" si="13"/>
        <v>341718.75</v>
      </c>
      <c r="AW140" s="3">
        <f t="shared" si="14"/>
        <v>2025</v>
      </c>
      <c r="AX140" s="3">
        <v>325</v>
      </c>
      <c r="AY140" s="3">
        <v>282495.13</v>
      </c>
      <c r="AZ140" s="3">
        <v>112998.05</v>
      </c>
      <c r="BA140" s="61">
        <f t="shared" si="15"/>
        <v>1.2024005728386408E-4</v>
      </c>
    </row>
    <row r="141" spans="1:54" x14ac:dyDescent="0.3">
      <c r="A141" s="23" t="s">
        <v>53</v>
      </c>
      <c r="B141" s="3">
        <v>0.3</v>
      </c>
      <c r="C141" s="3">
        <v>0.5</v>
      </c>
      <c r="D141" s="3">
        <v>3.23</v>
      </c>
      <c r="E141" s="3">
        <f>J141*D141</f>
        <v>0.48449999999999999</v>
      </c>
      <c r="F141" s="3">
        <f>E141*K160</f>
        <v>1.1627999999999998</v>
      </c>
      <c r="I141" s="23" t="s">
        <v>61</v>
      </c>
      <c r="J141" s="3">
        <f>B141*C141</f>
        <v>0.15</v>
      </c>
      <c r="Q141" s="29"/>
      <c r="AD141" s="3" t="s">
        <v>54</v>
      </c>
      <c r="AE141" s="3" t="s">
        <v>128</v>
      </c>
      <c r="AF141" s="3">
        <f t="shared" si="16"/>
        <v>341718.75</v>
      </c>
      <c r="AG141" s="3">
        <f t="shared" si="17"/>
        <v>2025</v>
      </c>
      <c r="AH141" s="3">
        <v>600</v>
      </c>
      <c r="AI141" s="3">
        <v>282495.13</v>
      </c>
      <c r="AJ141" s="3">
        <v>112998.05</v>
      </c>
      <c r="AK141" s="33">
        <f t="shared" si="18"/>
        <v>7.4899867258592376E-4</v>
      </c>
      <c r="AT141" s="3">
        <v>3</v>
      </c>
      <c r="AU141" s="3" t="s">
        <v>243</v>
      </c>
      <c r="AV141" s="3">
        <f t="shared" si="13"/>
        <v>8437500</v>
      </c>
      <c r="AW141" s="3">
        <f t="shared" si="14"/>
        <v>4500</v>
      </c>
      <c r="AX141" s="3">
        <v>325</v>
      </c>
      <c r="AY141" s="3">
        <v>282495.13</v>
      </c>
      <c r="AZ141" s="3">
        <v>112998.05</v>
      </c>
      <c r="BA141" s="61">
        <f t="shared" si="15"/>
        <v>5.5676694674620196E-6</v>
      </c>
    </row>
    <row r="142" spans="1:54" x14ac:dyDescent="0.3">
      <c r="A142" s="23" t="s">
        <v>53</v>
      </c>
      <c r="B142" s="3">
        <v>0.3</v>
      </c>
      <c r="C142" s="3">
        <v>0.5</v>
      </c>
      <c r="D142" s="3">
        <v>3.73</v>
      </c>
      <c r="E142" s="3">
        <f>J141*D142</f>
        <v>0.5595</v>
      </c>
      <c r="F142" s="3">
        <f>E142*K160</f>
        <v>1.3428</v>
      </c>
      <c r="Q142" s="29"/>
      <c r="AD142" s="3" t="s">
        <v>55</v>
      </c>
      <c r="AE142" s="3" t="s">
        <v>128</v>
      </c>
      <c r="AF142" s="3">
        <f t="shared" si="16"/>
        <v>341718.75</v>
      </c>
      <c r="AG142" s="3">
        <f t="shared" si="17"/>
        <v>2025</v>
      </c>
      <c r="AH142" s="3">
        <v>460</v>
      </c>
      <c r="AI142" s="3">
        <v>282495.13</v>
      </c>
      <c r="AJ142" s="3">
        <v>112998.05</v>
      </c>
      <c r="AK142" s="33">
        <f t="shared" si="18"/>
        <v>3.3851542507020999E-4</v>
      </c>
      <c r="AT142" s="3">
        <v>3</v>
      </c>
      <c r="AU142" s="3" t="s">
        <v>129</v>
      </c>
      <c r="AV142" s="3">
        <f t="shared" si="13"/>
        <v>341718.75</v>
      </c>
      <c r="AW142" s="3">
        <f t="shared" si="14"/>
        <v>2025</v>
      </c>
      <c r="AX142" s="3">
        <v>600</v>
      </c>
      <c r="AY142" s="3">
        <v>282495.13</v>
      </c>
      <c r="AZ142" s="3">
        <v>112998.05</v>
      </c>
      <c r="BA142" s="61">
        <f t="shared" si="15"/>
        <v>7.4899867258592376E-4</v>
      </c>
    </row>
    <row r="143" spans="1:54" x14ac:dyDescent="0.3">
      <c r="A143" s="23" t="s">
        <v>53</v>
      </c>
      <c r="B143" s="3">
        <v>0.3</v>
      </c>
      <c r="C143" s="3">
        <v>0.5</v>
      </c>
      <c r="D143" s="3">
        <v>3.3</v>
      </c>
      <c r="E143" s="3">
        <f>J141*D143</f>
        <v>0.49499999999999994</v>
      </c>
      <c r="F143" s="3">
        <f>E143*K160</f>
        <v>1.1879999999999997</v>
      </c>
      <c r="Q143" s="29"/>
      <c r="AD143" s="3" t="s">
        <v>55</v>
      </c>
      <c r="AE143" s="3" t="s">
        <v>128</v>
      </c>
      <c r="AF143" s="3">
        <f t="shared" si="16"/>
        <v>341718.75</v>
      </c>
      <c r="AG143" s="3">
        <f t="shared" si="17"/>
        <v>2025</v>
      </c>
      <c r="AH143" s="3">
        <v>460</v>
      </c>
      <c r="AI143" s="3">
        <v>282495.13</v>
      </c>
      <c r="AJ143" s="3">
        <v>112998.05</v>
      </c>
      <c r="AK143" s="33">
        <f t="shared" si="18"/>
        <v>3.3851542507020999E-4</v>
      </c>
      <c r="AT143" s="3">
        <v>3</v>
      </c>
      <c r="AU143" s="3" t="s">
        <v>129</v>
      </c>
      <c r="AV143" s="3">
        <f t="shared" si="13"/>
        <v>341718.75</v>
      </c>
      <c r="AW143" s="3">
        <f t="shared" si="14"/>
        <v>2025</v>
      </c>
      <c r="AX143" s="3">
        <v>460</v>
      </c>
      <c r="AY143" s="3">
        <v>282495.13</v>
      </c>
      <c r="AZ143" s="3">
        <v>112998.05</v>
      </c>
      <c r="BA143" s="61">
        <f t="shared" si="15"/>
        <v>3.3851542507020999E-4</v>
      </c>
    </row>
    <row r="144" spans="1:54" x14ac:dyDescent="0.3">
      <c r="A144" s="23" t="s">
        <v>54</v>
      </c>
      <c r="B144" s="3">
        <v>0.3</v>
      </c>
      <c r="C144" s="3">
        <v>0.5</v>
      </c>
      <c r="D144" s="3">
        <v>4.28</v>
      </c>
      <c r="E144" s="3">
        <f>J141*D144</f>
        <v>0.64200000000000002</v>
      </c>
      <c r="F144" s="3">
        <f>E144*K160</f>
        <v>1.5407999999999999</v>
      </c>
      <c r="Q144" s="29"/>
      <c r="AD144" s="3" t="s">
        <v>55</v>
      </c>
      <c r="AE144" s="3" t="s">
        <v>240</v>
      </c>
      <c r="AF144" s="3">
        <f t="shared" si="16"/>
        <v>13398437.5</v>
      </c>
      <c r="AG144" s="3">
        <f t="shared" si="17"/>
        <v>5250</v>
      </c>
      <c r="AH144" s="3">
        <v>460</v>
      </c>
      <c r="AI144" s="3">
        <v>282495.13</v>
      </c>
      <c r="AJ144" s="3">
        <v>112998.05</v>
      </c>
      <c r="AK144" s="33">
        <f t="shared" si="18"/>
        <v>9.5025816779233081E-6</v>
      </c>
      <c r="AT144" s="3">
        <v>3</v>
      </c>
      <c r="AU144" s="3" t="s">
        <v>238</v>
      </c>
      <c r="AV144" s="3">
        <f t="shared" si="13"/>
        <v>8437500</v>
      </c>
      <c r="AW144" s="3">
        <f t="shared" si="14"/>
        <v>4500</v>
      </c>
      <c r="AX144" s="3">
        <v>325</v>
      </c>
      <c r="AY144" s="3">
        <v>282495.13</v>
      </c>
      <c r="AZ144" s="3">
        <v>112998.05</v>
      </c>
      <c r="BA144" s="61">
        <f t="shared" si="15"/>
        <v>5.5676694674620196E-6</v>
      </c>
    </row>
    <row r="145" spans="1:53" x14ac:dyDescent="0.3">
      <c r="A145" s="23" t="s">
        <v>54</v>
      </c>
      <c r="B145" s="3">
        <v>0.3</v>
      </c>
      <c r="C145" s="3">
        <v>0.5</v>
      </c>
      <c r="D145" s="3">
        <v>2.88</v>
      </c>
      <c r="E145" s="3">
        <f>J141*D145</f>
        <v>0.432</v>
      </c>
      <c r="F145" s="3">
        <f>E145*K160</f>
        <v>1.0367999999999999</v>
      </c>
      <c r="Q145" s="29"/>
      <c r="AD145" s="3" t="s">
        <v>55</v>
      </c>
      <c r="AE145" s="3" t="s">
        <v>128</v>
      </c>
      <c r="AF145" s="3">
        <f t="shared" si="16"/>
        <v>341718.75</v>
      </c>
      <c r="AG145" s="3">
        <f t="shared" si="17"/>
        <v>2025</v>
      </c>
      <c r="AH145" s="3">
        <v>460</v>
      </c>
      <c r="AI145" s="3">
        <v>282495.13</v>
      </c>
      <c r="AJ145" s="3">
        <v>112998.05</v>
      </c>
      <c r="AK145" s="33">
        <f t="shared" si="18"/>
        <v>3.3851542507020999E-4</v>
      </c>
      <c r="AT145" s="3">
        <v>4</v>
      </c>
      <c r="AU145" s="3" t="s">
        <v>238</v>
      </c>
      <c r="AV145" s="3">
        <f t="shared" si="13"/>
        <v>8437500</v>
      </c>
      <c r="AW145" s="3">
        <f t="shared" si="14"/>
        <v>4500</v>
      </c>
      <c r="AX145" s="3">
        <v>325</v>
      </c>
      <c r="AY145" s="3">
        <v>282495.13</v>
      </c>
      <c r="AZ145" s="3">
        <v>112998.05</v>
      </c>
      <c r="BA145" s="61">
        <f t="shared" si="15"/>
        <v>5.5676694674620196E-6</v>
      </c>
    </row>
    <row r="146" spans="1:53" x14ac:dyDescent="0.3">
      <c r="A146" s="23" t="s">
        <v>54</v>
      </c>
      <c r="B146" s="3">
        <v>0.3</v>
      </c>
      <c r="C146" s="3">
        <v>0.5</v>
      </c>
      <c r="D146" s="3">
        <v>4.28</v>
      </c>
      <c r="E146" s="3">
        <f>J141*D146</f>
        <v>0.64200000000000002</v>
      </c>
      <c r="F146" s="3">
        <f>E146*K160</f>
        <v>1.5407999999999999</v>
      </c>
      <c r="AD146" s="3" t="s">
        <v>55</v>
      </c>
      <c r="AE146" s="3" t="s">
        <v>238</v>
      </c>
      <c r="AF146" s="3">
        <f t="shared" si="16"/>
        <v>8437500</v>
      </c>
      <c r="AG146" s="3">
        <f t="shared" si="17"/>
        <v>4500</v>
      </c>
      <c r="AH146" s="3">
        <v>460</v>
      </c>
      <c r="AI146" s="3">
        <v>282495.13</v>
      </c>
      <c r="AJ146" s="3">
        <v>112998.05</v>
      </c>
      <c r="AK146" s="33">
        <f t="shared" si="18"/>
        <v>1.4697738370217787E-5</v>
      </c>
      <c r="AT146" s="3">
        <v>4</v>
      </c>
      <c r="AU146" s="3" t="s">
        <v>129</v>
      </c>
      <c r="AV146" s="3">
        <f t="shared" si="13"/>
        <v>341718.75</v>
      </c>
      <c r="AW146" s="3">
        <f t="shared" si="14"/>
        <v>2025</v>
      </c>
      <c r="AX146" s="3">
        <v>600</v>
      </c>
      <c r="AY146" s="3">
        <v>282495.13</v>
      </c>
      <c r="AZ146" s="3">
        <v>112998.05</v>
      </c>
      <c r="BA146" s="61">
        <f t="shared" si="15"/>
        <v>7.4899867258592376E-4</v>
      </c>
    </row>
    <row r="147" spans="1:53" x14ac:dyDescent="0.3">
      <c r="A147" s="23" t="s">
        <v>55</v>
      </c>
      <c r="B147" s="3">
        <v>0.3</v>
      </c>
      <c r="C147" s="3">
        <v>0.5</v>
      </c>
      <c r="D147" s="3">
        <v>4.28</v>
      </c>
      <c r="E147" s="3">
        <f>J141*D147</f>
        <v>0.64200000000000002</v>
      </c>
      <c r="F147" s="3">
        <f>E147*K160</f>
        <v>1.5407999999999999</v>
      </c>
      <c r="AD147" s="3" t="s">
        <v>165</v>
      </c>
      <c r="AE147" s="3" t="s">
        <v>238</v>
      </c>
      <c r="AF147" s="3">
        <f t="shared" si="16"/>
        <v>8437500</v>
      </c>
      <c r="AG147" s="3">
        <f t="shared" si="17"/>
        <v>4500</v>
      </c>
      <c r="AH147" s="3">
        <v>325</v>
      </c>
      <c r="AI147" s="3">
        <v>282495.13</v>
      </c>
      <c r="AJ147" s="3">
        <v>112998.05</v>
      </c>
      <c r="AK147" s="33">
        <f t="shared" si="18"/>
        <v>5.5676694674620196E-6</v>
      </c>
      <c r="AT147" s="3">
        <v>4</v>
      </c>
      <c r="AU147" s="3" t="s">
        <v>238</v>
      </c>
      <c r="AV147" s="3">
        <f t="shared" si="13"/>
        <v>8437500</v>
      </c>
      <c r="AW147" s="3">
        <f t="shared" si="14"/>
        <v>4500</v>
      </c>
      <c r="AX147" s="3">
        <v>460</v>
      </c>
      <c r="AY147" s="3">
        <v>282495.13</v>
      </c>
      <c r="AZ147" s="3">
        <v>112998.05</v>
      </c>
      <c r="BA147" s="61">
        <f t="shared" si="15"/>
        <v>1.4697738370217787E-5</v>
      </c>
    </row>
    <row r="148" spans="1:53" x14ac:dyDescent="0.3">
      <c r="A148" s="23" t="s">
        <v>55</v>
      </c>
      <c r="B148" s="3">
        <v>0.3</v>
      </c>
      <c r="C148" s="3">
        <v>0.5</v>
      </c>
      <c r="D148" s="3">
        <v>2.88</v>
      </c>
      <c r="E148" s="3">
        <f>J141*D148</f>
        <v>0.432</v>
      </c>
      <c r="F148" s="3">
        <f>E148*K160</f>
        <v>1.0367999999999999</v>
      </c>
      <c r="AD148" s="3" t="s">
        <v>165</v>
      </c>
      <c r="AE148" s="3" t="s">
        <v>128</v>
      </c>
      <c r="AF148" s="3">
        <f t="shared" si="16"/>
        <v>341718.75</v>
      </c>
      <c r="AG148" s="3">
        <f t="shared" si="17"/>
        <v>2025</v>
      </c>
      <c r="AH148" s="3">
        <v>325</v>
      </c>
      <c r="AI148" s="3">
        <v>282495.13</v>
      </c>
      <c r="AJ148" s="3">
        <v>112998.05</v>
      </c>
      <c r="AK148" s="33">
        <f t="shared" si="18"/>
        <v>1.2024005728386408E-4</v>
      </c>
    </row>
    <row r="149" spans="1:53" x14ac:dyDescent="0.3">
      <c r="A149" s="23" t="s">
        <v>55</v>
      </c>
      <c r="B149" s="3">
        <v>0.3</v>
      </c>
      <c r="C149" s="3">
        <v>0.5</v>
      </c>
      <c r="D149" s="3">
        <v>3.23</v>
      </c>
      <c r="E149" s="3">
        <f>J141*D149</f>
        <v>0.48449999999999999</v>
      </c>
      <c r="F149" s="3">
        <f>E149*K160</f>
        <v>1.1627999999999998</v>
      </c>
      <c r="R149" s="29"/>
      <c r="AD149" s="3" t="s">
        <v>165</v>
      </c>
      <c r="AE149" s="3" t="s">
        <v>238</v>
      </c>
      <c r="AF149" s="3">
        <f t="shared" si="16"/>
        <v>8437500</v>
      </c>
      <c r="AG149" s="3">
        <f t="shared" si="17"/>
        <v>4500</v>
      </c>
      <c r="AH149" s="3">
        <v>325</v>
      </c>
      <c r="AI149" s="3">
        <v>282495.13</v>
      </c>
      <c r="AJ149" s="3">
        <v>112998.05</v>
      </c>
      <c r="AK149" s="33">
        <f t="shared" si="18"/>
        <v>5.5676694674620196E-6</v>
      </c>
    </row>
    <row r="150" spans="1:53" x14ac:dyDescent="0.3">
      <c r="A150" s="23" t="s">
        <v>165</v>
      </c>
      <c r="B150" s="3">
        <v>0.3</v>
      </c>
      <c r="C150" s="3">
        <v>0.5</v>
      </c>
      <c r="D150" s="3">
        <v>3.23</v>
      </c>
      <c r="E150" s="3">
        <f>J141*D150</f>
        <v>0.48449999999999999</v>
      </c>
      <c r="F150" s="3">
        <f>E150*K160</f>
        <v>1.1627999999999998</v>
      </c>
      <c r="AT150" s="3" t="s">
        <v>120</v>
      </c>
      <c r="AU150" s="3" t="s">
        <v>121</v>
      </c>
      <c r="AV150" s="3" t="s">
        <v>133</v>
      </c>
      <c r="AW150" s="3" t="s">
        <v>134</v>
      </c>
    </row>
    <row r="151" spans="1:53" x14ac:dyDescent="0.3">
      <c r="A151" s="23" t="s">
        <v>165</v>
      </c>
      <c r="B151" s="3">
        <v>0.3</v>
      </c>
      <c r="C151" s="3">
        <v>0.5</v>
      </c>
      <c r="D151" s="3">
        <v>3.73</v>
      </c>
      <c r="E151" s="3">
        <f>J141*D151</f>
        <v>0.5595</v>
      </c>
      <c r="F151" s="3">
        <f>E151*K160</f>
        <v>1.3428</v>
      </c>
      <c r="AD151" s="3" t="s">
        <v>120</v>
      </c>
      <c r="AE151" s="3" t="s">
        <v>121</v>
      </c>
      <c r="AF151" s="3" t="s">
        <v>133</v>
      </c>
      <c r="AG151" s="3" t="s">
        <v>134</v>
      </c>
      <c r="AT151" s="3">
        <v>1</v>
      </c>
      <c r="AU151" s="3" t="s">
        <v>238</v>
      </c>
      <c r="AV151" s="59">
        <f>1/BA132</f>
        <v>179608.3632198523</v>
      </c>
      <c r="AW151" s="3"/>
      <c r="AZ151" s="33" t="e">
        <f>((AW151^3)/(3*AX151*AU151))+((1.2*AW151)/(AV151*AY151))</f>
        <v>#VALUE!</v>
      </c>
    </row>
    <row r="152" spans="1:53" x14ac:dyDescent="0.3">
      <c r="A152" s="16"/>
      <c r="B152" s="17" t="s">
        <v>62</v>
      </c>
      <c r="C152" s="18"/>
      <c r="D152" s="19"/>
      <c r="Q152" s="29"/>
      <c r="R152" s="53"/>
      <c r="S152" s="29"/>
      <c r="T152" s="29"/>
      <c r="AD152" s="3" t="s">
        <v>53</v>
      </c>
      <c r="AE152" s="3" t="s">
        <v>238</v>
      </c>
      <c r="AF152" s="58">
        <f>1/AK133</f>
        <v>179608.3632198523</v>
      </c>
      <c r="AG152" s="3"/>
      <c r="AT152" s="3">
        <v>1</v>
      </c>
      <c r="AU152" s="3" t="s">
        <v>129</v>
      </c>
      <c r="AV152" s="59">
        <f t="shared" ref="AV152:AV166" si="19">1/BA133</f>
        <v>1335.1158508031692</v>
      </c>
      <c r="AW152" s="58">
        <f>AV151+AV152+AV153+AV154</f>
        <v>363505.91742546682</v>
      </c>
      <c r="BA152" s="33">
        <f>((AX138^3)/(3*AY138*AV138))+((1.2*AX138)/(AW138*AZ138))</f>
        <v>4.6131261562747264E-7</v>
      </c>
    </row>
    <row r="153" spans="1:53" x14ac:dyDescent="0.3">
      <c r="A153" s="15" t="s">
        <v>56</v>
      </c>
      <c r="B153" s="15" t="s">
        <v>57</v>
      </c>
      <c r="C153" s="15" t="s">
        <v>58</v>
      </c>
      <c r="D153" s="15" t="s">
        <v>59</v>
      </c>
      <c r="E153" s="23" t="s">
        <v>84</v>
      </c>
      <c r="F153" s="23" t="s">
        <v>85</v>
      </c>
      <c r="J153" s="3" t="s">
        <v>60</v>
      </c>
      <c r="K153" s="3">
        <f>D154+D155+D156+D157+D158+D159+D160+D161+D163+D162+D164</f>
        <v>44.47999999999999</v>
      </c>
      <c r="L153" t="s">
        <v>86</v>
      </c>
      <c r="M153">
        <f>F154+F155+F156+F157+F158+F159+F160+F161+F162+F163+F164</f>
        <v>16.012800000000002</v>
      </c>
      <c r="Q153" s="29"/>
      <c r="R153" s="29"/>
      <c r="S153" s="29"/>
      <c r="T153" s="29"/>
      <c r="U153" s="29"/>
      <c r="V153" s="29"/>
      <c r="AD153" s="3" t="s">
        <v>53</v>
      </c>
      <c r="AE153" s="3" t="s">
        <v>129</v>
      </c>
      <c r="AF153" s="58">
        <f t="shared" ref="AF153:AF168" si="20">1/AK134</f>
        <v>8316.6959712867465</v>
      </c>
      <c r="AG153" s="3"/>
      <c r="AT153" s="3">
        <v>1</v>
      </c>
      <c r="AU153" s="3" t="s">
        <v>128</v>
      </c>
      <c r="AV153" s="59">
        <f t="shared" si="19"/>
        <v>2954.0751349590478</v>
      </c>
      <c r="AW153" s="3"/>
    </row>
    <row r="154" spans="1:53" x14ac:dyDescent="0.3">
      <c r="A154" s="23">
        <v>1</v>
      </c>
      <c r="B154" s="3">
        <v>0.3</v>
      </c>
      <c r="C154" s="3">
        <v>0.5</v>
      </c>
      <c r="D154" s="3">
        <v>3.73</v>
      </c>
      <c r="E154" s="3">
        <f>K158*D154</f>
        <v>0.5595</v>
      </c>
      <c r="F154" s="3">
        <f>E154*K160</f>
        <v>1.3428</v>
      </c>
      <c r="Q154" s="29"/>
      <c r="AD154" s="3" t="s">
        <v>53</v>
      </c>
      <c r="AE154" s="3" t="s">
        <v>238</v>
      </c>
      <c r="AF154" s="58">
        <f t="shared" si="20"/>
        <v>179608.3632198523</v>
      </c>
      <c r="AG154" s="58">
        <f>AF152+AF153+AF154+AF155</f>
        <v>547141.7856308436</v>
      </c>
      <c r="AT154" s="3">
        <v>1</v>
      </c>
      <c r="AU154" s="3" t="s">
        <v>238</v>
      </c>
      <c r="AV154" s="59">
        <f t="shared" si="19"/>
        <v>179608.3632198523</v>
      </c>
      <c r="AW154" s="3"/>
    </row>
    <row r="155" spans="1:53" x14ac:dyDescent="0.3">
      <c r="A155" s="23">
        <v>1</v>
      </c>
      <c r="B155" s="3">
        <v>0.3</v>
      </c>
      <c r="C155" s="3">
        <v>0.5</v>
      </c>
      <c r="D155" s="3">
        <v>4.3499999999999996</v>
      </c>
      <c r="E155" s="3">
        <f>K158*D155</f>
        <v>0.65249999999999997</v>
      </c>
      <c r="F155" s="3">
        <f>E155*K160</f>
        <v>1.5659999999999998</v>
      </c>
      <c r="Q155" s="29"/>
      <c r="AD155" s="3" t="s">
        <v>53</v>
      </c>
      <c r="AE155" s="3" t="s">
        <v>238</v>
      </c>
      <c r="AF155" s="58">
        <f t="shared" si="20"/>
        <v>179608.3632198523</v>
      </c>
      <c r="AG155" s="3"/>
      <c r="AT155" s="3">
        <v>2</v>
      </c>
      <c r="AU155" s="3" t="s">
        <v>129</v>
      </c>
      <c r="AV155" s="59">
        <f t="shared" si="19"/>
        <v>8316.6959712867465</v>
      </c>
      <c r="AW155" s="3"/>
    </row>
    <row r="156" spans="1:53" x14ac:dyDescent="0.3">
      <c r="A156" s="23">
        <v>1</v>
      </c>
      <c r="B156" s="3">
        <v>0.3</v>
      </c>
      <c r="C156" s="3">
        <v>0.5</v>
      </c>
      <c r="D156" s="3">
        <v>3.73</v>
      </c>
      <c r="E156" s="3">
        <f>K158*D156</f>
        <v>0.5595</v>
      </c>
      <c r="F156" s="3">
        <f>E156*K160</f>
        <v>1.3428</v>
      </c>
      <c r="Q156" s="29"/>
      <c r="AD156" s="3" t="s">
        <v>54</v>
      </c>
      <c r="AE156" s="3" t="s">
        <v>129</v>
      </c>
      <c r="AF156" s="58">
        <f t="shared" si="20"/>
        <v>1335.1158508031692</v>
      </c>
      <c r="AG156" s="3"/>
      <c r="AT156" s="3">
        <v>2</v>
      </c>
      <c r="AU156" s="3" t="s">
        <v>129</v>
      </c>
      <c r="AV156" s="59">
        <f t="shared" si="19"/>
        <v>1335.1158508031692</v>
      </c>
      <c r="AW156" s="3"/>
    </row>
    <row r="157" spans="1:53" x14ac:dyDescent="0.3">
      <c r="A157" s="23">
        <v>2</v>
      </c>
      <c r="B157" s="3">
        <v>0.3</v>
      </c>
      <c r="C157" s="3">
        <v>0.5</v>
      </c>
      <c r="D157" s="3">
        <v>4.7750000000000004</v>
      </c>
      <c r="E157" s="3">
        <f>K158*D157</f>
        <v>0.71625000000000005</v>
      </c>
      <c r="F157" s="3">
        <f>E157*K160</f>
        <v>1.7190000000000001</v>
      </c>
      <c r="Q157" s="29"/>
      <c r="AD157" s="3" t="s">
        <v>54</v>
      </c>
      <c r="AE157" s="3" t="s">
        <v>129</v>
      </c>
      <c r="AF157" s="58">
        <f t="shared" si="20"/>
        <v>1335.1158508031692</v>
      </c>
      <c r="AG157" s="3"/>
      <c r="AT157" s="3">
        <v>2</v>
      </c>
      <c r="AU157" s="3" t="s">
        <v>242</v>
      </c>
      <c r="AV157" s="59">
        <f>1/BA138</f>
        <v>2167727.4068037579</v>
      </c>
      <c r="AW157" s="58">
        <f>AV155+AV156+AV157+AV158+AV159</f>
        <v>2188649.9897320936</v>
      </c>
    </row>
    <row r="158" spans="1:53" x14ac:dyDescent="0.3">
      <c r="A158" s="23">
        <v>2</v>
      </c>
      <c r="B158" s="3">
        <v>0.3</v>
      </c>
      <c r="C158" s="3">
        <v>0.5</v>
      </c>
      <c r="D158" s="3">
        <v>4.3499999999999996</v>
      </c>
      <c r="E158" s="3">
        <f>K158*D158</f>
        <v>0.65249999999999997</v>
      </c>
      <c r="F158" s="3">
        <f>E158*K160</f>
        <v>1.5659999999999998</v>
      </c>
      <c r="J158" s="23" t="s">
        <v>61</v>
      </c>
      <c r="K158" s="3">
        <f>B156*C156</f>
        <v>0.15</v>
      </c>
      <c r="M158" s="2" t="s">
        <v>87</v>
      </c>
      <c r="N158" s="2"/>
      <c r="O158" s="2">
        <f>L140+M153</f>
        <v>30.070800000000002</v>
      </c>
      <c r="Q158" s="29"/>
      <c r="AD158" s="3" t="s">
        <v>54</v>
      </c>
      <c r="AE158" s="3" t="s">
        <v>239</v>
      </c>
      <c r="AF158" s="58">
        <f t="shared" si="20"/>
        <v>49416.477706620753</v>
      </c>
      <c r="AG158" s="58">
        <f>AF156+AF157+AF158+AF159+AF160</f>
        <v>54756.941109833424</v>
      </c>
      <c r="AT158" s="3">
        <v>2</v>
      </c>
      <c r="AU158" s="3" t="s">
        <v>129</v>
      </c>
      <c r="AV158" s="59">
        <f t="shared" si="19"/>
        <v>2954.0751349590478</v>
      </c>
      <c r="AW158" s="3"/>
    </row>
    <row r="159" spans="1:53" x14ac:dyDescent="0.3">
      <c r="A159" s="23">
        <v>2</v>
      </c>
      <c r="B159" s="3">
        <v>0.3</v>
      </c>
      <c r="C159" s="3">
        <v>0.5</v>
      </c>
      <c r="D159" s="3">
        <v>4.7750000000000004</v>
      </c>
      <c r="E159" s="3">
        <f>K158*D159</f>
        <v>0.71625000000000005</v>
      </c>
      <c r="F159" s="3">
        <f>E159*K160</f>
        <v>1.7190000000000001</v>
      </c>
      <c r="Q159" s="29"/>
      <c r="AD159" s="3" t="s">
        <v>54</v>
      </c>
      <c r="AE159" s="3" t="s">
        <v>128</v>
      </c>
      <c r="AF159" s="58">
        <f t="shared" si="20"/>
        <v>1335.1158508031692</v>
      </c>
      <c r="AG159" s="3"/>
      <c r="AT159" s="3">
        <v>2</v>
      </c>
      <c r="AU159" s="3" t="s">
        <v>129</v>
      </c>
      <c r="AV159" s="59">
        <f t="shared" si="19"/>
        <v>8316.6959712867465</v>
      </c>
      <c r="AW159" s="3"/>
    </row>
    <row r="160" spans="1:53" x14ac:dyDescent="0.3">
      <c r="A160" s="23">
        <v>3</v>
      </c>
      <c r="B160" s="3">
        <v>0.3</v>
      </c>
      <c r="C160" s="3">
        <v>0.5</v>
      </c>
      <c r="D160" s="3">
        <v>3.73</v>
      </c>
      <c r="E160" s="3">
        <f>K158*D160</f>
        <v>0.5595</v>
      </c>
      <c r="F160" s="3">
        <f>E160*K160</f>
        <v>1.3428</v>
      </c>
      <c r="J160" s="23" t="s">
        <v>48</v>
      </c>
      <c r="K160" s="3">
        <v>2.4</v>
      </c>
      <c r="AD160" s="3" t="s">
        <v>54</v>
      </c>
      <c r="AE160" s="3" t="s">
        <v>128</v>
      </c>
      <c r="AF160" s="58">
        <f t="shared" si="20"/>
        <v>1335.1158508031692</v>
      </c>
      <c r="AG160" s="3"/>
      <c r="AT160" s="3">
        <v>3</v>
      </c>
      <c r="AU160" s="3" t="s">
        <v>243</v>
      </c>
      <c r="AV160" s="59">
        <f t="shared" si="19"/>
        <v>179608.3632198523</v>
      </c>
      <c r="AW160" s="3"/>
    </row>
    <row r="161" spans="1:49" x14ac:dyDescent="0.3">
      <c r="A161" s="23">
        <v>3</v>
      </c>
      <c r="B161" s="3">
        <v>0.3</v>
      </c>
      <c r="C161" s="3">
        <v>0.5</v>
      </c>
      <c r="D161" s="3">
        <v>4.3499999999999996</v>
      </c>
      <c r="E161" s="3">
        <f>K158*D161</f>
        <v>0.65249999999999997</v>
      </c>
      <c r="F161" s="3">
        <f>E161*K160</f>
        <v>1.5659999999999998</v>
      </c>
      <c r="AD161" s="3" t="s">
        <v>55</v>
      </c>
      <c r="AE161" s="3" t="s">
        <v>128</v>
      </c>
      <c r="AF161" s="58">
        <f t="shared" si="20"/>
        <v>2954.0751349590478</v>
      </c>
      <c r="AG161" s="3"/>
      <c r="AT161" s="3">
        <v>3</v>
      </c>
      <c r="AU161" s="3" t="s">
        <v>129</v>
      </c>
      <c r="AV161" s="59">
        <f t="shared" si="19"/>
        <v>1335.1158508031692</v>
      </c>
      <c r="AW161" s="3"/>
    </row>
    <row r="162" spans="1:49" x14ac:dyDescent="0.3">
      <c r="A162" s="23">
        <v>3</v>
      </c>
      <c r="B162" s="3">
        <v>0.3</v>
      </c>
      <c r="C162" s="3">
        <v>0.5</v>
      </c>
      <c r="D162" s="3">
        <v>3.73</v>
      </c>
      <c r="E162" s="3">
        <f>K158*D162</f>
        <v>0.5595</v>
      </c>
      <c r="F162" s="3">
        <f>E162*K160</f>
        <v>1.3428</v>
      </c>
      <c r="AD162" s="3" t="s">
        <v>55</v>
      </c>
      <c r="AE162" s="3" t="s">
        <v>128</v>
      </c>
      <c r="AF162" s="58">
        <f t="shared" si="20"/>
        <v>2954.0751349590478</v>
      </c>
      <c r="AG162" s="3"/>
      <c r="AT162" s="3">
        <v>3</v>
      </c>
      <c r="AU162" s="3" t="s">
        <v>129</v>
      </c>
      <c r="AV162" s="59">
        <f t="shared" si="19"/>
        <v>2954.0751349590478</v>
      </c>
      <c r="AW162" s="58">
        <f>AV160+AV161+AV162+AV163</f>
        <v>363505.91742546682</v>
      </c>
    </row>
    <row r="163" spans="1:49" x14ac:dyDescent="0.3">
      <c r="A163" s="23">
        <v>4</v>
      </c>
      <c r="B163" s="3">
        <v>0.3</v>
      </c>
      <c r="C163" s="3">
        <v>0.5</v>
      </c>
      <c r="D163" s="3">
        <v>3.73</v>
      </c>
      <c r="E163" s="3">
        <f>K158*D163</f>
        <v>0.5595</v>
      </c>
      <c r="F163" s="3">
        <f>E163*K160</f>
        <v>1.3428</v>
      </c>
      <c r="I163" s="51"/>
      <c r="J163" s="51" t="s">
        <v>230</v>
      </c>
      <c r="K163" s="51">
        <f>J140+K153-4.35</f>
        <v>79.179999999999978</v>
      </c>
      <c r="L163" s="51"/>
      <c r="AD163" s="3" t="s">
        <v>55</v>
      </c>
      <c r="AE163" s="3" t="s">
        <v>240</v>
      </c>
      <c r="AF163" s="58">
        <f t="shared" si="20"/>
        <v>105234.55981685808</v>
      </c>
      <c r="AG163" s="58">
        <f>AF161+AF162+AF163+AF164+AF165</f>
        <v>182134.46386393454</v>
      </c>
      <c r="AT163" s="3">
        <v>3</v>
      </c>
      <c r="AU163" s="3" t="s">
        <v>238</v>
      </c>
      <c r="AV163" s="59">
        <f t="shared" si="19"/>
        <v>179608.3632198523</v>
      </c>
      <c r="AW163" s="3"/>
    </row>
    <row r="164" spans="1:49" x14ac:dyDescent="0.3">
      <c r="A164" s="23">
        <v>4</v>
      </c>
      <c r="B164" s="3">
        <v>0.3</v>
      </c>
      <c r="C164" s="3">
        <v>0.5</v>
      </c>
      <c r="D164" s="3">
        <v>3.23</v>
      </c>
      <c r="E164" s="3">
        <f>K158*D164</f>
        <v>0.48449999999999999</v>
      </c>
      <c r="F164" s="3">
        <f>E164*K160</f>
        <v>1.1627999999999998</v>
      </c>
      <c r="R164" s="29"/>
      <c r="AD164" s="3" t="s">
        <v>55</v>
      </c>
      <c r="AE164" s="3" t="s">
        <v>128</v>
      </c>
      <c r="AF164" s="58">
        <f t="shared" si="20"/>
        <v>2954.0751349590478</v>
      </c>
      <c r="AG164" s="3"/>
      <c r="AT164" s="3">
        <v>4</v>
      </c>
      <c r="AU164" s="3" t="s">
        <v>238</v>
      </c>
      <c r="AV164" s="59">
        <f t="shared" si="19"/>
        <v>179608.3632198523</v>
      </c>
      <c r="AW164" s="58">
        <f>AV164+AV165+AV166</f>
        <v>248981.15771285479</v>
      </c>
    </row>
    <row r="165" spans="1:49" x14ac:dyDescent="0.3">
      <c r="A165" s="23"/>
      <c r="B165" s="3"/>
      <c r="C165" s="3"/>
      <c r="D165" s="3"/>
      <c r="E165" s="3"/>
      <c r="F165" s="3"/>
      <c r="AD165" s="3" t="s">
        <v>55</v>
      </c>
      <c r="AE165" s="3" t="s">
        <v>238</v>
      </c>
      <c r="AF165" s="58">
        <f t="shared" si="20"/>
        <v>68037.678642199317</v>
      </c>
      <c r="AG165" s="3"/>
      <c r="AT165" s="3">
        <v>4</v>
      </c>
      <c r="AU165" s="3" t="s">
        <v>129</v>
      </c>
      <c r="AV165" s="59">
        <f t="shared" si="19"/>
        <v>1335.1158508031692</v>
      </c>
      <c r="AW165" s="3"/>
    </row>
    <row r="166" spans="1:49" x14ac:dyDescent="0.3">
      <c r="R166" s="29"/>
      <c r="AD166" s="3" t="s">
        <v>165</v>
      </c>
      <c r="AE166" s="3" t="s">
        <v>238</v>
      </c>
      <c r="AF166" s="58">
        <f t="shared" si="20"/>
        <v>179608.3632198523</v>
      </c>
      <c r="AG166" s="3"/>
      <c r="AT166" s="3">
        <v>4</v>
      </c>
      <c r="AU166" s="3" t="s">
        <v>238</v>
      </c>
      <c r="AV166" s="59">
        <f t="shared" si="19"/>
        <v>68037.678642199317</v>
      </c>
      <c r="AW166" s="3"/>
    </row>
    <row r="167" spans="1:49" x14ac:dyDescent="0.3">
      <c r="AD167" s="3" t="s">
        <v>165</v>
      </c>
      <c r="AE167" s="3" t="s">
        <v>128</v>
      </c>
      <c r="AF167" s="58">
        <f t="shared" si="20"/>
        <v>8316.6959712867465</v>
      </c>
      <c r="AG167" s="58">
        <f>AF166+AF167+AF168</f>
        <v>367533.42241099133</v>
      </c>
      <c r="AU167" s="76" t="s">
        <v>248</v>
      </c>
      <c r="AV167" s="79"/>
      <c r="AW167" s="60">
        <f>AW152+AW157+AW162+AW164</f>
        <v>3164642.982295882</v>
      </c>
    </row>
    <row r="168" spans="1:49" x14ac:dyDescent="0.3">
      <c r="AD168" s="3" t="s">
        <v>165</v>
      </c>
      <c r="AE168" s="3" t="s">
        <v>238</v>
      </c>
      <c r="AF168" s="58">
        <f t="shared" si="20"/>
        <v>179608.3632198523</v>
      </c>
      <c r="AG168" s="3"/>
    </row>
    <row r="169" spans="1:49" x14ac:dyDescent="0.3">
      <c r="A169" s="9"/>
      <c r="B169" s="30" t="s">
        <v>63</v>
      </c>
      <c r="C169" s="10"/>
      <c r="D169" s="11"/>
      <c r="R169" s="29"/>
      <c r="AD169" s="76" t="s">
        <v>135</v>
      </c>
      <c r="AE169" s="77"/>
      <c r="AF169" s="58">
        <f>AG154+AG158+AG163+AG167</f>
        <v>1151566.6130156028</v>
      </c>
    </row>
    <row r="171" spans="1:49" x14ac:dyDescent="0.3">
      <c r="AD171" s="3" t="s">
        <v>246</v>
      </c>
      <c r="AE171" s="3"/>
      <c r="AF171" s="3"/>
      <c r="AG171" s="3"/>
    </row>
    <row r="172" spans="1:49" x14ac:dyDescent="0.3">
      <c r="A172" s="14" t="s">
        <v>64</v>
      </c>
      <c r="B172" s="14" t="s">
        <v>65</v>
      </c>
      <c r="C172" s="14" t="s">
        <v>66</v>
      </c>
      <c r="D172" s="14" t="s">
        <v>67</v>
      </c>
      <c r="F172" s="3" t="s">
        <v>68</v>
      </c>
      <c r="G172" s="3">
        <f>D173+D174+D175+D176+D177+D178+D179</f>
        <v>151.02500000000001</v>
      </c>
      <c r="AD172" s="4" t="s">
        <v>120</v>
      </c>
      <c r="AE172" s="4" t="s">
        <v>136</v>
      </c>
      <c r="AF172" s="4" t="s">
        <v>104</v>
      </c>
      <c r="AG172" s="4" t="s">
        <v>137</v>
      </c>
    </row>
    <row r="173" spans="1:49" x14ac:dyDescent="0.3">
      <c r="A173" s="3">
        <v>1</v>
      </c>
      <c r="B173" s="3">
        <v>4.5</v>
      </c>
      <c r="C173" s="3">
        <v>5</v>
      </c>
      <c r="D173" s="3">
        <f>B173*C173</f>
        <v>22.5</v>
      </c>
      <c r="AD173" s="4" t="s">
        <v>53</v>
      </c>
      <c r="AE173" s="3">
        <v>0.15</v>
      </c>
      <c r="AF173" s="58">
        <f>AG154/100</f>
        <v>5471.4178563084361</v>
      </c>
      <c r="AG173" s="62">
        <f>AF173*AE173</f>
        <v>820.71267844626539</v>
      </c>
    </row>
    <row r="174" spans="1:49" x14ac:dyDescent="0.3">
      <c r="A174" s="3">
        <v>2</v>
      </c>
      <c r="B174" s="3">
        <v>4.5</v>
      </c>
      <c r="C174" s="3">
        <v>5</v>
      </c>
      <c r="D174" s="3">
        <f>B174*C174</f>
        <v>22.5</v>
      </c>
      <c r="AD174" s="4" t="s">
        <v>54</v>
      </c>
      <c r="AE174" s="3">
        <v>5.45</v>
      </c>
      <c r="AF174" s="58">
        <f>AG158/100</f>
        <v>547.56941109833429</v>
      </c>
      <c r="AG174" s="62">
        <f>AF174*AE174</f>
        <v>2984.2532904859218</v>
      </c>
    </row>
    <row r="175" spans="1:49" x14ac:dyDescent="0.3">
      <c r="A175" s="3">
        <v>3</v>
      </c>
      <c r="B175" s="3">
        <v>5</v>
      </c>
      <c r="C175" s="3">
        <v>5</v>
      </c>
      <c r="D175" s="3">
        <f t="shared" ref="D175:D179" si="21">B175*C175</f>
        <v>25</v>
      </c>
      <c r="F175" s="3" t="s">
        <v>69</v>
      </c>
      <c r="G175" s="3">
        <v>0.13</v>
      </c>
      <c r="AD175" s="4" t="s">
        <v>55</v>
      </c>
      <c r="AE175" s="3">
        <v>10.25</v>
      </c>
      <c r="AF175" s="58">
        <f>AG163/100</f>
        <v>1821.3446386393452</v>
      </c>
      <c r="AG175" s="62">
        <f>AF175*AE175</f>
        <v>18668.782546053288</v>
      </c>
    </row>
    <row r="176" spans="1:49" x14ac:dyDescent="0.3">
      <c r="A176" s="3">
        <v>4</v>
      </c>
      <c r="B176" s="3">
        <v>2.95</v>
      </c>
      <c r="C176" s="3">
        <v>4.5</v>
      </c>
      <c r="D176" s="3">
        <f t="shared" si="21"/>
        <v>13.275</v>
      </c>
      <c r="AD176" s="4" t="s">
        <v>165</v>
      </c>
      <c r="AE176" s="3">
        <v>15.55</v>
      </c>
      <c r="AF176" s="58">
        <f>AG167/100</f>
        <v>3675.3342241099135</v>
      </c>
      <c r="AG176" s="62">
        <f>AF176*AE176</f>
        <v>57151.447184909157</v>
      </c>
      <c r="AN176" s="35" t="s">
        <v>140</v>
      </c>
    </row>
    <row r="177" spans="1:41" x14ac:dyDescent="0.3">
      <c r="A177" s="3">
        <v>5</v>
      </c>
      <c r="B177" s="3">
        <v>5</v>
      </c>
      <c r="C177" s="3">
        <v>5</v>
      </c>
      <c r="D177" s="3">
        <f t="shared" si="21"/>
        <v>25</v>
      </c>
      <c r="AD177" s="3" t="s">
        <v>247</v>
      </c>
      <c r="AE177" s="3">
        <f>AE176+AE175+AE174+AE173</f>
        <v>31.4</v>
      </c>
      <c r="AF177" s="58">
        <f>AF173+AF174+AF175+AF176</f>
        <v>11515.666130156029</v>
      </c>
      <c r="AG177" s="62">
        <f>AG173+AG174+AG175+AG176</f>
        <v>79625.195699894626</v>
      </c>
      <c r="AN177" s="35" t="s">
        <v>141</v>
      </c>
    </row>
    <row r="178" spans="1:41" x14ac:dyDescent="0.3">
      <c r="A178" s="3">
        <v>6</v>
      </c>
      <c r="B178" s="3">
        <v>4.5</v>
      </c>
      <c r="C178" s="3">
        <v>5</v>
      </c>
      <c r="D178" s="3">
        <f t="shared" si="21"/>
        <v>22.5</v>
      </c>
    </row>
    <row r="179" spans="1:41" x14ac:dyDescent="0.3">
      <c r="A179" s="3">
        <v>7</v>
      </c>
      <c r="B179" s="3">
        <v>4.5</v>
      </c>
      <c r="C179" s="3">
        <v>4.5</v>
      </c>
      <c r="D179" s="3">
        <f t="shared" si="21"/>
        <v>20.25</v>
      </c>
      <c r="AD179" s="4" t="s">
        <v>56</v>
      </c>
      <c r="AE179" s="4" t="s">
        <v>138</v>
      </c>
      <c r="AF179" s="4" t="s">
        <v>104</v>
      </c>
      <c r="AG179" s="4" t="s">
        <v>139</v>
      </c>
      <c r="AK179" s="78" t="s">
        <v>140</v>
      </c>
      <c r="AL179" s="78"/>
    </row>
    <row r="180" spans="1:41" x14ac:dyDescent="0.3">
      <c r="AD180" s="4">
        <v>1</v>
      </c>
      <c r="AE180" s="3">
        <v>15.05</v>
      </c>
      <c r="AF180" s="58">
        <f>AW152/100</f>
        <v>3635.0591742546681</v>
      </c>
      <c r="AG180" s="62">
        <f>AE180*AF180</f>
        <v>54707.640572532757</v>
      </c>
      <c r="AK180" t="s">
        <v>141</v>
      </c>
    </row>
    <row r="181" spans="1:41" x14ac:dyDescent="0.3">
      <c r="AD181" s="4">
        <v>2</v>
      </c>
      <c r="AE181" s="3">
        <v>10.25</v>
      </c>
      <c r="AF181" s="58">
        <f>AW157/100</f>
        <v>21886.499897320937</v>
      </c>
      <c r="AG181" s="62">
        <f>AE181*AF181</f>
        <v>224336.6239475396</v>
      </c>
    </row>
    <row r="182" spans="1:41" x14ac:dyDescent="0.3">
      <c r="AD182" s="4">
        <v>3</v>
      </c>
      <c r="AE182" s="3">
        <v>4.95</v>
      </c>
      <c r="AF182" s="58">
        <f>AW162/100</f>
        <v>3635.0591742546681</v>
      </c>
      <c r="AG182" s="62">
        <f>AE182*AF182</f>
        <v>17993.542912560606</v>
      </c>
      <c r="AK182" s="3" t="s">
        <v>142</v>
      </c>
      <c r="AL182" s="58">
        <v>7.84</v>
      </c>
      <c r="AN182" s="3" t="s">
        <v>144</v>
      </c>
      <c r="AO182" s="3"/>
    </row>
    <row r="183" spans="1:41" x14ac:dyDescent="0.3">
      <c r="AD183" s="4">
        <v>4</v>
      </c>
      <c r="AE183" s="3">
        <v>0.15</v>
      </c>
      <c r="AF183" s="58">
        <f>AW164/100</f>
        <v>2489.8115771285479</v>
      </c>
      <c r="AG183" s="58">
        <f>AE183*AF183</f>
        <v>373.4717365692822</v>
      </c>
      <c r="AK183" s="3" t="s">
        <v>143</v>
      </c>
      <c r="AL183" s="58">
        <f>AG177/AF177</f>
        <v>6.9145106153590579</v>
      </c>
      <c r="AN183" s="3" t="s">
        <v>146</v>
      </c>
      <c r="AO183" s="58">
        <f>AL182-AL185</f>
        <v>0.37000000000000011</v>
      </c>
    </row>
    <row r="184" spans="1:41" x14ac:dyDescent="0.3">
      <c r="A184" s="20" t="s">
        <v>7</v>
      </c>
      <c r="B184" s="21" t="s">
        <v>8</v>
      </c>
      <c r="C184" s="21" t="s">
        <v>9</v>
      </c>
      <c r="D184" s="21" t="s">
        <v>10</v>
      </c>
      <c r="E184" s="20" t="s">
        <v>11</v>
      </c>
      <c r="Q184" s="29"/>
      <c r="R184" s="54"/>
      <c r="S184" s="54"/>
      <c r="T184" s="54"/>
      <c r="U184" s="29"/>
      <c r="AD184" s="3" t="s">
        <v>247</v>
      </c>
      <c r="AE184" s="3">
        <f>AE183+AE182+AE181+AE180</f>
        <v>30.400000000000002</v>
      </c>
      <c r="AF184" s="58">
        <f>AF180+AF181+AF182+AF183</f>
        <v>31646.42982295882</v>
      </c>
      <c r="AG184" s="62">
        <f>AG180+AG181+AG182+AG183</f>
        <v>297411.27916920232</v>
      </c>
      <c r="AN184" s="3" t="s">
        <v>145</v>
      </c>
      <c r="AO184" s="58">
        <f>AL186-AL183</f>
        <v>0.67548938464094199</v>
      </c>
    </row>
    <row r="185" spans="1:41" x14ac:dyDescent="0.3">
      <c r="A185" s="23" t="s">
        <v>0</v>
      </c>
      <c r="B185" s="3">
        <v>250</v>
      </c>
      <c r="C185" s="3">
        <v>175</v>
      </c>
      <c r="D185" s="3">
        <v>125</v>
      </c>
      <c r="E185" s="3">
        <v>275</v>
      </c>
      <c r="Q185" s="29"/>
      <c r="AK185" s="3" t="s">
        <v>98</v>
      </c>
      <c r="AL185" s="3">
        <v>7.47</v>
      </c>
    </row>
    <row r="186" spans="1:41" x14ac:dyDescent="0.3">
      <c r="A186" s="20" t="s">
        <v>70</v>
      </c>
      <c r="B186" s="21" t="s">
        <v>8</v>
      </c>
      <c r="C186" s="21" t="s">
        <v>9</v>
      </c>
      <c r="D186" s="21" t="s">
        <v>10</v>
      </c>
      <c r="E186" s="20" t="s">
        <v>11</v>
      </c>
      <c r="Q186" s="29"/>
      <c r="R186" s="54"/>
      <c r="S186" s="54"/>
      <c r="T186" s="54"/>
      <c r="U186" s="29"/>
      <c r="AK186" s="3" t="s">
        <v>99</v>
      </c>
      <c r="AL186" s="3">
        <v>7.59</v>
      </c>
    </row>
    <row r="187" spans="1:41" x14ac:dyDescent="0.3">
      <c r="A187" s="23" t="s">
        <v>0</v>
      </c>
      <c r="B187" s="3">
        <f>B185/1000</f>
        <v>0.25</v>
      </c>
      <c r="C187" s="3">
        <f>C185/100</f>
        <v>1.75</v>
      </c>
      <c r="D187" s="3">
        <f>D185/1000</f>
        <v>0.125</v>
      </c>
      <c r="E187" s="3">
        <f>E185/1000</f>
        <v>0.27500000000000002</v>
      </c>
      <c r="Q187" s="29"/>
    </row>
    <row r="189" spans="1:41" x14ac:dyDescent="0.3">
      <c r="D189" s="23" t="s">
        <v>48</v>
      </c>
      <c r="E189" s="3">
        <v>2.4</v>
      </c>
      <c r="T189" s="29"/>
    </row>
    <row r="191" spans="1:41" x14ac:dyDescent="0.3">
      <c r="A191" s="23" t="s">
        <v>71</v>
      </c>
      <c r="B191" s="3">
        <f>E189*G172*G175</f>
        <v>47.119799999999998</v>
      </c>
      <c r="Q191" s="29"/>
    </row>
    <row r="192" spans="1:41" x14ac:dyDescent="0.3">
      <c r="A192" s="23" t="s">
        <v>72</v>
      </c>
      <c r="B192" s="3">
        <f>G172*C187</f>
        <v>264.29374999999999</v>
      </c>
      <c r="Q192" s="29"/>
    </row>
    <row r="193" spans="1:55" x14ac:dyDescent="0.3">
      <c r="A193" s="23" t="s">
        <v>73</v>
      </c>
      <c r="B193" s="3">
        <f>D187*G172</f>
        <v>18.878125000000001</v>
      </c>
      <c r="D193" s="3" t="s">
        <v>80</v>
      </c>
      <c r="E193" s="3">
        <v>79.19</v>
      </c>
      <c r="Q193" s="29"/>
      <c r="AF193" s="31" t="s">
        <v>147</v>
      </c>
      <c r="AG193" s="31"/>
      <c r="AH193" s="31"/>
      <c r="AI193" s="31"/>
      <c r="AJ193" s="31"/>
    </row>
    <row r="194" spans="1:55" x14ac:dyDescent="0.3">
      <c r="A194" s="23" t="s">
        <v>74</v>
      </c>
      <c r="B194" s="3">
        <f>G172*E187</f>
        <v>41.531875000000007</v>
      </c>
      <c r="D194" s="3" t="s">
        <v>81</v>
      </c>
      <c r="E194" s="3">
        <v>3.25</v>
      </c>
      <c r="Q194" s="29"/>
    </row>
    <row r="195" spans="1:55" x14ac:dyDescent="0.3">
      <c r="A195" s="23" t="s">
        <v>75</v>
      </c>
      <c r="B195" s="3">
        <f>B187*G172</f>
        <v>37.756250000000001</v>
      </c>
      <c r="D195" s="3" t="s">
        <v>82</v>
      </c>
      <c r="E195" s="3">
        <v>0.18</v>
      </c>
      <c r="Q195" s="29"/>
      <c r="AF195" s="36"/>
      <c r="AG195" s="36" t="s">
        <v>148</v>
      </c>
      <c r="AH195" s="36"/>
      <c r="AI195" s="36"/>
      <c r="AL195" s="81"/>
      <c r="AM195" s="81" t="s">
        <v>151</v>
      </c>
      <c r="AN195" s="81"/>
      <c r="AO195" s="81"/>
      <c r="AP195" s="81"/>
    </row>
    <row r="196" spans="1:55" x14ac:dyDescent="0.3">
      <c r="A196" s="23" t="s">
        <v>76</v>
      </c>
      <c r="B196" s="3">
        <f>B191+B192+B193+B194+0.25*B195</f>
        <v>381.26261249999999</v>
      </c>
      <c r="D196" s="3"/>
      <c r="E196" s="3"/>
      <c r="Q196" s="29"/>
      <c r="AF196" s="3" t="s">
        <v>101</v>
      </c>
      <c r="AG196" s="6" t="s">
        <v>107</v>
      </c>
      <c r="AH196" s="3" t="s">
        <v>149</v>
      </c>
      <c r="AI196" s="3" t="s">
        <v>150</v>
      </c>
      <c r="AL196" s="3" t="s">
        <v>56</v>
      </c>
      <c r="AM196" s="3" t="s">
        <v>101</v>
      </c>
      <c r="AN196" s="3" t="s">
        <v>104</v>
      </c>
      <c r="AO196" s="3" t="s">
        <v>150</v>
      </c>
      <c r="AP196" s="3" t="s">
        <v>152</v>
      </c>
    </row>
    <row r="197" spans="1:55" x14ac:dyDescent="0.3">
      <c r="A197" s="23"/>
      <c r="B197" s="3"/>
      <c r="D197" s="3" t="s">
        <v>83</v>
      </c>
      <c r="E197" s="3">
        <f>E193*E194*E195</f>
        <v>46.326149999999998</v>
      </c>
      <c r="Q197" s="29"/>
      <c r="AF197" s="34">
        <v>1</v>
      </c>
      <c r="AG197" s="3">
        <f>AA11</f>
        <v>337.72403750000001</v>
      </c>
      <c r="AH197" s="43">
        <v>4.25</v>
      </c>
      <c r="AI197" s="69">
        <f>AO17</f>
        <v>28.947194316688648</v>
      </c>
      <c r="AL197" s="3">
        <v>1</v>
      </c>
      <c r="AM197" s="3">
        <v>3</v>
      </c>
      <c r="AN197" s="58">
        <f>AF180</f>
        <v>3635.0591742546681</v>
      </c>
      <c r="AO197" s="3">
        <v>79.260000000000005</v>
      </c>
      <c r="AP197" s="69">
        <f>(AN197/AN201)*AO197</f>
        <v>9.104179895275383</v>
      </c>
    </row>
    <row r="198" spans="1:55" x14ac:dyDescent="0.3">
      <c r="A198" s="23" t="s">
        <v>77</v>
      </c>
      <c r="B198" s="3">
        <f>B191+B192+B193+B194</f>
        <v>371.82355000000001</v>
      </c>
      <c r="Q198" s="29"/>
      <c r="AF198" s="34">
        <v>2</v>
      </c>
      <c r="AG198" s="3">
        <f t="shared" ref="AG198:AG200" si="22">AA12</f>
        <v>527.9765625</v>
      </c>
      <c r="AH198" s="43">
        <f>AH197+3.25</f>
        <v>7.5</v>
      </c>
      <c r="AI198" s="69">
        <f t="shared" ref="AI198:AI200" si="23">AO18</f>
        <v>79.860400028937534</v>
      </c>
      <c r="AL198" s="3">
        <v>2</v>
      </c>
      <c r="AM198" s="3">
        <v>3</v>
      </c>
      <c r="AN198" s="58">
        <f t="shared" ref="AN198:AN200" si="24">AF181</f>
        <v>21886.499897320937</v>
      </c>
      <c r="AO198" s="3">
        <v>79.260000000000005</v>
      </c>
      <c r="AP198" s="69">
        <f>(AN198/AN201)*AO198</f>
        <v>54.815787801856622</v>
      </c>
      <c r="BC198" s="52"/>
    </row>
    <row r="199" spans="1:55" x14ac:dyDescent="0.3">
      <c r="A199" s="23" t="s">
        <v>78</v>
      </c>
      <c r="B199" s="3">
        <f>B191+B192+B193+B194+B195</f>
        <v>409.57980000000003</v>
      </c>
      <c r="Q199" s="29"/>
      <c r="AF199" s="34">
        <v>3</v>
      </c>
      <c r="AG199" s="3">
        <f t="shared" si="22"/>
        <v>291.12547849999999</v>
      </c>
      <c r="AH199" s="43">
        <f>AH198+3.25+2.75</f>
        <v>13.5</v>
      </c>
      <c r="AI199" s="69">
        <f t="shared" si="23"/>
        <v>79.262826953472072</v>
      </c>
      <c r="AL199" s="3">
        <v>3</v>
      </c>
      <c r="AM199" s="3">
        <v>3</v>
      </c>
      <c r="AN199" s="58">
        <f t="shared" si="24"/>
        <v>3635.0591742546681</v>
      </c>
      <c r="AO199" s="3">
        <v>79.260000000000005</v>
      </c>
      <c r="AP199" s="69">
        <f>(AN199/AN201)*AO199</f>
        <v>9.104179895275383</v>
      </c>
      <c r="BC199" s="52"/>
    </row>
    <row r="200" spans="1:55" x14ac:dyDescent="0.3">
      <c r="C200" s="51"/>
      <c r="D200" s="51" t="s">
        <v>88</v>
      </c>
      <c r="E200" s="51"/>
      <c r="F200" s="51">
        <f>F131+O158+B196+E197</f>
        <v>527.9765625</v>
      </c>
      <c r="G200" s="51"/>
      <c r="AF200" s="34">
        <v>3</v>
      </c>
      <c r="AG200" s="3">
        <f t="shared" si="22"/>
        <v>1156.8260785</v>
      </c>
      <c r="AH200" s="43">
        <f>AH197+AH198+AH199</f>
        <v>25.25</v>
      </c>
      <c r="AI200" s="69">
        <f t="shared" si="23"/>
        <v>188.07042129909826</v>
      </c>
      <c r="AL200" s="3">
        <v>4</v>
      </c>
      <c r="AM200" s="3">
        <v>3</v>
      </c>
      <c r="AN200" s="58">
        <f t="shared" si="24"/>
        <v>2489.8115771285479</v>
      </c>
      <c r="AO200" s="3">
        <v>79.260000000000005</v>
      </c>
      <c r="AP200" s="69">
        <f>(AN200/AN201)*AO200</f>
        <v>6.2358524075926223</v>
      </c>
      <c r="BC200" s="52"/>
    </row>
    <row r="201" spans="1:55" x14ac:dyDescent="0.3">
      <c r="AL201" s="3"/>
      <c r="AM201" s="3"/>
      <c r="AN201" s="62">
        <f>AN197+AN198+AN199+AN200</f>
        <v>31646.42982295882</v>
      </c>
      <c r="AO201" s="3"/>
      <c r="AP201" s="3"/>
      <c r="BC201" s="52"/>
    </row>
    <row r="202" spans="1:55" x14ac:dyDescent="0.3">
      <c r="BC202" s="52"/>
    </row>
    <row r="203" spans="1:55" x14ac:dyDescent="0.3">
      <c r="AL203" s="36"/>
      <c r="AM203" s="36" t="s">
        <v>151</v>
      </c>
      <c r="AN203" s="36"/>
      <c r="AO203" s="36"/>
      <c r="AP203" s="36"/>
      <c r="BC203" s="52"/>
    </row>
    <row r="204" spans="1:55" x14ac:dyDescent="0.3">
      <c r="AL204" s="3" t="s">
        <v>56</v>
      </c>
      <c r="AM204" s="3" t="s">
        <v>101</v>
      </c>
      <c r="AN204" s="3" t="s">
        <v>104</v>
      </c>
      <c r="AO204" s="3" t="s">
        <v>150</v>
      </c>
      <c r="AP204" s="3" t="s">
        <v>152</v>
      </c>
      <c r="BC204" s="52"/>
    </row>
    <row r="205" spans="1:55" x14ac:dyDescent="0.3">
      <c r="A205" s="31"/>
      <c r="B205" s="31"/>
      <c r="C205" s="32" t="s">
        <v>226</v>
      </c>
      <c r="D205" s="31"/>
      <c r="E205" s="31"/>
      <c r="F205" s="31"/>
      <c r="S205" s="29"/>
      <c r="AL205" s="3" t="s">
        <v>53</v>
      </c>
      <c r="AM205" s="3">
        <v>3</v>
      </c>
      <c r="AN205" s="58">
        <f>AF173</f>
        <v>5471.4178563084361</v>
      </c>
      <c r="AO205" s="3">
        <v>79.260000000000005</v>
      </c>
      <c r="AP205" s="69">
        <f>(AN205/AN209)*AO205</f>
        <v>37.65866206865541</v>
      </c>
      <c r="BC205" s="52"/>
    </row>
    <row r="206" spans="1:55" x14ac:dyDescent="0.3">
      <c r="AL206" s="3" t="s">
        <v>54</v>
      </c>
      <c r="AM206" s="3">
        <v>3</v>
      </c>
      <c r="AN206" s="58">
        <f t="shared" ref="AN206:AN208" si="25">AF174</f>
        <v>547.56941109833429</v>
      </c>
      <c r="AO206" s="3">
        <v>79.260000000000005</v>
      </c>
      <c r="AP206" s="69">
        <f>(AN206/AN209)*AO206</f>
        <v>3.7688094664364793</v>
      </c>
      <c r="BC206" s="52"/>
    </row>
    <row r="207" spans="1:55" x14ac:dyDescent="0.3">
      <c r="AL207" s="3" t="s">
        <v>55</v>
      </c>
      <c r="AM207" s="3">
        <v>3</v>
      </c>
      <c r="AN207" s="58">
        <f t="shared" si="25"/>
        <v>1821.3446386393452</v>
      </c>
      <c r="AO207" s="3">
        <v>79.260000000000005</v>
      </c>
      <c r="AP207" s="69">
        <f>(AN207/AN209)*AO207</f>
        <v>12.535946633648933</v>
      </c>
    </row>
    <row r="208" spans="1:55" x14ac:dyDescent="0.3">
      <c r="A208" s="20" t="s">
        <v>44</v>
      </c>
      <c r="B208" s="20" t="s">
        <v>29</v>
      </c>
      <c r="C208" s="20" t="s">
        <v>5</v>
      </c>
      <c r="D208" s="20" t="s">
        <v>48</v>
      </c>
      <c r="E208" s="20" t="s">
        <v>49</v>
      </c>
      <c r="F208" s="21" t="s">
        <v>50</v>
      </c>
      <c r="AL208" s="3" t="s">
        <v>165</v>
      </c>
      <c r="AM208" s="3">
        <v>3</v>
      </c>
      <c r="AN208" s="58">
        <f t="shared" si="25"/>
        <v>3675.3342241099135</v>
      </c>
      <c r="AO208" s="3">
        <v>79.260000000000005</v>
      </c>
      <c r="AP208" s="69">
        <f>(AN208/AN209)*AO208</f>
        <v>25.296581831259182</v>
      </c>
    </row>
    <row r="209" spans="1:40" x14ac:dyDescent="0.3">
      <c r="A209" s="20" t="s">
        <v>231</v>
      </c>
      <c r="B209" s="3">
        <f t="shared" ref="B209:B210" si="26">$B$23</f>
        <v>0.2</v>
      </c>
      <c r="C209" s="3">
        <v>4.375</v>
      </c>
      <c r="D209" s="3">
        <v>2.4</v>
      </c>
      <c r="E209" s="3">
        <v>4</v>
      </c>
      <c r="F209" s="3">
        <f t="shared" ref="F209:F210" si="27">B209*C209*D209*E209</f>
        <v>8.4</v>
      </c>
      <c r="Q209" s="29"/>
      <c r="R209" s="29"/>
      <c r="S209" s="29"/>
      <c r="T209" s="29"/>
      <c r="U209" s="29"/>
      <c r="V209" s="54"/>
      <c r="AN209" s="74">
        <f>AN205+AN206+AN207+AN208</f>
        <v>11515.666130156029</v>
      </c>
    </row>
    <row r="210" spans="1:40" x14ac:dyDescent="0.3">
      <c r="A210" s="20" t="s">
        <v>232</v>
      </c>
      <c r="B210" s="3">
        <f t="shared" si="26"/>
        <v>0.2</v>
      </c>
      <c r="C210" s="3">
        <v>3.18</v>
      </c>
      <c r="D210" s="3">
        <v>2.4</v>
      </c>
      <c r="E210" s="3">
        <v>3</v>
      </c>
      <c r="F210" s="3">
        <f t="shared" si="27"/>
        <v>4.5792000000000002</v>
      </c>
      <c r="Q210" s="29"/>
    </row>
    <row r="211" spans="1:40" x14ac:dyDescent="0.3">
      <c r="A211" s="20" t="s">
        <v>233</v>
      </c>
      <c r="B211" s="3">
        <f>$B$23</f>
        <v>0.2</v>
      </c>
      <c r="C211" s="3">
        <v>1.625</v>
      </c>
      <c r="D211" s="3">
        <v>2.4</v>
      </c>
      <c r="E211" s="3">
        <v>2</v>
      </c>
      <c r="F211" s="3">
        <f>B211*C211*D211*E211</f>
        <v>1.56</v>
      </c>
      <c r="Q211" s="29"/>
    </row>
    <row r="212" spans="1:40" x14ac:dyDescent="0.3">
      <c r="A212" s="20" t="s">
        <v>234</v>
      </c>
      <c r="B212" s="3">
        <f>$G$16</f>
        <v>0.44999999999999996</v>
      </c>
      <c r="C212" s="3">
        <v>1.625</v>
      </c>
      <c r="D212" s="3">
        <v>2.4</v>
      </c>
      <c r="E212" s="3">
        <v>6</v>
      </c>
      <c r="F212" s="3">
        <f>B212*C212*D212*E212</f>
        <v>10.53</v>
      </c>
      <c r="Q212" s="29"/>
    </row>
    <row r="213" spans="1:40" x14ac:dyDescent="0.3">
      <c r="A213" s="20" t="s">
        <v>235</v>
      </c>
      <c r="B213" s="3">
        <f>$G$17</f>
        <v>0.36</v>
      </c>
      <c r="C213" s="3">
        <v>1.625</v>
      </c>
      <c r="D213" s="3">
        <v>2.4</v>
      </c>
      <c r="E213" s="3">
        <v>6</v>
      </c>
      <c r="F213" s="3">
        <f t="shared" ref="F213:F214" si="28">B213*C213*D213*E213</f>
        <v>8.4239999999999995</v>
      </c>
      <c r="Q213" s="29"/>
    </row>
    <row r="214" spans="1:40" x14ac:dyDescent="0.3">
      <c r="A214" s="20" t="s">
        <v>236</v>
      </c>
      <c r="B214" s="3">
        <f>B212+B213</f>
        <v>0.80999999999999994</v>
      </c>
      <c r="C214" s="3">
        <v>3.25</v>
      </c>
      <c r="D214" s="3">
        <v>2.4</v>
      </c>
      <c r="E214" s="3">
        <v>6</v>
      </c>
      <c r="F214" s="3">
        <f t="shared" si="28"/>
        <v>37.908000000000001</v>
      </c>
      <c r="Q214" s="29"/>
    </row>
    <row r="215" spans="1:40" x14ac:dyDescent="0.3">
      <c r="A215" s="20" t="s">
        <v>47</v>
      </c>
      <c r="B215" s="3">
        <f>$G$23</f>
        <v>2.355</v>
      </c>
      <c r="C215" s="3">
        <v>1.625</v>
      </c>
      <c r="D215" s="3">
        <v>2.4</v>
      </c>
      <c r="E215" s="3">
        <v>1</v>
      </c>
      <c r="F215" s="3">
        <f>B215*C215*D215*E215</f>
        <v>9.1844999999999999</v>
      </c>
    </row>
    <row r="216" spans="1:40" x14ac:dyDescent="0.3">
      <c r="A216" s="20" t="s">
        <v>79</v>
      </c>
      <c r="B216" s="3"/>
      <c r="C216" s="3"/>
      <c r="D216" s="3"/>
      <c r="E216" s="3"/>
      <c r="F216" s="3">
        <f>SUM(F209:F215)</f>
        <v>80.585700000000003</v>
      </c>
    </row>
    <row r="219" spans="1:40" x14ac:dyDescent="0.3">
      <c r="A219" s="12"/>
      <c r="B219" s="13"/>
      <c r="C219" s="13" t="s">
        <v>51</v>
      </c>
      <c r="D219" s="13"/>
      <c r="Q219" s="35"/>
      <c r="R219" s="35"/>
      <c r="S219" s="35"/>
      <c r="T219" s="35"/>
    </row>
    <row r="221" spans="1:40" x14ac:dyDescent="0.3">
      <c r="A221" s="16"/>
      <c r="B221" s="17" t="s">
        <v>52</v>
      </c>
      <c r="C221" s="18"/>
      <c r="D221" s="19"/>
      <c r="Q221" s="29"/>
      <c r="R221" s="53"/>
      <c r="S221" s="29"/>
      <c r="T221" s="29"/>
    </row>
    <row r="222" spans="1:40" x14ac:dyDescent="0.3">
      <c r="A222" s="15" t="s">
        <v>56</v>
      </c>
      <c r="B222" s="15" t="s">
        <v>57</v>
      </c>
      <c r="C222" s="15" t="s">
        <v>58</v>
      </c>
      <c r="D222" s="15" t="s">
        <v>59</v>
      </c>
      <c r="E222" s="23" t="s">
        <v>84</v>
      </c>
      <c r="F222" s="23" t="s">
        <v>85</v>
      </c>
      <c r="I222" t="s">
        <v>60</v>
      </c>
      <c r="J222">
        <f>D223+D224+D225+D226+D227+D228+D229+D230+D231+D232+D233</f>
        <v>39.04999999999999</v>
      </c>
      <c r="K222" t="s">
        <v>86</v>
      </c>
      <c r="L222">
        <f>F223+F224+F225+F226+F227+F228+F229+F230+F231+F232+F233</f>
        <v>14.058</v>
      </c>
      <c r="Q222" s="29"/>
      <c r="R222" s="29"/>
      <c r="S222" s="29"/>
      <c r="T222" s="29"/>
      <c r="U222" s="29"/>
      <c r="V222" s="29"/>
    </row>
    <row r="223" spans="1:40" x14ac:dyDescent="0.3">
      <c r="A223" s="23" t="s">
        <v>53</v>
      </c>
      <c r="B223" s="3">
        <v>0.3</v>
      </c>
      <c r="C223" s="3">
        <v>0.5</v>
      </c>
      <c r="D223" s="3">
        <v>3.23</v>
      </c>
      <c r="E223" s="3">
        <f>J223*D223</f>
        <v>0.48449999999999999</v>
      </c>
      <c r="F223" s="3">
        <f>E223*K242</f>
        <v>1.1627999999999998</v>
      </c>
      <c r="I223" s="23" t="s">
        <v>61</v>
      </c>
      <c r="J223" s="3">
        <f>B223*C223</f>
        <v>0.15</v>
      </c>
      <c r="Q223" s="29"/>
    </row>
    <row r="224" spans="1:40" x14ac:dyDescent="0.3">
      <c r="A224" s="23" t="s">
        <v>53</v>
      </c>
      <c r="B224" s="3">
        <v>0.3</v>
      </c>
      <c r="C224" s="3">
        <v>0.5</v>
      </c>
      <c r="D224" s="3">
        <v>3.73</v>
      </c>
      <c r="E224" s="3">
        <f>J223*D224</f>
        <v>0.5595</v>
      </c>
      <c r="F224" s="3">
        <f>E224*K242</f>
        <v>1.3428</v>
      </c>
      <c r="Q224" s="29"/>
      <c r="AM224" s="52"/>
    </row>
    <row r="225" spans="1:39" x14ac:dyDescent="0.3">
      <c r="A225" s="23" t="s">
        <v>53</v>
      </c>
      <c r="B225" s="3">
        <v>0.3</v>
      </c>
      <c r="C225" s="3">
        <v>0.5</v>
      </c>
      <c r="D225" s="3">
        <v>3.3</v>
      </c>
      <c r="E225" s="3">
        <f>J223*D225</f>
        <v>0.49499999999999994</v>
      </c>
      <c r="F225" s="3">
        <f>E225*K242</f>
        <v>1.1879999999999997</v>
      </c>
      <c r="Q225" s="29"/>
      <c r="AM225" s="52"/>
    </row>
    <row r="226" spans="1:39" x14ac:dyDescent="0.3">
      <c r="A226" s="23" t="s">
        <v>54</v>
      </c>
      <c r="B226" s="3">
        <v>0.3</v>
      </c>
      <c r="C226" s="3">
        <v>0.5</v>
      </c>
      <c r="D226" s="3">
        <v>4.28</v>
      </c>
      <c r="E226" s="3">
        <f>J223*D226</f>
        <v>0.64200000000000002</v>
      </c>
      <c r="F226" s="3">
        <f>E226*K242</f>
        <v>1.5407999999999999</v>
      </c>
      <c r="Q226" s="29"/>
      <c r="AM226" s="52"/>
    </row>
    <row r="227" spans="1:39" x14ac:dyDescent="0.3">
      <c r="A227" s="23" t="s">
        <v>54</v>
      </c>
      <c r="B227" s="3">
        <v>0.3</v>
      </c>
      <c r="C227" s="3">
        <v>0.5</v>
      </c>
      <c r="D227" s="3">
        <v>2.88</v>
      </c>
      <c r="E227" s="3">
        <f>J223*D227</f>
        <v>0.432</v>
      </c>
      <c r="F227" s="3">
        <f>E227*K242</f>
        <v>1.0367999999999999</v>
      </c>
      <c r="Q227" s="29"/>
      <c r="AM227" s="52"/>
    </row>
    <row r="228" spans="1:39" x14ac:dyDescent="0.3">
      <c r="A228" s="23" t="s">
        <v>54</v>
      </c>
      <c r="B228" s="3">
        <v>0.3</v>
      </c>
      <c r="C228" s="3">
        <v>0.5</v>
      </c>
      <c r="D228" s="3">
        <v>4.28</v>
      </c>
      <c r="E228" s="3">
        <f>J223*D228</f>
        <v>0.64200000000000002</v>
      </c>
      <c r="F228" s="3">
        <f>E228*K242</f>
        <v>1.5407999999999999</v>
      </c>
      <c r="AM228" s="52"/>
    </row>
    <row r="229" spans="1:39" x14ac:dyDescent="0.3">
      <c r="A229" s="23" t="s">
        <v>55</v>
      </c>
      <c r="B229" s="3">
        <v>0.3</v>
      </c>
      <c r="C229" s="3">
        <v>0.5</v>
      </c>
      <c r="D229" s="3">
        <v>4.28</v>
      </c>
      <c r="E229" s="3">
        <f>J223*D229</f>
        <v>0.64200000000000002</v>
      </c>
      <c r="F229" s="3">
        <f>E229*K242</f>
        <v>1.5407999999999999</v>
      </c>
      <c r="AM229" s="52"/>
    </row>
    <row r="230" spans="1:39" x14ac:dyDescent="0.3">
      <c r="A230" s="23" t="s">
        <v>55</v>
      </c>
      <c r="B230" s="3">
        <v>0.3</v>
      </c>
      <c r="C230" s="3">
        <v>0.5</v>
      </c>
      <c r="D230" s="3">
        <v>2.88</v>
      </c>
      <c r="E230" s="3">
        <f>J223*D230</f>
        <v>0.432</v>
      </c>
      <c r="F230" s="3">
        <f>E230*K242</f>
        <v>1.0367999999999999</v>
      </c>
      <c r="AM230" s="52"/>
    </row>
    <row r="231" spans="1:39" x14ac:dyDescent="0.3">
      <c r="A231" s="23" t="s">
        <v>55</v>
      </c>
      <c r="B231" s="3">
        <v>0.3</v>
      </c>
      <c r="C231" s="3">
        <v>0.5</v>
      </c>
      <c r="D231" s="3">
        <v>3.23</v>
      </c>
      <c r="E231" s="3">
        <f>J223*D231</f>
        <v>0.48449999999999999</v>
      </c>
      <c r="F231" s="3">
        <f>E231*K242</f>
        <v>1.1627999999999998</v>
      </c>
      <c r="R231" s="29"/>
      <c r="AM231" s="52"/>
    </row>
    <row r="232" spans="1:39" x14ac:dyDescent="0.3">
      <c r="A232" s="23" t="s">
        <v>165</v>
      </c>
      <c r="B232" s="3">
        <v>0.3</v>
      </c>
      <c r="C232" s="3">
        <v>0.5</v>
      </c>
      <c r="D232" s="3">
        <v>3.23</v>
      </c>
      <c r="E232" s="3">
        <f>J223*D232</f>
        <v>0.48449999999999999</v>
      </c>
      <c r="F232" s="3">
        <f>E232*K242</f>
        <v>1.1627999999999998</v>
      </c>
    </row>
    <row r="233" spans="1:39" x14ac:dyDescent="0.3">
      <c r="A233" s="23" t="s">
        <v>165</v>
      </c>
      <c r="B233" s="3">
        <v>0.3</v>
      </c>
      <c r="C233" s="3">
        <v>0.5</v>
      </c>
      <c r="D233" s="3">
        <v>3.73</v>
      </c>
      <c r="E233" s="3">
        <f>J223*D233</f>
        <v>0.5595</v>
      </c>
      <c r="F233" s="3">
        <f>E233*K242</f>
        <v>1.3428</v>
      </c>
    </row>
    <row r="234" spans="1:39" x14ac:dyDescent="0.3">
      <c r="A234" s="16"/>
      <c r="B234" s="17" t="s">
        <v>62</v>
      </c>
      <c r="C234" s="18"/>
      <c r="D234" s="19"/>
      <c r="Q234" s="29"/>
      <c r="R234" s="53"/>
      <c r="S234" s="29"/>
      <c r="T234" s="29"/>
    </row>
    <row r="235" spans="1:39" x14ac:dyDescent="0.3">
      <c r="A235" s="15" t="s">
        <v>56</v>
      </c>
      <c r="B235" s="15" t="s">
        <v>57</v>
      </c>
      <c r="C235" s="15" t="s">
        <v>58</v>
      </c>
      <c r="D235" s="15" t="s">
        <v>59</v>
      </c>
      <c r="E235" s="23" t="s">
        <v>84</v>
      </c>
      <c r="F235" s="23" t="s">
        <v>85</v>
      </c>
      <c r="J235" s="3" t="s">
        <v>60</v>
      </c>
      <c r="K235" s="3">
        <f>D236+D237+D238+D239+D240+D241+D242+D243+D245+D244+D246</f>
        <v>44.47999999999999</v>
      </c>
      <c r="L235" t="s">
        <v>86</v>
      </c>
      <c r="M235">
        <f>F236+F237+F238+F239+F240+F241+F242+F243+F244+F245+F246</f>
        <v>16.012800000000002</v>
      </c>
      <c r="Q235" s="29"/>
      <c r="R235" s="29"/>
      <c r="S235" s="29"/>
      <c r="T235" s="29"/>
      <c r="U235" s="29"/>
      <c r="V235" s="29"/>
    </row>
    <row r="236" spans="1:39" x14ac:dyDescent="0.3">
      <c r="A236" s="23">
        <v>1</v>
      </c>
      <c r="B236" s="3">
        <v>0.3</v>
      </c>
      <c r="C236" s="3">
        <v>0.5</v>
      </c>
      <c r="D236" s="3">
        <v>3.73</v>
      </c>
      <c r="E236" s="3">
        <f>K240*D236</f>
        <v>0.5595</v>
      </c>
      <c r="F236" s="3">
        <f>E236*K242</f>
        <v>1.3428</v>
      </c>
      <c r="Q236" s="29"/>
      <c r="AF236" s="35"/>
      <c r="AG236" s="35"/>
      <c r="AH236" s="35"/>
      <c r="AI236" s="35"/>
      <c r="AL236" s="35"/>
    </row>
    <row r="237" spans="1:39" x14ac:dyDescent="0.3">
      <c r="A237" s="23">
        <v>1</v>
      </c>
      <c r="B237" s="3">
        <v>0.3</v>
      </c>
      <c r="C237" s="3">
        <v>0.5</v>
      </c>
      <c r="D237" s="3">
        <v>4.3499999999999996</v>
      </c>
      <c r="E237" s="3">
        <f>K240*D237</f>
        <v>0.65249999999999997</v>
      </c>
      <c r="F237" s="3">
        <f>E237*K242</f>
        <v>1.5659999999999998</v>
      </c>
      <c r="Q237" s="29"/>
    </row>
    <row r="238" spans="1:39" x14ac:dyDescent="0.3">
      <c r="A238" s="23">
        <v>1</v>
      </c>
      <c r="B238" s="3">
        <v>0.3</v>
      </c>
      <c r="C238" s="3">
        <v>0.5</v>
      </c>
      <c r="D238" s="3">
        <v>3.73</v>
      </c>
      <c r="E238" s="3">
        <f>K240*D238</f>
        <v>0.5595</v>
      </c>
      <c r="F238" s="3">
        <f>E238*K242</f>
        <v>1.3428</v>
      </c>
      <c r="Q238" s="29"/>
    </row>
    <row r="239" spans="1:39" x14ac:dyDescent="0.3">
      <c r="A239" s="23">
        <v>2</v>
      </c>
      <c r="B239" s="3">
        <v>0.3</v>
      </c>
      <c r="C239" s="3">
        <v>0.5</v>
      </c>
      <c r="D239" s="3">
        <v>4.7750000000000004</v>
      </c>
      <c r="E239" s="3">
        <f>K240*D239</f>
        <v>0.71625000000000005</v>
      </c>
      <c r="F239" s="3">
        <f>E239*K242</f>
        <v>1.7190000000000001</v>
      </c>
      <c r="Q239" s="29"/>
      <c r="AG239" s="35"/>
      <c r="AH239" s="35"/>
      <c r="AI239" s="35"/>
      <c r="AJ239" s="35"/>
      <c r="AL239" s="63"/>
    </row>
    <row r="240" spans="1:39" x14ac:dyDescent="0.3">
      <c r="A240" s="23">
        <v>2</v>
      </c>
      <c r="B240" s="3">
        <v>0.3</v>
      </c>
      <c r="C240" s="3">
        <v>0.5</v>
      </c>
      <c r="D240" s="3">
        <v>4.3499999999999996</v>
      </c>
      <c r="E240" s="3">
        <f>K240*D240</f>
        <v>0.65249999999999997</v>
      </c>
      <c r="F240" s="3">
        <f>E240*K242</f>
        <v>1.5659999999999998</v>
      </c>
      <c r="J240" s="23" t="s">
        <v>61</v>
      </c>
      <c r="K240" s="3">
        <f>B238*C238</f>
        <v>0.15</v>
      </c>
      <c r="M240" s="2" t="s">
        <v>87</v>
      </c>
      <c r="N240" s="2"/>
      <c r="O240" s="2">
        <f>L222+M235</f>
        <v>30.070800000000002</v>
      </c>
      <c r="Q240" s="29"/>
      <c r="AG240" s="35"/>
    </row>
    <row r="241" spans="1:36" x14ac:dyDescent="0.3">
      <c r="A241" s="23">
        <v>2</v>
      </c>
      <c r="B241" s="3">
        <v>0.3</v>
      </c>
      <c r="C241" s="3">
        <v>0.5</v>
      </c>
      <c r="D241" s="3">
        <v>4.7750000000000004</v>
      </c>
      <c r="E241" s="3">
        <f>K240*D241</f>
        <v>0.71625000000000005</v>
      </c>
      <c r="F241" s="3">
        <f>E241*K242</f>
        <v>1.7190000000000001</v>
      </c>
      <c r="Q241" s="29"/>
      <c r="AG241" s="35"/>
    </row>
    <row r="242" spans="1:36" x14ac:dyDescent="0.3">
      <c r="A242" s="23">
        <v>3</v>
      </c>
      <c r="B242" s="3">
        <v>0.3</v>
      </c>
      <c r="C242" s="3">
        <v>0.5</v>
      </c>
      <c r="D242" s="3">
        <v>3.73</v>
      </c>
      <c r="E242" s="3">
        <f>K240*D242</f>
        <v>0.5595</v>
      </c>
      <c r="F242" s="3">
        <f>E242*K242</f>
        <v>1.3428</v>
      </c>
      <c r="J242" s="23" t="s">
        <v>48</v>
      </c>
      <c r="K242" s="3">
        <v>2.4</v>
      </c>
      <c r="AG242" s="35"/>
    </row>
    <row r="243" spans="1:36" x14ac:dyDescent="0.3">
      <c r="A243" s="23">
        <v>3</v>
      </c>
      <c r="B243" s="3">
        <v>0.3</v>
      </c>
      <c r="C243" s="3">
        <v>0.5</v>
      </c>
      <c r="D243" s="3">
        <v>4.3499999999999996</v>
      </c>
      <c r="E243" s="3">
        <f>K240*D243</f>
        <v>0.65249999999999997</v>
      </c>
      <c r="F243" s="3">
        <f>E243*K242</f>
        <v>1.5659999999999998</v>
      </c>
      <c r="AG243" s="35"/>
    </row>
    <row r="244" spans="1:36" x14ac:dyDescent="0.3">
      <c r="A244" s="23">
        <v>3</v>
      </c>
      <c r="B244" s="3">
        <v>0.3</v>
      </c>
      <c r="C244" s="3">
        <v>0.5</v>
      </c>
      <c r="D244" s="3">
        <v>3.73</v>
      </c>
      <c r="E244" s="3">
        <f>K240*D244</f>
        <v>0.5595</v>
      </c>
      <c r="F244" s="3">
        <f>E244*K242</f>
        <v>1.3428</v>
      </c>
      <c r="I244" s="51"/>
      <c r="J244" s="51" t="s">
        <v>227</v>
      </c>
      <c r="K244" s="51">
        <f>J222+K235-4.35</f>
        <v>79.179999999999978</v>
      </c>
      <c r="L244" s="51"/>
      <c r="AG244" s="35"/>
    </row>
    <row r="245" spans="1:36" x14ac:dyDescent="0.3">
      <c r="A245" s="23">
        <v>4</v>
      </c>
      <c r="B245" s="3">
        <v>0.3</v>
      </c>
      <c r="C245" s="3">
        <v>0.5</v>
      </c>
      <c r="D245" s="3">
        <v>3.73</v>
      </c>
      <c r="E245" s="3">
        <f>K240*D245</f>
        <v>0.5595</v>
      </c>
      <c r="F245" s="3">
        <f>E245*K242</f>
        <v>1.3428</v>
      </c>
    </row>
    <row r="246" spans="1:36" x14ac:dyDescent="0.3">
      <c r="A246" s="23">
        <v>4</v>
      </c>
      <c r="B246" s="3">
        <v>0.3</v>
      </c>
      <c r="C246" s="3">
        <v>0.5</v>
      </c>
      <c r="D246" s="3">
        <v>3.23</v>
      </c>
      <c r="E246" s="3">
        <f>K240*D246</f>
        <v>0.48449999999999999</v>
      </c>
      <c r="F246" s="3">
        <f>E246*K242</f>
        <v>1.1627999999999998</v>
      </c>
      <c r="R246" s="29"/>
      <c r="AG246" s="35"/>
      <c r="AH246" s="35"/>
      <c r="AI246" s="35"/>
      <c r="AJ246" s="35"/>
    </row>
    <row r="247" spans="1:36" x14ac:dyDescent="0.3">
      <c r="A247" s="23"/>
      <c r="B247" s="3"/>
      <c r="C247" s="3"/>
      <c r="D247" s="3"/>
      <c r="E247" s="3"/>
      <c r="F247" s="3"/>
      <c r="AG247" s="35"/>
    </row>
    <row r="248" spans="1:36" x14ac:dyDescent="0.3">
      <c r="R248" s="29"/>
      <c r="AG248" s="35"/>
    </row>
    <row r="249" spans="1:36" x14ac:dyDescent="0.3">
      <c r="AG249" s="35"/>
    </row>
    <row r="251" spans="1:36" x14ac:dyDescent="0.3">
      <c r="R251" s="29"/>
    </row>
    <row r="256" spans="1:36" x14ac:dyDescent="0.3">
      <c r="A256" s="9"/>
      <c r="B256" s="30" t="s">
        <v>63</v>
      </c>
      <c r="C256" s="10"/>
      <c r="D256" s="11"/>
    </row>
    <row r="259" spans="1:21" x14ac:dyDescent="0.3">
      <c r="A259" s="14" t="s">
        <v>64</v>
      </c>
      <c r="B259" s="14" t="s">
        <v>65</v>
      </c>
      <c r="C259" s="14" t="s">
        <v>66</v>
      </c>
      <c r="D259" s="14" t="s">
        <v>67</v>
      </c>
      <c r="F259" s="3" t="s">
        <v>68</v>
      </c>
      <c r="G259" s="3">
        <f>D260+D261+D262</f>
        <v>190.79300000000001</v>
      </c>
    </row>
    <row r="260" spans="1:21" x14ac:dyDescent="0.3">
      <c r="A260" s="3">
        <v>1</v>
      </c>
      <c r="B260" s="3">
        <v>15.2</v>
      </c>
      <c r="C260" s="3">
        <v>6</v>
      </c>
      <c r="D260" s="3">
        <f>B260*C260</f>
        <v>91.199999999999989</v>
      </c>
    </row>
    <row r="261" spans="1:21" x14ac:dyDescent="0.3">
      <c r="A261" s="3">
        <v>2</v>
      </c>
      <c r="B261" s="3">
        <v>8.35</v>
      </c>
      <c r="C261" s="3">
        <v>4.9400000000000004</v>
      </c>
      <c r="D261" s="3">
        <f>B261*C261</f>
        <v>41.249000000000002</v>
      </c>
    </row>
    <row r="262" spans="1:21" x14ac:dyDescent="0.3">
      <c r="A262" s="3">
        <v>3</v>
      </c>
      <c r="B262" s="3">
        <v>10.4</v>
      </c>
      <c r="C262" s="3">
        <v>5.61</v>
      </c>
      <c r="D262" s="3">
        <f>B262*C262</f>
        <v>58.344000000000008</v>
      </c>
      <c r="F262" s="3" t="s">
        <v>69</v>
      </c>
      <c r="G262" s="3">
        <v>0.13</v>
      </c>
    </row>
    <row r="266" spans="1:21" x14ac:dyDescent="0.3">
      <c r="A266" s="20" t="s">
        <v>7</v>
      </c>
      <c r="B266" s="21" t="s">
        <v>8</v>
      </c>
      <c r="C266" s="21" t="s">
        <v>9</v>
      </c>
      <c r="D266" s="21" t="s">
        <v>10</v>
      </c>
      <c r="E266" s="20" t="s">
        <v>11</v>
      </c>
      <c r="Q266" s="29"/>
      <c r="R266" s="54"/>
      <c r="S266" s="54"/>
      <c r="T266" s="54"/>
      <c r="U266" s="29"/>
    </row>
    <row r="267" spans="1:21" x14ac:dyDescent="0.3">
      <c r="A267" s="23" t="s">
        <v>0</v>
      </c>
      <c r="B267" s="3">
        <v>150</v>
      </c>
      <c r="C267" s="3">
        <v>175</v>
      </c>
      <c r="D267" s="3">
        <v>125</v>
      </c>
      <c r="E267" s="3">
        <v>175</v>
      </c>
      <c r="Q267" s="29"/>
    </row>
    <row r="268" spans="1:21" x14ac:dyDescent="0.3">
      <c r="A268" s="20" t="s">
        <v>70</v>
      </c>
      <c r="B268" s="21" t="s">
        <v>8</v>
      </c>
      <c r="C268" s="21" t="s">
        <v>9</v>
      </c>
      <c r="D268" s="21" t="s">
        <v>10</v>
      </c>
      <c r="E268" s="20" t="s">
        <v>11</v>
      </c>
      <c r="Q268" s="29"/>
      <c r="R268" s="54"/>
      <c r="S268" s="54"/>
      <c r="T268" s="54"/>
      <c r="U268" s="29"/>
    </row>
    <row r="269" spans="1:21" x14ac:dyDescent="0.3">
      <c r="A269" s="23" t="s">
        <v>0</v>
      </c>
      <c r="B269" s="3">
        <f>B267/1000</f>
        <v>0.15</v>
      </c>
      <c r="C269" s="3">
        <f>C267/1000</f>
        <v>0.17499999999999999</v>
      </c>
      <c r="D269" s="3">
        <f>D267/1000</f>
        <v>0.125</v>
      </c>
      <c r="E269" s="3">
        <f>E267/1000</f>
        <v>0.17499999999999999</v>
      </c>
      <c r="Q269" s="29"/>
    </row>
    <row r="271" spans="1:21" x14ac:dyDescent="0.3">
      <c r="D271" s="23" t="s">
        <v>48</v>
      </c>
      <c r="E271" s="3">
        <v>2.4</v>
      </c>
      <c r="T271" s="29"/>
    </row>
    <row r="273" spans="1:17" x14ac:dyDescent="0.3">
      <c r="A273" s="23" t="s">
        <v>71</v>
      </c>
      <c r="B273" s="3">
        <f>E271*G259*G262</f>
        <v>59.527416000000002</v>
      </c>
      <c r="Q273" s="29"/>
    </row>
    <row r="274" spans="1:17" x14ac:dyDescent="0.3">
      <c r="A274" s="23" t="s">
        <v>72</v>
      </c>
      <c r="B274" s="3">
        <f>G259*C269</f>
        <v>33.388775000000003</v>
      </c>
      <c r="Q274" s="29"/>
    </row>
    <row r="275" spans="1:17" x14ac:dyDescent="0.3">
      <c r="A275" s="23" t="s">
        <v>73</v>
      </c>
      <c r="B275" s="3">
        <f>D269*G259</f>
        <v>23.849125000000001</v>
      </c>
      <c r="D275" s="3" t="s">
        <v>225</v>
      </c>
      <c r="E275" s="3">
        <f>K244</f>
        <v>79.179999999999978</v>
      </c>
      <c r="Q275" s="29"/>
    </row>
    <row r="276" spans="1:17" x14ac:dyDescent="0.3">
      <c r="A276" s="23" t="s">
        <v>74</v>
      </c>
      <c r="B276" s="3">
        <f>G259*E269</f>
        <v>33.388775000000003</v>
      </c>
      <c r="D276" s="3" t="s">
        <v>81</v>
      </c>
      <c r="E276" s="3">
        <v>1.625</v>
      </c>
      <c r="Q276" s="29"/>
    </row>
    <row r="277" spans="1:17" x14ac:dyDescent="0.3">
      <c r="A277" s="23" t="s">
        <v>75</v>
      </c>
      <c r="B277" s="3">
        <f>B269*G259</f>
        <v>28.618950000000002</v>
      </c>
      <c r="D277" s="3" t="s">
        <v>82</v>
      </c>
      <c r="E277" s="3">
        <v>0.18</v>
      </c>
      <c r="Q277" s="29"/>
    </row>
    <row r="278" spans="1:17" x14ac:dyDescent="0.3">
      <c r="A278" s="23" t="s">
        <v>76</v>
      </c>
      <c r="B278" s="3">
        <f>B273+B274+B275+B276+0.25*B277</f>
        <v>157.3088285</v>
      </c>
      <c r="D278" s="3"/>
      <c r="E278" s="3"/>
      <c r="Q278" s="29"/>
    </row>
    <row r="279" spans="1:17" x14ac:dyDescent="0.3">
      <c r="A279" s="23"/>
      <c r="B279" s="3"/>
      <c r="D279" s="3" t="s">
        <v>83</v>
      </c>
      <c r="E279" s="3">
        <f>E275*E276*E277</f>
        <v>23.160149999999991</v>
      </c>
      <c r="Q279" s="29"/>
    </row>
    <row r="280" spans="1:17" x14ac:dyDescent="0.3">
      <c r="A280" s="23" t="s">
        <v>77</v>
      </c>
      <c r="B280" s="3">
        <f>B273+B274+B275+B276</f>
        <v>150.15409099999999</v>
      </c>
      <c r="Q280" s="29"/>
    </row>
    <row r="281" spans="1:17" x14ac:dyDescent="0.3">
      <c r="A281" s="23" t="s">
        <v>78</v>
      </c>
      <c r="B281" s="3">
        <f>B273+B274+B275+B276+B277</f>
        <v>178.77304100000001</v>
      </c>
      <c r="Q281" s="29"/>
    </row>
    <row r="282" spans="1:17" x14ac:dyDescent="0.3">
      <c r="C282" s="51"/>
      <c r="D282" s="51" t="s">
        <v>88</v>
      </c>
      <c r="E282" s="51"/>
      <c r="F282" s="51">
        <f>F216+O240+B278+E279</f>
        <v>291.12547849999999</v>
      </c>
    </row>
    <row r="292" spans="1:6" x14ac:dyDescent="0.3">
      <c r="A292" t="s">
        <v>91</v>
      </c>
    </row>
    <row r="293" spans="1:6" x14ac:dyDescent="0.3">
      <c r="A293" s="3" t="s">
        <v>92</v>
      </c>
      <c r="B293" s="3" t="s">
        <v>93</v>
      </c>
      <c r="C293" s="3" t="s">
        <v>94</v>
      </c>
      <c r="D293" s="3" t="s">
        <v>95</v>
      </c>
      <c r="E293" s="3" t="s">
        <v>96</v>
      </c>
      <c r="F293" s="3" t="s">
        <v>97</v>
      </c>
    </row>
    <row r="294" spans="1:6" x14ac:dyDescent="0.3">
      <c r="A294" s="3">
        <v>1</v>
      </c>
      <c r="B294" s="3">
        <f>D173</f>
        <v>22.5</v>
      </c>
      <c r="C294" s="3">
        <v>2.8</v>
      </c>
      <c r="D294" s="3">
        <v>12.65</v>
      </c>
      <c r="E294" s="3">
        <f>B294*C294</f>
        <v>62.999999999999993</v>
      </c>
      <c r="F294" s="3">
        <f>B294*D294</f>
        <v>284.625</v>
      </c>
    </row>
    <row r="295" spans="1:6" x14ac:dyDescent="0.3">
      <c r="A295" s="3">
        <v>2</v>
      </c>
      <c r="B295" s="3">
        <f t="shared" ref="B295:B300" si="29">D174</f>
        <v>22.5</v>
      </c>
      <c r="C295" s="3">
        <v>12.9</v>
      </c>
      <c r="D295" s="3">
        <v>12.65</v>
      </c>
      <c r="E295" s="3">
        <f t="shared" ref="E295:E300" si="30">B295*C295</f>
        <v>290.25</v>
      </c>
      <c r="F295" s="3">
        <f t="shared" ref="F295:F300" si="31">B295*D295</f>
        <v>284.625</v>
      </c>
    </row>
    <row r="296" spans="1:6" x14ac:dyDescent="0.3">
      <c r="A296" s="3">
        <v>3</v>
      </c>
      <c r="B296" s="3">
        <f t="shared" si="29"/>
        <v>25</v>
      </c>
      <c r="C296" s="3">
        <v>2.8</v>
      </c>
      <c r="D296" s="3">
        <v>7.6</v>
      </c>
      <c r="E296" s="3">
        <f t="shared" si="30"/>
        <v>70</v>
      </c>
      <c r="F296" s="3">
        <f t="shared" si="31"/>
        <v>190</v>
      </c>
    </row>
    <row r="297" spans="1:6" x14ac:dyDescent="0.3">
      <c r="A297" s="3"/>
      <c r="B297" s="3">
        <f t="shared" si="29"/>
        <v>13.275</v>
      </c>
      <c r="C297" s="3">
        <v>7.85</v>
      </c>
      <c r="D297" s="3">
        <v>6.58</v>
      </c>
      <c r="E297" s="3">
        <f t="shared" si="30"/>
        <v>104.20874999999999</v>
      </c>
      <c r="F297" s="3">
        <f t="shared" si="31"/>
        <v>87.349500000000006</v>
      </c>
    </row>
    <row r="298" spans="1:6" x14ac:dyDescent="0.3">
      <c r="A298" s="3"/>
      <c r="B298" s="3">
        <f t="shared" si="29"/>
        <v>25</v>
      </c>
      <c r="C298" s="3">
        <v>12.9</v>
      </c>
      <c r="D298" s="3">
        <v>7.6</v>
      </c>
      <c r="E298" s="3">
        <f t="shared" si="30"/>
        <v>322.5</v>
      </c>
      <c r="F298" s="3">
        <f t="shared" si="31"/>
        <v>190</v>
      </c>
    </row>
    <row r="299" spans="1:6" x14ac:dyDescent="0.3">
      <c r="A299" s="3"/>
      <c r="B299" s="3">
        <f t="shared" si="29"/>
        <v>22.5</v>
      </c>
      <c r="C299" s="3">
        <v>2.8</v>
      </c>
      <c r="D299" s="3">
        <v>2.5499999999999998</v>
      </c>
      <c r="E299" s="3">
        <f t="shared" si="30"/>
        <v>62.999999999999993</v>
      </c>
      <c r="F299" s="3">
        <f t="shared" si="31"/>
        <v>57.374999999999993</v>
      </c>
    </row>
    <row r="300" spans="1:6" x14ac:dyDescent="0.3">
      <c r="A300" s="3"/>
      <c r="B300" s="3">
        <f t="shared" si="29"/>
        <v>20.25</v>
      </c>
      <c r="C300" s="3">
        <v>7.85</v>
      </c>
      <c r="D300" s="3">
        <v>2.5499999999999998</v>
      </c>
      <c r="E300" s="3">
        <f t="shared" si="30"/>
        <v>158.96250000000001</v>
      </c>
      <c r="F300" s="3">
        <f t="shared" si="31"/>
        <v>51.637499999999996</v>
      </c>
    </row>
    <row r="301" spans="1:6" x14ac:dyDescent="0.3">
      <c r="A301" s="3"/>
      <c r="B301" s="3">
        <f>B294+B295+B296+B297+B298+B299+B300</f>
        <v>151.02500000000001</v>
      </c>
      <c r="C301" s="3"/>
      <c r="D301" s="3"/>
      <c r="E301" s="3">
        <f>E294+E295+E296</f>
        <v>423.25</v>
      </c>
      <c r="F301" s="3">
        <f>F294+F295+F296</f>
        <v>759.25</v>
      </c>
    </row>
    <row r="307" spans="1:3" x14ac:dyDescent="0.3">
      <c r="A307" t="s">
        <v>100</v>
      </c>
    </row>
    <row r="308" spans="1:3" x14ac:dyDescent="0.3">
      <c r="A308" s="3" t="s">
        <v>98</v>
      </c>
      <c r="B308" s="3">
        <f>E301/B301</f>
        <v>2.802516139711968</v>
      </c>
    </row>
    <row r="309" spans="1:3" x14ac:dyDescent="0.3">
      <c r="A309" s="3" t="s">
        <v>99</v>
      </c>
      <c r="B309" s="3">
        <f>F301/B301</f>
        <v>5.0273133587154444</v>
      </c>
    </row>
    <row r="312" spans="1:3" x14ac:dyDescent="0.3">
      <c r="A312" s="3" t="s">
        <v>101</v>
      </c>
      <c r="B312" s="3" t="s">
        <v>102</v>
      </c>
      <c r="C312" s="3" t="s">
        <v>103</v>
      </c>
    </row>
    <row r="313" spans="1:3" x14ac:dyDescent="0.3">
      <c r="A313" s="3">
        <v>1</v>
      </c>
      <c r="B313">
        <f>F114</f>
        <v>337.72403750000001</v>
      </c>
      <c r="C313" s="3">
        <v>4.25</v>
      </c>
    </row>
    <row r="314" spans="1:3" x14ac:dyDescent="0.3">
      <c r="A314" s="3">
        <v>2</v>
      </c>
      <c r="B314" s="3">
        <f>F200</f>
        <v>527.9765625</v>
      </c>
      <c r="C314" s="3">
        <f>C313+3.25</f>
        <v>7.5</v>
      </c>
    </row>
    <row r="315" spans="1:3" x14ac:dyDescent="0.3">
      <c r="A315" s="3">
        <v>3</v>
      </c>
      <c r="B315" s="3">
        <f>F282</f>
        <v>291.12547849999999</v>
      </c>
      <c r="C315" s="3">
        <f>C314+3.25+2.75</f>
        <v>13.5</v>
      </c>
    </row>
    <row r="316" spans="1:3" x14ac:dyDescent="0.3">
      <c r="A316" s="3"/>
      <c r="B316" s="3">
        <f>B315+B314+B313</f>
        <v>1156.8260785</v>
      </c>
      <c r="C316" s="3">
        <f>C313+C314+C315</f>
        <v>25.25</v>
      </c>
    </row>
    <row r="363" spans="8:24" x14ac:dyDescent="0.3">
      <c r="H363" s="52"/>
    </row>
    <row r="364" spans="8:24" x14ac:dyDescent="0.3">
      <c r="H364" s="52"/>
    </row>
    <row r="365" spans="8:24" x14ac:dyDescent="0.3">
      <c r="H365" s="52"/>
      <c r="X365" s="52"/>
    </row>
    <row r="366" spans="8:24" x14ac:dyDescent="0.3">
      <c r="H366" s="52"/>
      <c r="X366" s="52"/>
    </row>
    <row r="367" spans="8:24" x14ac:dyDescent="0.3">
      <c r="H367" s="52"/>
      <c r="X367" s="52"/>
    </row>
    <row r="368" spans="8:24" x14ac:dyDescent="0.3">
      <c r="H368" s="52"/>
      <c r="X368" s="52"/>
    </row>
    <row r="369" spans="1:24" x14ac:dyDescent="0.3">
      <c r="H369" s="52"/>
      <c r="X369" s="52"/>
    </row>
    <row r="370" spans="1:24" x14ac:dyDescent="0.3">
      <c r="H370" s="52"/>
      <c r="X370" s="52"/>
    </row>
    <row r="371" spans="1:24" x14ac:dyDescent="0.3">
      <c r="X371" s="52"/>
    </row>
    <row r="372" spans="1:24" x14ac:dyDescent="0.3">
      <c r="X372" s="52"/>
    </row>
    <row r="373" spans="1:24" x14ac:dyDescent="0.3">
      <c r="X373" s="52"/>
    </row>
    <row r="375" spans="1:24" x14ac:dyDescent="0.3">
      <c r="A375" s="35"/>
      <c r="B375" s="35"/>
      <c r="C375" s="35"/>
      <c r="D375" s="35"/>
      <c r="G375" s="35"/>
    </row>
    <row r="376" spans="1:24" x14ac:dyDescent="0.3">
      <c r="A376" s="35"/>
    </row>
    <row r="377" spans="1:24" x14ac:dyDescent="0.3">
      <c r="A377" s="35"/>
    </row>
    <row r="378" spans="1:24" x14ac:dyDescent="0.3">
      <c r="A378" s="35"/>
    </row>
    <row r="379" spans="1:24" x14ac:dyDescent="0.3">
      <c r="A379" s="35"/>
    </row>
    <row r="380" spans="1:24" x14ac:dyDescent="0.3">
      <c r="A380" s="35"/>
    </row>
    <row r="382" spans="1:24" x14ac:dyDescent="0.3">
      <c r="A382" s="35"/>
      <c r="B382" s="35"/>
      <c r="C382" s="35"/>
      <c r="D382" s="35"/>
    </row>
    <row r="383" spans="1:24" x14ac:dyDescent="0.3">
      <c r="A383" s="35"/>
    </row>
    <row r="384" spans="1:24" x14ac:dyDescent="0.3">
      <c r="A384" s="35"/>
    </row>
    <row r="385" spans="1:11" x14ac:dyDescent="0.3">
      <c r="A385" s="35"/>
    </row>
    <row r="390" spans="1:11" x14ac:dyDescent="0.3">
      <c r="A390" s="31"/>
      <c r="B390" s="31"/>
      <c r="C390" s="31"/>
      <c r="D390" s="31"/>
      <c r="E390" s="31"/>
    </row>
    <row r="392" spans="1:11" x14ac:dyDescent="0.3">
      <c r="A392" s="36"/>
      <c r="B392" s="36"/>
      <c r="C392" s="36"/>
      <c r="D392" s="36"/>
      <c r="G392" s="36"/>
      <c r="H392" s="36"/>
      <c r="I392" s="36"/>
      <c r="J392" s="36"/>
      <c r="K392" s="36"/>
    </row>
  </sheetData>
  <mergeCells count="6">
    <mergeCell ref="AG95:AH95"/>
    <mergeCell ref="AD169:AE169"/>
    <mergeCell ref="AD111:AK111"/>
    <mergeCell ref="AT111:BA111"/>
    <mergeCell ref="AK179:AL179"/>
    <mergeCell ref="AU167:AV1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del Rocio Barrios Romero</dc:creator>
  <cp:lastModifiedBy>Marlon Ivan Carreto Rivera</cp:lastModifiedBy>
  <dcterms:created xsi:type="dcterms:W3CDTF">2024-10-16T21:31:19Z</dcterms:created>
  <dcterms:modified xsi:type="dcterms:W3CDTF">2024-11-10T07:13:38Z</dcterms:modified>
</cp:coreProperties>
</file>