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a\OneDrive\Documentos\INGENIERIA\SANITARIA 1\parcial\"/>
    </mc:Choice>
  </mc:AlternateContent>
  <xr:revisionPtr revIDLastSave="0" documentId="13_ncr:1_{C0328348-F568-47BE-8322-627581ECD779}" xr6:coauthVersionLast="47" xr6:coauthVersionMax="47" xr10:uidLastSave="{00000000-0000-0000-0000-000000000000}"/>
  <bookViews>
    <workbookView xWindow="-110" yWindow="-110" windowWidth="25820" windowHeight="15500" firstSheet="5" activeTab="5" xr2:uid="{B5040F86-351F-4997-9C94-099E0EEEA4A8}"/>
  </bookViews>
  <sheets>
    <sheet name="POBLACION FUTURA" sheetId="3" r:id="rId1"/>
    <sheet name="PSI A MCA" sheetId="4" r:id="rId2"/>
    <sheet name="LINEA DE COND DIAM TEORI 1 Y 2" sheetId="5" r:id="rId3"/>
    <sheet name="Hoja1" sheetId="7" r:id="rId4"/>
    <sheet name="LINEA DE CONDU TIPO DE TUBERIA" sheetId="6" r:id="rId5"/>
    <sheet name="Hoja 1" sheetId="1" r:id="rId6"/>
    <sheet name="Hoja2" sheetId="2" r:id="rId7"/>
    <sheet name="1ejemplo2" sheetId="8" r:id="rId8"/>
    <sheet name="2ejemplo2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9" l="1"/>
  <c r="L19" i="9"/>
  <c r="N19" i="9"/>
  <c r="O19" i="9"/>
  <c r="P19" i="9"/>
  <c r="J20" i="9"/>
  <c r="L20" i="9"/>
  <c r="O20" i="9"/>
  <c r="P20" i="9"/>
  <c r="P10" i="9"/>
  <c r="P11" i="9"/>
  <c r="L10" i="9"/>
  <c r="L11" i="9"/>
  <c r="J10" i="9"/>
  <c r="J7" i="8"/>
  <c r="J8" i="8"/>
  <c r="J9" i="8"/>
  <c r="J10" i="8"/>
  <c r="J11" i="8"/>
  <c r="J12" i="8"/>
  <c r="J13" i="8"/>
  <c r="J14" i="8"/>
  <c r="J15" i="8"/>
  <c r="J16" i="8"/>
  <c r="J17" i="8"/>
  <c r="J18" i="8"/>
  <c r="I7" i="8"/>
  <c r="I8" i="8"/>
  <c r="I9" i="8"/>
  <c r="I10" i="8"/>
  <c r="I11" i="8"/>
  <c r="I12" i="8"/>
  <c r="I13" i="8"/>
  <c r="I14" i="8"/>
  <c r="I15" i="8"/>
  <c r="I16" i="8"/>
  <c r="I17" i="8"/>
  <c r="I18" i="8"/>
  <c r="I6" i="8"/>
  <c r="I19" i="8"/>
  <c r="D7" i="8"/>
  <c r="D8" i="8"/>
  <c r="D9" i="8"/>
  <c r="D10" i="8"/>
  <c r="D11" i="8"/>
  <c r="D12" i="8"/>
  <c r="D13" i="8"/>
  <c r="D14" i="8"/>
  <c r="D15" i="8"/>
  <c r="D16" i="8"/>
  <c r="D17" i="8"/>
  <c r="E17" i="8"/>
  <c r="K17" i="8" s="1"/>
  <c r="D18" i="8"/>
  <c r="H5" i="1"/>
  <c r="E5" i="1"/>
  <c r="D6" i="8"/>
  <c r="D5" i="1"/>
  <c r="P18" i="9"/>
  <c r="O18" i="9"/>
  <c r="L18" i="9"/>
  <c r="J18" i="9"/>
  <c r="P17" i="9"/>
  <c r="L17" i="9"/>
  <c r="J17" i="9"/>
  <c r="P16" i="9"/>
  <c r="O16" i="9"/>
  <c r="L16" i="9"/>
  <c r="J16" i="9"/>
  <c r="P15" i="9"/>
  <c r="L15" i="9"/>
  <c r="J15" i="9"/>
  <c r="P14" i="9"/>
  <c r="O14" i="9"/>
  <c r="L14" i="9"/>
  <c r="J14" i="9"/>
  <c r="P13" i="9"/>
  <c r="O13" i="9"/>
  <c r="L13" i="9"/>
  <c r="J13" i="9"/>
  <c r="P12" i="9"/>
  <c r="O12" i="9"/>
  <c r="L12" i="9"/>
  <c r="J12" i="9"/>
  <c r="O11" i="9"/>
  <c r="J11" i="9"/>
  <c r="P9" i="9"/>
  <c r="L9" i="9"/>
  <c r="J9" i="9"/>
  <c r="P8" i="9"/>
  <c r="O8" i="9"/>
  <c r="L8" i="9"/>
  <c r="J8" i="9"/>
  <c r="P7" i="9"/>
  <c r="L7" i="9"/>
  <c r="N7" i="9" s="1"/>
  <c r="J7" i="9"/>
  <c r="E27" i="8"/>
  <c r="E8" i="8" s="1"/>
  <c r="K8" i="8" s="1"/>
  <c r="F17" i="8" l="1"/>
  <c r="H17" i="8" s="1"/>
  <c r="E16" i="8"/>
  <c r="K16" i="8" s="1"/>
  <c r="F16" i="8"/>
  <c r="H16" i="8" s="1"/>
  <c r="E13" i="8"/>
  <c r="K13" i="8" s="1"/>
  <c r="F13" i="8"/>
  <c r="H13" i="8" s="1"/>
  <c r="F6" i="8"/>
  <c r="H6" i="8" s="1"/>
  <c r="J6" i="8" s="1"/>
  <c r="F10" i="8"/>
  <c r="H10" i="8" s="1"/>
  <c r="E10" i="8"/>
  <c r="K10" i="8" s="1"/>
  <c r="E6" i="8"/>
  <c r="K6" i="8" s="1"/>
  <c r="F9" i="8"/>
  <c r="H9" i="8" s="1"/>
  <c r="F12" i="8"/>
  <c r="H12" i="8" s="1"/>
  <c r="E9" i="8"/>
  <c r="K9" i="8" s="1"/>
  <c r="F11" i="8"/>
  <c r="H11" i="8" s="1"/>
  <c r="E11" i="8"/>
  <c r="K11" i="8" s="1"/>
  <c r="E7" i="8"/>
  <c r="K7" i="8" s="1"/>
  <c r="E12" i="8"/>
  <c r="K12" i="8" s="1"/>
  <c r="F18" i="8"/>
  <c r="H18" i="8" s="1"/>
  <c r="F15" i="8"/>
  <c r="H15" i="8" s="1"/>
  <c r="E18" i="8"/>
  <c r="K18" i="8" s="1"/>
  <c r="E15" i="8"/>
  <c r="K15" i="8" s="1"/>
  <c r="E14" i="8"/>
  <c r="K14" i="8" s="1"/>
  <c r="F8" i="8"/>
  <c r="H8" i="8" s="1"/>
  <c r="F14" i="8"/>
  <c r="H14" i="8" s="1"/>
  <c r="F7" i="8"/>
  <c r="N11" i="9"/>
  <c r="N13" i="9" s="1"/>
  <c r="N16" i="9" s="1"/>
  <c r="N20" i="9" s="1"/>
  <c r="N8" i="9"/>
  <c r="N12" i="9" s="1"/>
  <c r="N14" i="9" s="1"/>
  <c r="N18" i="9" s="1"/>
  <c r="O7" i="9"/>
  <c r="H7" i="8" l="1"/>
  <c r="F19" i="8"/>
  <c r="H19" i="8" l="1"/>
  <c r="H21" i="8" s="1"/>
  <c r="H23" i="8" l="1"/>
  <c r="H22" i="8"/>
  <c r="I26" i="8" l="1"/>
  <c r="E29" i="8"/>
  <c r="I27" i="8"/>
  <c r="L15" i="2" l="1"/>
  <c r="L14" i="2"/>
  <c r="P14" i="2"/>
  <c r="J14" i="2"/>
  <c r="E22" i="1" l="1"/>
  <c r="I19" i="1"/>
  <c r="I20" i="1"/>
  <c r="G6" i="7" l="1"/>
  <c r="G5" i="7"/>
  <c r="G4" i="7"/>
  <c r="D26" i="6"/>
  <c r="D27" i="6" s="1"/>
  <c r="B26" i="6"/>
  <c r="B27" i="6"/>
  <c r="O35" i="6"/>
  <c r="O34" i="6"/>
  <c r="I31" i="6"/>
  <c r="I32" i="6"/>
  <c r="D7" i="6"/>
  <c r="F7" i="6" s="1"/>
  <c r="F14" i="6" s="1"/>
  <c r="D9" i="6"/>
  <c r="F9" i="6" s="1"/>
  <c r="G22" i="6"/>
  <c r="D8" i="6"/>
  <c r="F8" i="6" s="1"/>
  <c r="F15" i="6" s="1"/>
  <c r="D6" i="6"/>
  <c r="F6" i="6" s="1"/>
  <c r="F13" i="6" s="1"/>
  <c r="D5" i="6"/>
  <c r="F5" i="6" s="1"/>
  <c r="F12" i="6" s="1"/>
  <c r="D36" i="3"/>
  <c r="D38" i="3" s="1"/>
  <c r="D34" i="3"/>
  <c r="G6" i="5"/>
  <c r="G5" i="5"/>
  <c r="G4" i="5"/>
  <c r="C13" i="4"/>
  <c r="C15" i="4" s="1"/>
  <c r="C24" i="3"/>
  <c r="C26" i="3" s="1"/>
  <c r="C22" i="3"/>
  <c r="C15" i="3"/>
  <c r="C16" i="3" s="1"/>
  <c r="C23" i="3" s="1"/>
  <c r="D35" i="3" s="1"/>
  <c r="P15" i="2"/>
  <c r="O15" i="2"/>
  <c r="J15" i="2"/>
  <c r="P12" i="2"/>
  <c r="L12" i="2"/>
  <c r="L11" i="2"/>
  <c r="P7" i="2"/>
  <c r="J7" i="2"/>
  <c r="L6" i="2"/>
  <c r="J10" i="2"/>
  <c r="L10" i="2"/>
  <c r="O10" i="2"/>
  <c r="P10" i="2"/>
  <c r="O11" i="2"/>
  <c r="P11" i="2"/>
  <c r="J13" i="2"/>
  <c r="L13" i="2"/>
  <c r="O13" i="2"/>
  <c r="P13" i="2"/>
  <c r="P9" i="2"/>
  <c r="O9" i="2"/>
  <c r="L9" i="2"/>
  <c r="J9" i="2"/>
  <c r="P8" i="2"/>
  <c r="O8" i="2"/>
  <c r="L8" i="2"/>
  <c r="J8" i="2"/>
  <c r="P6" i="2"/>
  <c r="O6" i="2"/>
  <c r="P5" i="2"/>
  <c r="L5" i="2"/>
  <c r="N5" i="2" s="1"/>
  <c r="J5" i="2"/>
  <c r="E20" i="1"/>
  <c r="D7" i="1"/>
  <c r="D8" i="1"/>
  <c r="D9" i="1"/>
  <c r="D10" i="1"/>
  <c r="D11" i="1"/>
  <c r="G9" i="7" l="1"/>
  <c r="B17" i="7" s="1"/>
  <c r="L7" i="2"/>
  <c r="J6" i="2"/>
  <c r="J11" i="2"/>
  <c r="H8" i="6"/>
  <c r="H5" i="6"/>
  <c r="H6" i="6"/>
  <c r="D39" i="3"/>
  <c r="G9" i="5"/>
  <c r="B17" i="5" s="1"/>
  <c r="B18" i="5" s="1"/>
  <c r="C27" i="3"/>
  <c r="J12" i="2"/>
  <c r="O5" i="2"/>
  <c r="N6" i="2"/>
  <c r="N9" i="2" s="1"/>
  <c r="N11" i="2" s="1"/>
  <c r="N15" i="2" s="1"/>
  <c r="N8" i="2"/>
  <c r="N10" i="2" s="1"/>
  <c r="N13" i="2" s="1"/>
  <c r="F8" i="1"/>
  <c r="H8" i="1" s="1"/>
  <c r="I8" i="1" s="1"/>
  <c r="E9" i="1"/>
  <c r="K9" i="1" s="1"/>
  <c r="E8" i="1"/>
  <c r="K8" i="1" s="1"/>
  <c r="E11" i="1"/>
  <c r="K11" i="1" s="1"/>
  <c r="F7" i="1"/>
  <c r="H7" i="1" s="1"/>
  <c r="I7" i="1" s="1"/>
  <c r="F9" i="1"/>
  <c r="H9" i="1" s="1"/>
  <c r="I9" i="1" s="1"/>
  <c r="E7" i="1"/>
  <c r="K7" i="1" s="1"/>
  <c r="E10" i="1"/>
  <c r="K10" i="1" s="1"/>
  <c r="F11" i="1"/>
  <c r="H11" i="1" s="1"/>
  <c r="I11" i="1" s="1"/>
  <c r="F10" i="1"/>
  <c r="H10" i="1" s="1"/>
  <c r="I10" i="1" s="1"/>
  <c r="B18" i="7" l="1"/>
  <c r="G20" i="7" s="1"/>
  <c r="G22" i="7" s="1"/>
  <c r="B19" i="7"/>
  <c r="G17" i="6"/>
  <c r="J10" i="1"/>
  <c r="J9" i="1"/>
  <c r="J11" i="1"/>
  <c r="J8" i="1"/>
  <c r="J7" i="1"/>
  <c r="E6" i="1"/>
  <c r="K6" i="1" s="1"/>
  <c r="K5" i="1"/>
  <c r="D6" i="1"/>
  <c r="F6" i="1" s="1"/>
  <c r="H6" i="1" s="1"/>
  <c r="F5" i="1"/>
  <c r="A37" i="7" l="1"/>
  <c r="F39" i="7"/>
  <c r="F40" i="7"/>
  <c r="A38" i="7"/>
  <c r="G21" i="7"/>
  <c r="G23" i="7" s="1"/>
  <c r="B27" i="7" s="1"/>
  <c r="B22" i="6"/>
  <c r="B21" i="6"/>
  <c r="F40" i="5"/>
  <c r="A38" i="5"/>
  <c r="F39" i="5"/>
  <c r="A37" i="5"/>
  <c r="G21" i="5"/>
  <c r="G23" i="5" s="1"/>
  <c r="G20" i="5"/>
  <c r="G22" i="5" s="1"/>
  <c r="F12" i="1"/>
  <c r="H12" i="1"/>
  <c r="J6" i="1"/>
  <c r="I6" i="1"/>
  <c r="B38" i="7" l="1"/>
  <c r="G40" i="7" s="1"/>
  <c r="G33" i="7"/>
  <c r="B28" i="7"/>
  <c r="B37" i="7"/>
  <c r="G39" i="7" s="1"/>
  <c r="G32" i="7"/>
  <c r="E44" i="7" s="1"/>
  <c r="E45" i="7" s="1"/>
  <c r="B27" i="5"/>
  <c r="B38" i="5" s="1"/>
  <c r="G40" i="5" s="1"/>
  <c r="I5" i="1"/>
  <c r="I12" i="1"/>
  <c r="H14" i="1"/>
  <c r="H15" i="1" s="1"/>
  <c r="J5" i="1"/>
  <c r="G33" i="5" l="1"/>
  <c r="B28" i="5"/>
  <c r="B37" i="5" s="1"/>
  <c r="G39" i="5" s="1"/>
  <c r="H16" i="1"/>
  <c r="G32" i="5" l="1"/>
  <c r="E44" i="5" s="1"/>
  <c r="E45" i="5" s="1"/>
</calcChain>
</file>

<file path=xl/sharedStrings.xml><?xml version="1.0" encoding="utf-8"?>
<sst xmlns="http://schemas.openxmlformats.org/spreadsheetml/2006/main" count="295" uniqueCount="141">
  <si>
    <t>Punto de consumo</t>
  </si>
  <si>
    <t>Habitantes actuales</t>
  </si>
  <si>
    <t>Viviendas actuales</t>
  </si>
  <si>
    <t>Viviendas futuras</t>
  </si>
  <si>
    <t>Habitantes futuros</t>
  </si>
  <si>
    <t>Qhora máxima</t>
  </si>
  <si>
    <t>Q consumo simultaneo</t>
  </si>
  <si>
    <t>Observaciones</t>
  </si>
  <si>
    <t>CRITERIOS DE DISEÑO</t>
  </si>
  <si>
    <t>Densidad de vivienda</t>
  </si>
  <si>
    <t>Hab/viv</t>
  </si>
  <si>
    <t>Tasa de crecimientp geométrico</t>
  </si>
  <si>
    <t>%</t>
  </si>
  <si>
    <t>Período de diseño</t>
  </si>
  <si>
    <t>Años</t>
  </si>
  <si>
    <t>Factor de crecimiento</t>
  </si>
  <si>
    <t>Dotación           Lit / hab / día</t>
  </si>
  <si>
    <t>Q medio        Lit / seg</t>
  </si>
  <si>
    <t>Factor de día máximo</t>
  </si>
  <si>
    <t>Qdía maximo           Lit / seg</t>
  </si>
  <si>
    <t>Volumen tanque de distribución</t>
  </si>
  <si>
    <t>m3</t>
  </si>
  <si>
    <t>Factor de hora máxima</t>
  </si>
  <si>
    <t>Q (l/s)</t>
  </si>
  <si>
    <t>Longitud  (m)</t>
  </si>
  <si>
    <t>Tipo de Tubería</t>
  </si>
  <si>
    <t>Resistencia de tubería (PSI)</t>
  </si>
  <si>
    <t>C</t>
  </si>
  <si>
    <t>Perdida de carga propuesta</t>
  </si>
  <si>
    <t>Diámetro teórico</t>
  </si>
  <si>
    <t>Respuestas</t>
  </si>
  <si>
    <t>Diámetro real</t>
  </si>
  <si>
    <t>Hf1</t>
  </si>
  <si>
    <t>Cota de suelo</t>
  </si>
  <si>
    <t>Piezométrica</t>
  </si>
  <si>
    <t>Presión estática</t>
  </si>
  <si>
    <t>Velocidad de flujo dentro de tubería m/s</t>
  </si>
  <si>
    <t>PVC</t>
  </si>
  <si>
    <t>DE</t>
  </si>
  <si>
    <t>A</t>
  </si>
  <si>
    <t>B</t>
  </si>
  <si>
    <t>D</t>
  </si>
  <si>
    <t>E</t>
  </si>
  <si>
    <t>F</t>
  </si>
  <si>
    <t>G</t>
  </si>
  <si>
    <t>CRP1</t>
  </si>
  <si>
    <t>CRP2</t>
  </si>
  <si>
    <t>CRP3</t>
  </si>
  <si>
    <t>POBLACION ACTUAL</t>
  </si>
  <si>
    <t>R</t>
  </si>
  <si>
    <t>n</t>
  </si>
  <si>
    <t>POBLACION INICIAL</t>
  </si>
  <si>
    <t>POBLACION FUTURA</t>
  </si>
  <si>
    <t>AÑO INICAL</t>
  </si>
  <si>
    <t>AÑO ACTUAL</t>
  </si>
  <si>
    <t>AÑO FUTURO</t>
  </si>
  <si>
    <t>CALCULANDO R (TASA DE CRECIMIENTO)</t>
  </si>
  <si>
    <t>CALCULANDO POBLACION FUTURA</t>
  </si>
  <si>
    <t>PSI</t>
  </si>
  <si>
    <t>MCA</t>
  </si>
  <si>
    <t xml:space="preserve">RECOMENDABLE USAR </t>
  </si>
  <si>
    <t>PSI/1.422</t>
  </si>
  <si>
    <t>FORMULA =</t>
  </si>
  <si>
    <t>COTA MAYOR</t>
  </si>
  <si>
    <t>COTA MENOR</t>
  </si>
  <si>
    <t>COTA DE SALIDA</t>
  </si>
  <si>
    <t>COTA DE LLEGADA</t>
  </si>
  <si>
    <t>CAUDAL Q (LTS/S)</t>
  </si>
  <si>
    <t>LONGUITUD L (M)</t>
  </si>
  <si>
    <t>COEFICIENTE HW</t>
  </si>
  <si>
    <t>PERDIDA DE CARGA HF</t>
  </si>
  <si>
    <t>CALCULANDO DIAMETRO TEORICO</t>
  </si>
  <si>
    <t>DIAMETRO TEORICO</t>
  </si>
  <si>
    <t>D1</t>
  </si>
  <si>
    <t>D2</t>
  </si>
  <si>
    <t>"</t>
  </si>
  <si>
    <t>CON DIAMETROS D1 Y D2</t>
  </si>
  <si>
    <t xml:space="preserve">hf 1 </t>
  </si>
  <si>
    <t>hf D1</t>
  </si>
  <si>
    <t>hf D2</t>
  </si>
  <si>
    <t>hf 2</t>
  </si>
  <si>
    <t>CALCULANDO L1 Y L2</t>
  </si>
  <si>
    <t>LONGUITUD DE DISEÑO LD</t>
  </si>
  <si>
    <t>L2</t>
  </si>
  <si>
    <t>L1</t>
  </si>
  <si>
    <t>HF L1</t>
  </si>
  <si>
    <t>CALCULANDO PERDIDA DE CARGA HF</t>
  </si>
  <si>
    <t>CALCULANDO HF L1 D1 Y L2 D2</t>
  </si>
  <si>
    <t>HF L2</t>
  </si>
  <si>
    <t>CALCULANDO CANTIDAD DE TUBOS (CT)</t>
  </si>
  <si>
    <t>CALCULANDO LOGITUD EN TUBERIA</t>
  </si>
  <si>
    <t>COMPROBANDO COTA DE LLEGADA</t>
  </si>
  <si>
    <t>AÑO INICIAL</t>
  </si>
  <si>
    <t xml:space="preserve">COTA DE CAPTACIÓN </t>
  </si>
  <si>
    <t>COTA MÁS BAJA</t>
  </si>
  <si>
    <t xml:space="preserve">COTA DE TANQUE </t>
  </si>
  <si>
    <t>PVC 160 PSI</t>
  </si>
  <si>
    <t xml:space="preserve">PVC 250 PSI </t>
  </si>
  <si>
    <t>HG MEDIANO</t>
  </si>
  <si>
    <t>HG PESADO</t>
  </si>
  <si>
    <t>TUBERIA</t>
  </si>
  <si>
    <t>CALCULANDO TIPOS TUBERIAS A UTILIZAR</t>
  </si>
  <si>
    <t>TUBERIA A USAR</t>
  </si>
  <si>
    <t>SI</t>
  </si>
  <si>
    <t>NO</t>
  </si>
  <si>
    <t>HG LIVIANO</t>
  </si>
  <si>
    <t>TOTAL LONGUITUD</t>
  </si>
  <si>
    <t>CALCULANDO % DE TUBERIA</t>
  </si>
  <si>
    <t>HG</t>
  </si>
  <si>
    <t>COEFICIENTE HW PVC</t>
  </si>
  <si>
    <t>COEFICIENTE HW HG</t>
  </si>
  <si>
    <t>CALCULANDO HW PROMEDIO</t>
  </si>
  <si>
    <t>DEBAJO DE 860 ES HG</t>
  </si>
  <si>
    <t>HG LIVIANO EN AGUA POTABLE NO SE USA</t>
  </si>
  <si>
    <t>HG MEDIA SE USA DE 860 A 300 EN COTA</t>
  </si>
  <si>
    <t>EN COTA 2000</t>
  </si>
  <si>
    <t>EN COTA 1000</t>
  </si>
  <si>
    <t>SE SUMAN TODAS PVC 160</t>
  </si>
  <si>
    <t>SE SUMAN TODAS PVC 250</t>
  </si>
  <si>
    <t>SE SUMAN TODAS LAS HG MEDIANAS</t>
  </si>
  <si>
    <t>DIFERENCIA DE C HG</t>
  </si>
  <si>
    <t>FIJO</t>
  </si>
  <si>
    <t xml:space="preserve">vol tanque </t>
  </si>
  <si>
    <t>INTERMEDIO</t>
  </si>
  <si>
    <t>ENTRE 2-5</t>
  </si>
  <si>
    <t>CRP4</t>
  </si>
  <si>
    <t>H</t>
  </si>
  <si>
    <t xml:space="preserve">RAMAL FINAL SE COMPARA Y SE TOMA EL VALOR MAYOR </t>
  </si>
  <si>
    <t>V</t>
  </si>
  <si>
    <t>U</t>
  </si>
  <si>
    <t>W</t>
  </si>
  <si>
    <t>T</t>
  </si>
  <si>
    <t>S</t>
  </si>
  <si>
    <t>Q</t>
  </si>
  <si>
    <t>N</t>
  </si>
  <si>
    <t>P</t>
  </si>
  <si>
    <t>O</t>
  </si>
  <si>
    <t>K</t>
  </si>
  <si>
    <t>M</t>
  </si>
  <si>
    <t>L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</si>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</sst>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rgb="FF202124"/>
      <name val="Arial"/>
      <family val="2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sz val="8"/>
      <color rgb="FF92D050"/>
      <name val="Arial"/>
      <family val="2"/>
    </font>
    <font>
      <sz val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9" fontId="0" fillId="0" borderId="0" xfId="1" applyFont="1" applyAlignment="1">
      <alignment horizontal="center"/>
    </xf>
    <xf numFmtId="9" fontId="0" fillId="5" borderId="0" xfId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0" borderId="0" xfId="0" applyFont="1"/>
    <xf numFmtId="0" fontId="4" fillId="0" borderId="0" xfId="2" applyFont="1" applyAlignment="1">
      <alignment horizontal="center" vertical="center" wrapText="1"/>
    </xf>
    <xf numFmtId="2" fontId="3" fillId="0" borderId="0" xfId="2" applyNumberFormat="1"/>
    <xf numFmtId="0" fontId="3" fillId="0" borderId="0" xfId="2"/>
    <xf numFmtId="0" fontId="5" fillId="0" borderId="0" xfId="0" applyFont="1"/>
    <xf numFmtId="0" fontId="0" fillId="7" borderId="0" xfId="0" applyFill="1"/>
    <xf numFmtId="0" fontId="0" fillId="7" borderId="1" xfId="0" applyFill="1" applyBorder="1"/>
    <xf numFmtId="0" fontId="8" fillId="7" borderId="1" xfId="0" applyFont="1" applyFill="1" applyBorder="1"/>
    <xf numFmtId="0" fontId="0" fillId="0" borderId="1" xfId="0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8" fillId="2" borderId="6" xfId="0" applyFont="1" applyFill="1" applyBorder="1"/>
    <xf numFmtId="0" fontId="10" fillId="0" borderId="0" xfId="0" applyFont="1"/>
    <xf numFmtId="0" fontId="8" fillId="7" borderId="7" xfId="0" applyFont="1" applyFill="1" applyBorder="1"/>
    <xf numFmtId="1" fontId="8" fillId="2" borderId="7" xfId="0" applyNumberFormat="1" applyFont="1" applyFill="1" applyBorder="1"/>
    <xf numFmtId="0" fontId="6" fillId="0" borderId="0" xfId="0" applyFont="1"/>
    <xf numFmtId="0" fontId="0" fillId="0" borderId="15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8" fillId="0" borderId="0" xfId="0" applyFont="1"/>
    <xf numFmtId="0" fontId="6" fillId="7" borderId="1" xfId="0" applyFont="1" applyFill="1" applyBorder="1" applyAlignment="1">
      <alignment horizontal="right"/>
    </xf>
    <xf numFmtId="0" fontId="8" fillId="7" borderId="1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right"/>
    </xf>
    <xf numFmtId="2" fontId="6" fillId="7" borderId="1" xfId="0" applyNumberFormat="1" applyFont="1" applyFill="1" applyBorder="1" applyAlignment="1">
      <alignment horizontal="center"/>
    </xf>
    <xf numFmtId="0" fontId="5" fillId="7" borderId="0" xfId="0" applyFont="1" applyFill="1"/>
    <xf numFmtId="1" fontId="6" fillId="7" borderId="1" xfId="0" applyNumberFormat="1" applyFont="1" applyFill="1" applyBorder="1" applyAlignment="1">
      <alignment horizontal="center"/>
    </xf>
    <xf numFmtId="0" fontId="9" fillId="7" borderId="13" xfId="0" applyFont="1" applyFill="1" applyBorder="1" applyAlignment="1">
      <alignment horizontal="right"/>
    </xf>
    <xf numFmtId="0" fontId="9" fillId="7" borderId="14" xfId="0" applyFont="1" applyFill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6" fillId="0" borderId="7" xfId="0" applyFont="1" applyBorder="1"/>
    <xf numFmtId="0" fontId="6" fillId="0" borderId="6" xfId="0" applyFont="1" applyBorder="1"/>
    <xf numFmtId="0" fontId="8" fillId="0" borderId="1" xfId="0" applyFont="1" applyBorder="1"/>
    <xf numFmtId="2" fontId="8" fillId="0" borderId="1" xfId="0" applyNumberFormat="1" applyFont="1" applyBorder="1"/>
    <xf numFmtId="1" fontId="8" fillId="0" borderId="1" xfId="0" applyNumberFormat="1" applyFont="1" applyBorder="1" applyAlignment="1">
      <alignment horizontal="center" vertical="center"/>
    </xf>
    <xf numFmtId="2" fontId="0" fillId="0" borderId="2" xfId="0" applyNumberFormat="1" applyBorder="1"/>
    <xf numFmtId="2" fontId="6" fillId="7" borderId="8" xfId="0" applyNumberFormat="1" applyFont="1" applyFill="1" applyBorder="1"/>
    <xf numFmtId="0" fontId="8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3" xfId="0" applyBorder="1"/>
    <xf numFmtId="0" fontId="8" fillId="7" borderId="11" xfId="0" applyFont="1" applyFill="1" applyBorder="1"/>
    <xf numFmtId="0" fontId="6" fillId="7" borderId="17" xfId="0" applyFont="1" applyFill="1" applyBorder="1"/>
    <xf numFmtId="0" fontId="7" fillId="0" borderId="1" xfId="0" applyFont="1" applyBorder="1"/>
    <xf numFmtId="0" fontId="7" fillId="0" borderId="0" xfId="0" applyFont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3" fillId="0" borderId="0" xfId="0" applyFont="1" applyAlignment="1">
      <alignment horizontal="right" vertical="center"/>
    </xf>
    <xf numFmtId="2" fontId="13" fillId="0" borderId="0" xfId="0" applyNumberFormat="1" applyFont="1"/>
    <xf numFmtId="1" fontId="13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2" fontId="14" fillId="0" borderId="0" xfId="0" applyNumberFormat="1" applyFont="1"/>
    <xf numFmtId="16" fontId="4" fillId="0" borderId="0" xfId="2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2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6" fillId="0" borderId="1" xfId="2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165" fontId="16" fillId="8" borderId="1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8" borderId="18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6" fillId="5" borderId="2" xfId="2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 wrapText="1"/>
    </xf>
    <xf numFmtId="0" fontId="16" fillId="5" borderId="1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F3B8C298-551A-450C-B6F7-B48690814120}"/>
    <cellStyle name="Porcentaje" xfId="1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3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g"/><Relationship Id="rId1" Type="http://schemas.openxmlformats.org/officeDocument/2006/relationships/image" Target="../media/image1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83819</xdr:colOff>
      <xdr:row>9</xdr:row>
      <xdr:rowOff>182879</xdr:rowOff>
    </xdr:from>
    <xdr:to>
      <xdr:col>4</xdr:col>
      <xdr:colOff>800100</xdr:colOff>
      <xdr:row>13</xdr:row>
      <xdr:rowOff>164195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C2F851-8394-32F9-D627-9AFDD22E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499" y="594359"/>
          <a:ext cx="1790701" cy="712836"/>
        </a:xfrm>
        <a:prstGeom prst="rect">
          <a:avLst/>
        </a:prstGeom>
      </xdr:spPr>
    </xdr:pic>
    <xdr:clientData/>
  </xdr:twoCellAnchor>
  <xdr:twoCellAnchor editAs="oneCell">
    <xdr:from>
      <xdr:col>3</xdr:col>
      <xdr:colOff>53341</xdr:colOff>
      <xdr:row>13</xdr:row>
      <xdr:rowOff>152400</xdr:rowOff>
    </xdr:from>
    <xdr:to>
      <xdr:col>5</xdr:col>
      <xdr:colOff>22861</xdr:colOff>
      <xdr:row>17</xdr:row>
      <xdr:rowOff>133705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C5472E6-2A0B-375E-4941-43FDD79ED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1" y="1295400"/>
          <a:ext cx="1874520" cy="728065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20</xdr:row>
      <xdr:rowOff>76201</xdr:rowOff>
    </xdr:from>
    <xdr:to>
      <xdr:col>5</xdr:col>
      <xdr:colOff>213360</xdr:colOff>
      <xdr:row>23</xdr:row>
      <xdr:rowOff>166386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66885B-2C86-20BF-E1C1-022274CB0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1820" y="2560321"/>
          <a:ext cx="1996440" cy="63882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24</xdr:row>
      <xdr:rowOff>167641</xdr:rowOff>
    </xdr:from>
    <xdr:to>
      <xdr:col>5</xdr:col>
      <xdr:colOff>746760</xdr:colOff>
      <xdr:row>29</xdr:row>
      <xdr:rowOff>48299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7A46891-E633-919F-202F-B8C6A2210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3383281"/>
          <a:ext cx="2537460" cy="810298"/>
        </a:xfrm>
        <a:prstGeom prst="rect">
          <a:avLst/>
        </a:prstGeom>
      </xdr:spPr>
    </xdr:pic>
    <xdr:clientData/>
  </xdr:twoCellAnchor>
  <xdr:twoCellAnchor>
    <xdr:from>
      <xdr:col>0</xdr:col>
      <xdr:colOff>266700</xdr:colOff>
      <xdr:row>1</xdr:row>
      <xdr:rowOff>0</xdr:rowOff>
    </xdr:from>
    <xdr:to>
      <xdr:col>5</xdr:col>
      <xdr:colOff>792480</xdr:colOff>
      <xdr:row>7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6B1009-9246-31E8-EE91-F881A4A7FC24}"/>
            </a:ext>
          </a:extLst>
        </xdr:cNvPr>
        <xdr:cNvSpPr txBox="1"/>
      </xdr:nvSpPr>
      <xdr:spPr>
        <a:xfrm>
          <a:off x="266700" y="182880"/>
          <a:ext cx="5836920" cy="1097280"/>
        </a:xfrm>
        <a:prstGeom prst="rect">
          <a:avLst/>
        </a:prstGeom>
        <a:noFill/>
        <a:ln w="28575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/>
            <a:t>CALCULE</a:t>
          </a:r>
          <a:r>
            <a:rPr lang="es-GT" sz="1400" b="1" baseline="0"/>
            <a:t> LA CANTIDAD DE POBLACIÓN QUE EXISTIRÁ EN EL 2046 SI EN EL AÑO 2000 HABIAN 300 Y ACTUALMENTE HAY 585</a:t>
          </a:r>
          <a:endParaRPr lang="es-GT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45721</xdr:rowOff>
    </xdr:from>
    <xdr:to>
      <xdr:col>1</xdr:col>
      <xdr:colOff>1173480</xdr:colOff>
      <xdr:row>15</xdr:row>
      <xdr:rowOff>100076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223C992-D5F5-A926-1181-0E7C37D2E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1"/>
          <a:ext cx="2453640" cy="81635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14</xdr:row>
      <xdr:rowOff>106680</xdr:rowOff>
    </xdr:from>
    <xdr:to>
      <xdr:col>6</xdr:col>
      <xdr:colOff>754380</xdr:colOff>
      <xdr:row>18</xdr:row>
      <xdr:rowOff>126173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CA597ED-AFB4-F016-C8D9-847FEEF78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0" y="2545080"/>
          <a:ext cx="2430780" cy="76625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22</xdr:row>
      <xdr:rowOff>114301</xdr:rowOff>
    </xdr:from>
    <xdr:to>
      <xdr:col>1</xdr:col>
      <xdr:colOff>228599</xdr:colOff>
      <xdr:row>25</xdr:row>
      <xdr:rowOff>58692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F4CB1A-BD7E-19A6-3230-66ABD87EB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" y="4061461"/>
          <a:ext cx="1493519" cy="51589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23</xdr:row>
      <xdr:rowOff>106681</xdr:rowOff>
    </xdr:from>
    <xdr:to>
      <xdr:col>1</xdr:col>
      <xdr:colOff>1280160</xdr:colOff>
      <xdr:row>25</xdr:row>
      <xdr:rowOff>30967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FE9A0A1-F67B-BAA6-5653-A28B0DB64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4251961"/>
          <a:ext cx="1036320" cy="29766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53340</xdr:rowOff>
    </xdr:from>
    <xdr:to>
      <xdr:col>6</xdr:col>
      <xdr:colOff>746760</xdr:colOff>
      <xdr:row>30</xdr:row>
      <xdr:rowOff>88073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C92B3E8-452C-46A2-87AC-47ED6A619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6640" y="4777740"/>
          <a:ext cx="2430780" cy="766253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32</xdr:row>
      <xdr:rowOff>53340</xdr:rowOff>
    </xdr:from>
    <xdr:to>
      <xdr:col>1</xdr:col>
      <xdr:colOff>807720</xdr:colOff>
      <xdr:row>35</xdr:row>
      <xdr:rowOff>10411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DD12AB0-549A-4184-E19D-35710DA35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60" y="6256020"/>
          <a:ext cx="1821180" cy="51333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30481</xdr:colOff>
      <xdr:row>36</xdr:row>
      <xdr:rowOff>68581</xdr:rowOff>
    </xdr:from>
    <xdr:to>
      <xdr:col>6</xdr:col>
      <xdr:colOff>784860</xdr:colOff>
      <xdr:row>37</xdr:row>
      <xdr:rowOff>129177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02E8C85-8179-120D-9EED-6B22CB217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27121" y="6865621"/>
          <a:ext cx="2438399" cy="243476"/>
        </a:xfrm>
        <a:prstGeom prst="rect">
          <a:avLst/>
        </a:prstGeom>
      </xdr:spPr>
    </xdr:pic>
    <xdr:clientData/>
  </xdr:twoCellAnchor>
  <xdr:twoCellAnchor editAs="oneCell">
    <xdr:from>
      <xdr:col>0</xdr:col>
      <xdr:colOff>598000</xdr:colOff>
      <xdr:row>42</xdr:row>
      <xdr:rowOff>167640</xdr:rowOff>
    </xdr:from>
    <xdr:to>
      <xdr:col>3</xdr:col>
      <xdr:colOff>3417</xdr:colOff>
      <xdr:row>44</xdr:row>
      <xdr:rowOff>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A4AD2D-CFC2-2FE7-7B6D-8FE37B4B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000" y="8092440"/>
          <a:ext cx="2232437" cy="205740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44</xdr:row>
      <xdr:rowOff>54834</xdr:rowOff>
    </xdr:from>
    <xdr:to>
      <xdr:col>3</xdr:col>
      <xdr:colOff>48529</xdr:colOff>
      <xdr:row>44</xdr:row>
      <xdr:rowOff>175260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6B8CEE7E-D10D-F50D-DFFD-347DA5B73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9560" y="8345394"/>
          <a:ext cx="2585989" cy="120426"/>
        </a:xfrm>
        <a:prstGeom prst="rect">
          <a:avLst/>
        </a:prstGeom>
      </xdr:spPr>
    </xdr:pic>
    <xdr:clientData/>
  </xdr:twoCellAnchor>
  <xdr:oneCellAnchor>
    <xdr:from>
      <xdr:col>17</xdr:col>
      <xdr:colOff>366643</xdr:colOff>
      <xdr:row>12</xdr:row>
      <xdr:rowOff>14357</xdr:rowOff>
    </xdr:from>
    <xdr:ext cx="511807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50DB5039-D559-2C34-C514-A939B8615BC0}"/>
            </a:ext>
          </a:extLst>
        </xdr:cNvPr>
        <xdr:cNvSpPr txBox="1"/>
      </xdr:nvSpPr>
      <xdr:spPr>
        <a:xfrm>
          <a:off x="12866480" y="2278270"/>
          <a:ext cx="5118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195m</a:t>
          </a:r>
        </a:p>
      </xdr:txBody>
    </xdr:sp>
    <xdr:clientData/>
  </xdr:oneCellAnchor>
  <xdr:oneCellAnchor>
    <xdr:from>
      <xdr:col>17</xdr:col>
      <xdr:colOff>98839</xdr:colOff>
      <xdr:row>14</xdr:row>
      <xdr:rowOff>133902</xdr:rowOff>
    </xdr:from>
    <xdr:ext cx="511807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24E4CCBB-0E19-4026-9FFB-C0F9ECFE4A99}"/>
            </a:ext>
          </a:extLst>
        </xdr:cNvPr>
        <xdr:cNvSpPr txBox="1"/>
      </xdr:nvSpPr>
      <xdr:spPr>
        <a:xfrm>
          <a:off x="12598676" y="2791239"/>
          <a:ext cx="5118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235m</a:t>
          </a:r>
        </a:p>
      </xdr:txBody>
    </xdr:sp>
    <xdr:clientData/>
  </xdr:oneCellAnchor>
  <xdr:twoCellAnchor editAs="oneCell">
    <xdr:from>
      <xdr:col>8</xdr:col>
      <xdr:colOff>207064</xdr:colOff>
      <xdr:row>1</xdr:row>
      <xdr:rowOff>100492</xdr:rowOff>
    </xdr:from>
    <xdr:to>
      <xdr:col>16</xdr:col>
      <xdr:colOff>521714</xdr:colOff>
      <xdr:row>23</xdr:row>
      <xdr:rowOff>165651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E3FCE89-1EBE-6994-E91F-69BE10668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7285750" y="-421128"/>
          <a:ext cx="4247876" cy="5663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45721</xdr:rowOff>
    </xdr:from>
    <xdr:to>
      <xdr:col>1</xdr:col>
      <xdr:colOff>1173480</xdr:colOff>
      <xdr:row>15</xdr:row>
      <xdr:rowOff>125476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C31F21-CACF-4EE9-8895-DC245A710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6771"/>
          <a:ext cx="2456180" cy="81635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</xdr:colOff>
      <xdr:row>14</xdr:row>
      <xdr:rowOff>106680</xdr:rowOff>
    </xdr:from>
    <xdr:to>
      <xdr:col>6</xdr:col>
      <xdr:colOff>754380</xdr:colOff>
      <xdr:row>18</xdr:row>
      <xdr:rowOff>138873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E08987-9617-43FE-808F-B08869035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4420" y="2735580"/>
          <a:ext cx="2435860" cy="76879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22</xdr:row>
      <xdr:rowOff>114301</xdr:rowOff>
    </xdr:from>
    <xdr:to>
      <xdr:col>1</xdr:col>
      <xdr:colOff>228599</xdr:colOff>
      <xdr:row>25</xdr:row>
      <xdr:rowOff>77742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8FD3ED-182A-4E65-8C32-BF6F9F4B9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" y="4241801"/>
          <a:ext cx="1496059" cy="515891"/>
        </a:xfrm>
        <a:prstGeom prst="rect">
          <a:avLst/>
        </a:prstGeom>
      </xdr:spPr>
    </xdr:pic>
    <xdr:clientData/>
  </xdr:twoCellAnchor>
  <xdr:twoCellAnchor editAs="oneCell">
    <xdr:from>
      <xdr:col>1</xdr:col>
      <xdr:colOff>243840</xdr:colOff>
      <xdr:row>23</xdr:row>
      <xdr:rowOff>106681</xdr:rowOff>
    </xdr:from>
    <xdr:to>
      <xdr:col>1</xdr:col>
      <xdr:colOff>1280160</xdr:colOff>
      <xdr:row>25</xdr:row>
      <xdr:rowOff>37317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74F27D-8A59-40DD-BC93-6A552CEBF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6540" y="4431031"/>
          <a:ext cx="1036320" cy="29893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53340</xdr:rowOff>
    </xdr:from>
    <xdr:to>
      <xdr:col>6</xdr:col>
      <xdr:colOff>746760</xdr:colOff>
      <xdr:row>30</xdr:row>
      <xdr:rowOff>88073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7CA115C-1383-4319-8737-A3B3868A4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6800" y="4955540"/>
          <a:ext cx="2435860" cy="771333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32</xdr:row>
      <xdr:rowOff>53340</xdr:rowOff>
    </xdr:from>
    <xdr:to>
      <xdr:col>1</xdr:col>
      <xdr:colOff>807720</xdr:colOff>
      <xdr:row>35</xdr:row>
      <xdr:rowOff>16761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AA745A-C10E-4AA5-8864-B55668BC0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60" y="6085840"/>
          <a:ext cx="1877060" cy="515871"/>
        </a:xfrm>
        <a:prstGeom prst="rect">
          <a:avLst/>
        </a:prstGeom>
      </xdr:spPr>
    </xdr:pic>
    <xdr:clientData/>
  </xdr:twoCellAnchor>
  <xdr:twoCellAnchor editAs="oneCell">
    <xdr:from>
      <xdr:col>5</xdr:col>
      <xdr:colOff>30481</xdr:colOff>
      <xdr:row>36</xdr:row>
      <xdr:rowOff>68581</xdr:rowOff>
    </xdr:from>
    <xdr:to>
      <xdr:col>6</xdr:col>
      <xdr:colOff>784860</xdr:colOff>
      <xdr:row>37</xdr:row>
      <xdr:rowOff>129177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AD4563-F72A-41E1-9417-C257505C1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37281" y="6863081"/>
          <a:ext cx="2443479" cy="244746"/>
        </a:xfrm>
        <a:prstGeom prst="rect">
          <a:avLst/>
        </a:prstGeom>
      </xdr:spPr>
    </xdr:pic>
    <xdr:clientData/>
  </xdr:twoCellAnchor>
  <xdr:twoCellAnchor editAs="oneCell">
    <xdr:from>
      <xdr:col>0</xdr:col>
      <xdr:colOff>598000</xdr:colOff>
      <xdr:row>42</xdr:row>
      <xdr:rowOff>167640</xdr:rowOff>
    </xdr:from>
    <xdr:to>
      <xdr:col>3</xdr:col>
      <xdr:colOff>3417</xdr:colOff>
      <xdr:row>44</xdr:row>
      <xdr:rowOff>6350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E26F8A9-308B-44C6-92A5-9D0471BE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8000" y="8092440"/>
          <a:ext cx="2237517" cy="207010"/>
        </a:xfrm>
        <a:prstGeom prst="rect">
          <a:avLst/>
        </a:prstGeom>
      </xdr:spPr>
    </xdr:pic>
    <xdr:clientData/>
  </xdr:twoCellAnchor>
  <xdr:twoCellAnchor editAs="oneCell">
    <xdr:from>
      <xdr:col>0</xdr:col>
      <xdr:colOff>289560</xdr:colOff>
      <xdr:row>44</xdr:row>
      <xdr:rowOff>54834</xdr:rowOff>
    </xdr:from>
    <xdr:to>
      <xdr:col>3</xdr:col>
      <xdr:colOff>48529</xdr:colOff>
      <xdr:row>44</xdr:row>
      <xdr:rowOff>175260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A93EADA-3748-40B9-BA2D-C820BEC1C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9560" y="8354284"/>
          <a:ext cx="2591069" cy="1204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944880</xdr:colOff>
      <xdr:row>27</xdr:row>
      <xdr:rowOff>66409</xdr:rowOff>
    </xdr:from>
    <xdr:to>
      <xdr:col>7</xdr:col>
      <xdr:colOff>198120</xdr:colOff>
      <xdr:row>45</xdr:row>
      <xdr:rowOff>70419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500CDD5-1BA7-510C-BCEB-3BC6E96EC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80" y="5118469"/>
          <a:ext cx="4716780" cy="3295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735291</xdr:colOff>
      <xdr:row>3</xdr:row>
      <xdr:rowOff>301624</xdr:rowOff>
    </xdr:from>
    <xdr:to>
      <xdr:col>16</xdr:col>
      <xdr:colOff>197412</xdr:colOff>
      <xdr:row>14</xdr:row>
      <xdr:rowOff>95664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F5B383-8713-EDBA-F00F-0FDDEDB00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7958" y="1015999"/>
          <a:ext cx="2510121" cy="2196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73902</xdr:colOff>
      <xdr:row>16</xdr:row>
      <xdr:rowOff>54769</xdr:rowOff>
    </xdr:from>
    <xdr:to>
      <xdr:col>7</xdr:col>
      <xdr:colOff>107156</xdr:colOff>
      <xdr:row>41</xdr:row>
      <xdr:rowOff>165945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AD20E3A-46F2-54B3-1F26-63CFBE89F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590" y="4293394"/>
          <a:ext cx="5462504" cy="4873676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16</xdr:row>
      <xdr:rowOff>76200</xdr:rowOff>
    </xdr:from>
    <xdr:to>
      <xdr:col>17</xdr:col>
      <xdr:colOff>142875</xdr:colOff>
      <xdr:row>38</xdr:row>
      <xdr:rowOff>184030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74D73F-2E25-0A33-AED5-2B7B93EB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900" y="4257675"/>
          <a:ext cx="7772400" cy="43051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20</xdr:row>
      <xdr:rowOff>107950</xdr:rowOff>
    </xdr:from>
    <xdr:to>
      <xdr:col>21</xdr:col>
      <xdr:colOff>49562</xdr:colOff>
      <xdr:row>40</xdr:row>
      <xdr:rowOff>5421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47A1B8-2FDE-A744-5C81-893E9BB6E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4159250"/>
          <a:ext cx="4773962" cy="35804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F198-345C-4115-A6F3-93CF3B02D00E}">
  <dimension ref="B9:D39"/>
  <sheetViews>
    <sheetView view="pageLayout" topLeftCell="A20" zoomScaleNormal="100" workbookViewId="0">
      <selection activeCell="F10" sqref="F10"/>
    </sheetView>
  </sheetViews>
  <sheetFormatPr baseColWidth="10" defaultRowHeight="14.5" x14ac:dyDescent="0.35"/>
  <cols>
    <col min="1" max="1" width="5.54296875" customWidth="1"/>
    <col min="2" max="2" width="20.1796875" customWidth="1"/>
    <col min="3" max="3" width="21.81640625" customWidth="1"/>
    <col min="4" max="4" width="15" customWidth="1"/>
    <col min="6" max="6" width="13.90625" customWidth="1"/>
    <col min="7" max="7" width="11.54296875" customWidth="1"/>
  </cols>
  <sheetData>
    <row r="9" spans="2:3" ht="18.5" x14ac:dyDescent="0.45">
      <c r="B9" s="39" t="s">
        <v>56</v>
      </c>
      <c r="C9" s="19"/>
    </row>
    <row r="11" spans="2:3" x14ac:dyDescent="0.35">
      <c r="B11" s="22" t="s">
        <v>51</v>
      </c>
      <c r="C11" s="2">
        <v>300</v>
      </c>
    </row>
    <row r="12" spans="2:3" x14ac:dyDescent="0.35">
      <c r="B12" s="22" t="s">
        <v>48</v>
      </c>
      <c r="C12" s="2">
        <v>585</v>
      </c>
    </row>
    <row r="13" spans="2:3" x14ac:dyDescent="0.35">
      <c r="B13" s="22" t="s">
        <v>53</v>
      </c>
      <c r="C13" s="2">
        <v>2000</v>
      </c>
    </row>
    <row r="14" spans="2:3" x14ac:dyDescent="0.35">
      <c r="B14" s="22" t="s">
        <v>54</v>
      </c>
      <c r="C14" s="2">
        <v>2023</v>
      </c>
    </row>
    <row r="15" spans="2:3" x14ac:dyDescent="0.35">
      <c r="B15" s="22" t="s">
        <v>50</v>
      </c>
      <c r="C15" s="2">
        <f>C14-C13</f>
        <v>23</v>
      </c>
    </row>
    <row r="16" spans="2:3" ht="15.5" x14ac:dyDescent="0.35">
      <c r="B16" s="35" t="s">
        <v>49</v>
      </c>
      <c r="C16" s="38">
        <f>(((C12/C11)^(1/C15))-1)*100</f>
        <v>2.9461715863000393</v>
      </c>
    </row>
    <row r="20" spans="2:4" ht="18.5" x14ac:dyDescent="0.45">
      <c r="B20" s="39" t="s">
        <v>57</v>
      </c>
      <c r="C20" s="39"/>
      <c r="D20" s="18"/>
    </row>
    <row r="22" spans="2:4" x14ac:dyDescent="0.35">
      <c r="B22" s="22" t="s">
        <v>48</v>
      </c>
      <c r="C22" s="2">
        <f>C12</f>
        <v>585</v>
      </c>
    </row>
    <row r="23" spans="2:4" x14ac:dyDescent="0.35">
      <c r="B23" s="22" t="s">
        <v>49</v>
      </c>
      <c r="C23" s="3">
        <f>C16</f>
        <v>2.9461715863000393</v>
      </c>
    </row>
    <row r="24" spans="2:4" x14ac:dyDescent="0.35">
      <c r="B24" s="22" t="s">
        <v>54</v>
      </c>
      <c r="C24" s="4">
        <f>C14</f>
        <v>2023</v>
      </c>
    </row>
    <row r="25" spans="2:4" x14ac:dyDescent="0.35">
      <c r="B25" s="22" t="s">
        <v>55</v>
      </c>
      <c r="C25" s="4">
        <v>2046</v>
      </c>
    </row>
    <row r="26" spans="2:4" x14ac:dyDescent="0.35">
      <c r="B26" s="22" t="s">
        <v>50</v>
      </c>
      <c r="C26" s="4">
        <f>C25-C24</f>
        <v>23</v>
      </c>
    </row>
    <row r="27" spans="2:4" ht="15.5" x14ac:dyDescent="0.35">
      <c r="B27" s="35" t="s">
        <v>52</v>
      </c>
      <c r="C27" s="40">
        <f>C22*(((C23/100)+1)^(C26))</f>
        <v>1140.7499999999998</v>
      </c>
    </row>
    <row r="32" spans="2:4" ht="18.5" x14ac:dyDescent="0.45">
      <c r="C32" s="39" t="s">
        <v>57</v>
      </c>
      <c r="D32" s="39"/>
    </row>
    <row r="34" spans="3:4" x14ac:dyDescent="0.35">
      <c r="C34" s="22" t="s">
        <v>51</v>
      </c>
      <c r="D34" s="2">
        <f>C11</f>
        <v>300</v>
      </c>
    </row>
    <row r="35" spans="3:4" x14ac:dyDescent="0.35">
      <c r="C35" s="22" t="s">
        <v>49</v>
      </c>
      <c r="D35" s="3">
        <f>C23</f>
        <v>2.9461715863000393</v>
      </c>
    </row>
    <row r="36" spans="3:4" x14ac:dyDescent="0.35">
      <c r="C36" s="22" t="s">
        <v>92</v>
      </c>
      <c r="D36" s="4">
        <f>C13</f>
        <v>2000</v>
      </c>
    </row>
    <row r="37" spans="3:4" x14ac:dyDescent="0.35">
      <c r="C37" s="22" t="s">
        <v>55</v>
      </c>
      <c r="D37" s="4">
        <v>2046</v>
      </c>
    </row>
    <row r="38" spans="3:4" x14ac:dyDescent="0.35">
      <c r="C38" s="22" t="s">
        <v>50</v>
      </c>
      <c r="D38" s="4">
        <f>D37-D36</f>
        <v>46</v>
      </c>
    </row>
    <row r="39" spans="3:4" ht="15.5" x14ac:dyDescent="0.35">
      <c r="C39" s="35" t="s">
        <v>52</v>
      </c>
      <c r="D39" s="40">
        <f>D34*(((D35/100)+1)^(D38))</f>
        <v>1140.7499999999998</v>
      </c>
    </row>
  </sheetData>
  <pageMargins left="0.7" right="0.7" top="0.75" bottom="0.75" header="0.3" footer="0.3"/>
  <pageSetup orientation="portrait" r:id="rId1"/>
  <ignoredErrors>
    <ignoredError sqref="C23 D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3210-04D4-42E6-B9BE-496564F785F1}">
  <dimension ref="B8:D15"/>
  <sheetViews>
    <sheetView view="pageLayout" zoomScaleNormal="100" workbookViewId="0">
      <selection activeCell="C13" sqref="C13"/>
    </sheetView>
  </sheetViews>
  <sheetFormatPr baseColWidth="10" defaultRowHeight="14.5" x14ac:dyDescent="0.35"/>
  <cols>
    <col min="2" max="2" width="20.36328125" bestFit="1" customWidth="1"/>
    <col min="3" max="3" width="11.1796875" bestFit="1" customWidth="1"/>
    <col min="4" max="4" width="4.90625" customWidth="1"/>
    <col min="5" max="5" width="20.36328125" bestFit="1" customWidth="1"/>
    <col min="6" max="6" width="12.08984375" customWidth="1"/>
    <col min="7" max="7" width="5.453125" customWidth="1"/>
  </cols>
  <sheetData>
    <row r="8" spans="2:4" ht="15" thickBot="1" x14ac:dyDescent="0.4"/>
    <row r="9" spans="2:4" ht="19" thickBot="1" x14ac:dyDescent="0.5">
      <c r="B9" s="41" t="s">
        <v>62</v>
      </c>
      <c r="C9" s="42" t="s">
        <v>61</v>
      </c>
    </row>
    <row r="12" spans="2:4" x14ac:dyDescent="0.35">
      <c r="B12" s="22" t="s">
        <v>58</v>
      </c>
      <c r="C12" s="22">
        <v>250</v>
      </c>
    </row>
    <row r="13" spans="2:4" x14ac:dyDescent="0.35">
      <c r="B13" s="22" t="s">
        <v>59</v>
      </c>
      <c r="C13" s="43">
        <f>C12/1.422</f>
        <v>175.80872011251759</v>
      </c>
    </row>
    <row r="15" spans="2:4" x14ac:dyDescent="0.35">
      <c r="B15" s="27" t="s">
        <v>60</v>
      </c>
      <c r="C15" s="28">
        <f>ROUNDDOWN(C13*0.8,0)</f>
        <v>140</v>
      </c>
      <c r="D15" s="25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6414-E51A-4BDB-9E43-839629B2E96D}">
  <dimension ref="A1:Y45"/>
  <sheetViews>
    <sheetView view="pageLayout" topLeftCell="B1" zoomScale="92" zoomScaleNormal="74" zoomScalePageLayoutView="92" workbookViewId="0">
      <selection activeCell="N29" sqref="N29"/>
    </sheetView>
  </sheetViews>
  <sheetFormatPr baseColWidth="10" defaultRowHeight="14.5" x14ac:dyDescent="0.35"/>
  <cols>
    <col min="1" max="1" width="17.90625" customWidth="1"/>
    <col min="2" max="2" width="18.6328125" customWidth="1"/>
    <col min="3" max="4" width="3" customWidth="1"/>
    <col min="5" max="5" width="7.81640625" customWidth="1"/>
    <col min="6" max="6" width="23.54296875" bestFit="1" customWidth="1"/>
    <col min="7" max="7" width="12" bestFit="1" customWidth="1"/>
    <col min="8" max="8" width="3.08984375" customWidth="1"/>
    <col min="9" max="9" width="4.36328125" customWidth="1"/>
    <col min="10" max="10" width="5.08984375" customWidth="1"/>
    <col min="18" max="18" width="17.90625" customWidth="1"/>
    <col min="19" max="19" width="18.6328125" customWidth="1"/>
    <col min="20" max="21" width="3" customWidth="1"/>
    <col min="22" max="22" width="7.81640625" customWidth="1"/>
    <col min="23" max="23" width="23.54296875" bestFit="1" customWidth="1"/>
    <col min="24" max="24" width="12" bestFit="1" customWidth="1"/>
    <col min="25" max="25" width="3.08984375" customWidth="1"/>
  </cols>
  <sheetData>
    <row r="1" spans="1:25" x14ac:dyDescent="0.35">
      <c r="R1" s="63"/>
      <c r="S1" s="63"/>
      <c r="T1" s="63"/>
      <c r="U1" s="63"/>
      <c r="V1" s="63"/>
      <c r="W1" s="63"/>
      <c r="X1" s="63"/>
      <c r="Y1" s="63"/>
    </row>
    <row r="2" spans="1:25" x14ac:dyDescent="0.35">
      <c r="R2" s="63"/>
      <c r="S2" s="63"/>
      <c r="T2" s="63"/>
      <c r="U2" s="63"/>
      <c r="V2" s="63"/>
      <c r="W2" s="63"/>
      <c r="X2" s="63"/>
      <c r="Y2" s="63"/>
    </row>
    <row r="3" spans="1:25" x14ac:dyDescent="0.35">
      <c r="R3" s="63"/>
      <c r="S3" s="63"/>
      <c r="T3" s="63"/>
      <c r="U3" s="63"/>
      <c r="V3" s="63"/>
      <c r="W3" s="63"/>
      <c r="X3" s="63"/>
      <c r="Y3" s="63"/>
    </row>
    <row r="4" spans="1:25" x14ac:dyDescent="0.35">
      <c r="A4" s="21" t="s">
        <v>65</v>
      </c>
      <c r="B4" s="22">
        <v>1000</v>
      </c>
      <c r="F4" s="21" t="s">
        <v>63</v>
      </c>
      <c r="G4" s="22">
        <f>B4-1</f>
        <v>999</v>
      </c>
      <c r="R4" s="64"/>
      <c r="S4" s="63"/>
      <c r="T4" s="63"/>
      <c r="U4" s="63"/>
      <c r="V4" s="63"/>
      <c r="W4" s="64"/>
      <c r="X4" s="63"/>
      <c r="Y4" s="63"/>
    </row>
    <row r="5" spans="1:25" x14ac:dyDescent="0.35">
      <c r="A5" s="21" t="s">
        <v>64</v>
      </c>
      <c r="B5" s="22">
        <v>915</v>
      </c>
      <c r="F5" s="21" t="s">
        <v>66</v>
      </c>
      <c r="G5" s="22">
        <f>B5+10</f>
        <v>925</v>
      </c>
      <c r="R5" s="64"/>
      <c r="S5" s="63"/>
      <c r="T5" s="63"/>
      <c r="U5" s="63"/>
      <c r="V5" s="63"/>
      <c r="W5" s="64"/>
      <c r="X5" s="63"/>
      <c r="Y5" s="63"/>
    </row>
    <row r="6" spans="1:25" x14ac:dyDescent="0.35">
      <c r="A6" s="21" t="s">
        <v>68</v>
      </c>
      <c r="B6" s="22">
        <v>195</v>
      </c>
      <c r="F6" s="21" t="s">
        <v>82</v>
      </c>
      <c r="G6" s="22">
        <f>B6*1.03</f>
        <v>200.85</v>
      </c>
      <c r="R6" s="64"/>
      <c r="S6" s="63"/>
      <c r="T6" s="63"/>
      <c r="U6" s="63"/>
      <c r="V6" s="63"/>
      <c r="W6" s="64"/>
      <c r="X6" s="63"/>
      <c r="Y6" s="63"/>
    </row>
    <row r="7" spans="1:25" x14ac:dyDescent="0.35">
      <c r="A7" s="21" t="s">
        <v>67</v>
      </c>
      <c r="B7" s="22">
        <v>6.2</v>
      </c>
      <c r="F7" s="21" t="s">
        <v>69</v>
      </c>
      <c r="G7" s="22">
        <v>134.41999999999999</v>
      </c>
      <c r="R7" s="64"/>
      <c r="S7" s="63"/>
      <c r="T7" s="63"/>
      <c r="U7" s="63"/>
      <c r="V7" s="63"/>
      <c r="W7" s="64"/>
      <c r="X7" s="63"/>
      <c r="Y7" s="63"/>
    </row>
    <row r="8" spans="1:25" x14ac:dyDescent="0.35">
      <c r="R8" s="63"/>
      <c r="S8" s="63"/>
      <c r="T8" s="63"/>
      <c r="U8" s="63"/>
      <c r="V8" s="63"/>
      <c r="W8" s="63"/>
      <c r="X8" s="63"/>
      <c r="Y8" s="63"/>
    </row>
    <row r="9" spans="1:25" x14ac:dyDescent="0.35">
      <c r="F9" s="37" t="s">
        <v>70</v>
      </c>
      <c r="G9" s="44">
        <f>G4-G5</f>
        <v>74</v>
      </c>
      <c r="R9" s="63"/>
      <c r="S9" s="63"/>
      <c r="T9" s="63"/>
      <c r="U9" s="63"/>
      <c r="V9" s="63"/>
      <c r="W9" s="65"/>
      <c r="X9" s="66"/>
      <c r="Y9" s="63"/>
    </row>
    <row r="10" spans="1:25" ht="15" thickBot="1" x14ac:dyDescent="0.4">
      <c r="R10" s="63"/>
      <c r="S10" s="63"/>
      <c r="T10" s="63"/>
      <c r="U10" s="63"/>
      <c r="V10" s="63"/>
      <c r="W10" s="63"/>
      <c r="X10" s="63"/>
      <c r="Y10" s="63"/>
    </row>
    <row r="11" spans="1:25" ht="16" thickBot="1" x14ac:dyDescent="0.4">
      <c r="A11" s="93" t="s">
        <v>71</v>
      </c>
      <c r="B11" s="94"/>
      <c r="R11" s="100"/>
      <c r="S11" s="100"/>
      <c r="T11" s="63"/>
      <c r="U11" s="63"/>
      <c r="V11" s="63"/>
      <c r="W11" s="63"/>
      <c r="X11" s="63"/>
      <c r="Y11" s="63"/>
    </row>
    <row r="12" spans="1:25" ht="15" thickBot="1" x14ac:dyDescent="0.4">
      <c r="R12" s="63"/>
      <c r="S12" s="63"/>
      <c r="T12" s="63"/>
      <c r="U12" s="63"/>
      <c r="V12" s="63"/>
      <c r="W12" s="63"/>
      <c r="X12" s="63"/>
      <c r="Y12" s="63"/>
    </row>
    <row r="13" spans="1:25" ht="15.5" x14ac:dyDescent="0.35">
      <c r="F13" s="96" t="s">
        <v>86</v>
      </c>
      <c r="G13" s="97"/>
      <c r="H13" s="24"/>
      <c r="I13" s="24"/>
      <c r="R13" s="63"/>
      <c r="S13" s="63"/>
      <c r="T13" s="63"/>
      <c r="U13" s="63"/>
      <c r="V13" s="63"/>
      <c r="W13" s="101"/>
      <c r="X13" s="101"/>
      <c r="Y13" s="67"/>
    </row>
    <row r="14" spans="1:25" ht="15" thickBot="1" x14ac:dyDescent="0.4">
      <c r="F14" s="98" t="s">
        <v>76</v>
      </c>
      <c r="G14" s="99"/>
      <c r="R14" s="63"/>
      <c r="S14" s="63"/>
      <c r="T14" s="63"/>
      <c r="U14" s="63"/>
      <c r="V14" s="63"/>
      <c r="W14" s="101"/>
      <c r="X14" s="101"/>
      <c r="Y14" s="63"/>
    </row>
    <row r="15" spans="1:25" x14ac:dyDescent="0.35">
      <c r="R15" s="63"/>
      <c r="S15" s="63"/>
      <c r="T15" s="63"/>
      <c r="U15" s="63"/>
      <c r="V15" s="63"/>
      <c r="W15" s="63"/>
      <c r="X15" s="63"/>
      <c r="Y15" s="63"/>
    </row>
    <row r="16" spans="1:25" x14ac:dyDescent="0.35">
      <c r="R16" s="63"/>
      <c r="S16" s="63"/>
      <c r="T16" s="63"/>
      <c r="U16" s="63"/>
      <c r="V16" s="63"/>
      <c r="W16" s="63"/>
      <c r="X16" s="63"/>
      <c r="Y16" s="63"/>
    </row>
    <row r="17" spans="1:25" x14ac:dyDescent="0.35">
      <c r="A17" s="21" t="s">
        <v>72</v>
      </c>
      <c r="B17" s="22">
        <f>(((1743.811*((B7)^1.852)*G6)/(((G7)^1.852)*(G9)))^(1/4.87))</f>
        <v>1.7642383200094502</v>
      </c>
      <c r="R17" s="64"/>
      <c r="S17" s="63"/>
      <c r="T17" s="63"/>
      <c r="U17" s="63"/>
      <c r="V17" s="63"/>
      <c r="W17" s="63"/>
      <c r="X17" s="63"/>
      <c r="Y17" s="63"/>
    </row>
    <row r="18" spans="1:25" ht="15.5" x14ac:dyDescent="0.35">
      <c r="A18" s="35" t="s">
        <v>73</v>
      </c>
      <c r="B18" s="45">
        <f>ROUNDUP(B17,0)</f>
        <v>2</v>
      </c>
      <c r="C18" s="46" t="s">
        <v>75</v>
      </c>
      <c r="D18" s="29"/>
      <c r="R18" s="68"/>
      <c r="S18" s="69"/>
      <c r="T18" s="69"/>
      <c r="U18" s="69"/>
      <c r="V18" s="63"/>
      <c r="W18" s="63"/>
      <c r="X18" s="63"/>
      <c r="Y18" s="63"/>
    </row>
    <row r="19" spans="1:25" ht="15" customHeight="1" x14ac:dyDescent="0.35">
      <c r="A19" s="35" t="s">
        <v>74</v>
      </c>
      <c r="B19" s="45">
        <v>1.5</v>
      </c>
      <c r="C19" s="46" t="s">
        <v>75</v>
      </c>
      <c r="D19" s="29"/>
      <c r="R19" s="68"/>
      <c r="S19" s="69"/>
      <c r="T19" s="69"/>
      <c r="U19" s="69"/>
      <c r="V19" s="63"/>
      <c r="W19" s="63"/>
      <c r="X19" s="63"/>
      <c r="Y19" s="63"/>
    </row>
    <row r="20" spans="1:25" ht="16.25" customHeight="1" x14ac:dyDescent="0.35">
      <c r="F20" s="23" t="s">
        <v>78</v>
      </c>
      <c r="G20" s="26">
        <f>(((1743.811*(($B$7)^1.852)*$G$6)/((($G$7)^1.852)*(B18)^4.87)))</f>
        <v>40.17440494092601</v>
      </c>
      <c r="R20" s="63"/>
      <c r="S20" s="63"/>
      <c r="T20" s="63"/>
      <c r="U20" s="63"/>
      <c r="V20" s="63"/>
      <c r="W20" s="65"/>
      <c r="X20" s="70"/>
      <c r="Y20" s="63"/>
    </row>
    <row r="21" spans="1:25" ht="14.4" customHeight="1" thickBot="1" x14ac:dyDescent="0.4">
      <c r="F21" s="23" t="s">
        <v>79</v>
      </c>
      <c r="G21" s="26">
        <f>(((1743.811*(($B$7)^1.852)*$G$6)/((($G$7)^1.852)*(B19)^4.87)))</f>
        <v>163.08014917378566</v>
      </c>
      <c r="R21" s="63"/>
      <c r="S21" s="63"/>
      <c r="T21" s="63"/>
      <c r="U21" s="63"/>
      <c r="V21" s="63"/>
      <c r="W21" s="65"/>
      <c r="X21" s="70"/>
      <c r="Y21" s="63"/>
    </row>
    <row r="22" spans="1:25" ht="14.4" customHeight="1" thickBot="1" x14ac:dyDescent="0.4">
      <c r="A22" s="93" t="s">
        <v>81</v>
      </c>
      <c r="B22" s="94"/>
      <c r="F22" s="35" t="s">
        <v>77</v>
      </c>
      <c r="G22" s="47">
        <f>G20</f>
        <v>40.17440494092601</v>
      </c>
      <c r="R22" s="100"/>
      <c r="S22" s="100"/>
      <c r="T22" s="63"/>
      <c r="U22" s="63"/>
      <c r="V22" s="63"/>
      <c r="W22" s="68"/>
      <c r="X22" s="64"/>
      <c r="Y22" s="63"/>
    </row>
    <row r="23" spans="1:25" ht="15.5" x14ac:dyDescent="0.35">
      <c r="F23" s="35" t="s">
        <v>80</v>
      </c>
      <c r="G23" s="47">
        <f>G21</f>
        <v>163.08014917378566</v>
      </c>
      <c r="R23" s="63"/>
      <c r="S23" s="63"/>
      <c r="T23" s="63"/>
      <c r="U23" s="63"/>
      <c r="V23" s="63"/>
      <c r="W23" s="68"/>
      <c r="X23" s="64"/>
      <c r="Y23" s="63"/>
    </row>
    <row r="24" spans="1:25" x14ac:dyDescent="0.35">
      <c r="R24" s="63"/>
      <c r="S24" s="63"/>
      <c r="T24" s="63"/>
      <c r="U24" s="63"/>
      <c r="V24" s="63"/>
      <c r="W24" s="63"/>
      <c r="X24" s="63"/>
      <c r="Y24" s="63"/>
    </row>
    <row r="25" spans="1:25" ht="15" thickBot="1" x14ac:dyDescent="0.4">
      <c r="R25" s="63"/>
      <c r="S25" s="63"/>
      <c r="T25" s="63"/>
      <c r="U25" s="63"/>
      <c r="V25" s="63"/>
      <c r="W25" s="63"/>
      <c r="X25" s="63"/>
      <c r="Y25" s="63"/>
    </row>
    <row r="26" spans="1:25" ht="16" thickBot="1" x14ac:dyDescent="0.4">
      <c r="F26" s="93" t="s">
        <v>87</v>
      </c>
      <c r="G26" s="94"/>
      <c r="R26" s="63"/>
      <c r="S26" s="63"/>
      <c r="T26" s="63"/>
      <c r="U26" s="63"/>
      <c r="V26" s="63"/>
      <c r="W26" s="100"/>
      <c r="X26" s="100"/>
      <c r="Y26" s="63"/>
    </row>
    <row r="27" spans="1:25" x14ac:dyDescent="0.35">
      <c r="A27" s="36" t="s">
        <v>83</v>
      </c>
      <c r="B27" s="48">
        <f>G6*((G9-G22)/(G23-G22))</f>
        <v>55.277080904723292</v>
      </c>
      <c r="R27" s="71"/>
      <c r="S27" s="72"/>
      <c r="T27" s="63"/>
      <c r="U27" s="63"/>
      <c r="V27" s="63"/>
      <c r="W27" s="63"/>
      <c r="X27" s="63"/>
      <c r="Y27" s="63"/>
    </row>
    <row r="28" spans="1:25" x14ac:dyDescent="0.35">
      <c r="A28" s="36" t="s">
        <v>84</v>
      </c>
      <c r="B28" s="48">
        <f>G6-B27</f>
        <v>145.57291909527669</v>
      </c>
      <c r="R28" s="71"/>
      <c r="S28" s="72"/>
      <c r="T28" s="63"/>
      <c r="U28" s="63"/>
      <c r="V28" s="63"/>
      <c r="W28" s="63"/>
      <c r="X28" s="63"/>
      <c r="Y28" s="63"/>
    </row>
    <row r="29" spans="1:25" x14ac:dyDescent="0.35">
      <c r="R29" s="63"/>
      <c r="S29" s="63"/>
      <c r="T29" s="63"/>
      <c r="U29" s="63"/>
      <c r="V29" s="63"/>
      <c r="W29" s="63"/>
      <c r="X29" s="63"/>
      <c r="Y29" s="63"/>
    </row>
    <row r="30" spans="1:25" x14ac:dyDescent="0.35">
      <c r="R30" s="63"/>
      <c r="S30" s="63"/>
      <c r="T30" s="63"/>
      <c r="U30" s="63"/>
      <c r="V30" s="63"/>
      <c r="W30" s="63"/>
      <c r="X30" s="63"/>
      <c r="Y30" s="63"/>
    </row>
    <row r="31" spans="1:25" ht="15" thickBot="1" x14ac:dyDescent="0.4">
      <c r="R31" s="63"/>
      <c r="S31" s="63"/>
      <c r="T31" s="63"/>
      <c r="U31" s="63"/>
      <c r="V31" s="63"/>
      <c r="W31" s="63"/>
      <c r="X31" s="63"/>
      <c r="Y31" s="63"/>
    </row>
    <row r="32" spans="1:25" ht="16" thickBot="1" x14ac:dyDescent="0.4">
      <c r="A32" s="93" t="s">
        <v>89</v>
      </c>
      <c r="B32" s="94"/>
      <c r="F32" s="37" t="s">
        <v>85</v>
      </c>
      <c r="G32" s="48">
        <f>(((1743.811*(($B$7)^1.852)*B28)/((($G$7)^1.852)*(B18)^4.87)))</f>
        <v>29.117776450915144</v>
      </c>
      <c r="R32" s="100"/>
      <c r="S32" s="100"/>
      <c r="T32" s="63"/>
      <c r="U32" s="63"/>
      <c r="V32" s="63"/>
      <c r="W32" s="65"/>
      <c r="X32" s="72"/>
      <c r="Y32" s="63"/>
    </row>
    <row r="33" spans="1:25" x14ac:dyDescent="0.35">
      <c r="F33" s="37" t="s">
        <v>88</v>
      </c>
      <c r="G33" s="48">
        <f>(((1743.811*(($B$7)^1.852)*B27)/((($G$7)^1.852)*(B19)^4.87)))</f>
        <v>44.882223549084856</v>
      </c>
      <c r="R33" s="63"/>
      <c r="S33" s="63"/>
      <c r="T33" s="63"/>
      <c r="U33" s="63"/>
      <c r="V33" s="63"/>
      <c r="W33" s="65"/>
      <c r="X33" s="72"/>
      <c r="Y33" s="63"/>
    </row>
    <row r="34" spans="1:25" x14ac:dyDescent="0.35">
      <c r="R34" s="63"/>
      <c r="S34" s="63"/>
      <c r="T34" s="63"/>
      <c r="U34" s="63"/>
      <c r="V34" s="63"/>
      <c r="W34" s="63"/>
      <c r="X34" s="63"/>
      <c r="Y34" s="63"/>
    </row>
    <row r="35" spans="1:25" ht="15" thickBot="1" x14ac:dyDescent="0.4">
      <c r="R35" s="63"/>
      <c r="S35" s="63"/>
      <c r="T35" s="63"/>
      <c r="U35" s="63"/>
      <c r="V35" s="63"/>
      <c r="W35" s="63"/>
      <c r="X35" s="63"/>
      <c r="Y35" s="63"/>
    </row>
    <row r="36" spans="1:25" ht="16" thickBot="1" x14ac:dyDescent="0.4">
      <c r="F36" s="93" t="s">
        <v>90</v>
      </c>
      <c r="G36" s="94"/>
      <c r="R36" s="63"/>
      <c r="S36" s="63"/>
      <c r="T36" s="63"/>
      <c r="U36" s="63"/>
      <c r="V36" s="63"/>
      <c r="W36" s="100"/>
      <c r="X36" s="100"/>
      <c r="Y36" s="63"/>
    </row>
    <row r="37" spans="1:25" x14ac:dyDescent="0.35">
      <c r="A37" s="37" t="str">
        <f>"TUBOS DE "&amp;B18&amp;C18</f>
        <v>TUBOS DE 2"</v>
      </c>
      <c r="B37" s="49">
        <f>ROUND(B28/6,0)</f>
        <v>24</v>
      </c>
      <c r="C37" s="34"/>
      <c r="D37" s="34"/>
      <c r="R37" s="65"/>
      <c r="S37" s="73"/>
      <c r="T37" s="64"/>
      <c r="U37" s="64"/>
      <c r="V37" s="63"/>
      <c r="W37" s="63"/>
      <c r="X37" s="63"/>
      <c r="Y37" s="63"/>
    </row>
    <row r="38" spans="1:25" x14ac:dyDescent="0.35">
      <c r="A38" s="37" t="str">
        <f>"TUBOS DE "&amp;B19&amp;C19</f>
        <v>TUBOS DE 1.5"</v>
      </c>
      <c r="B38" s="49">
        <f>ROUND(B27/6,0)</f>
        <v>9</v>
      </c>
      <c r="C38" s="34"/>
      <c r="D38" s="34"/>
      <c r="R38" s="65"/>
      <c r="S38" s="73"/>
      <c r="T38" s="64"/>
      <c r="U38" s="64"/>
      <c r="V38" s="63"/>
      <c r="W38" s="63"/>
      <c r="X38" s="63"/>
      <c r="Y38" s="63"/>
    </row>
    <row r="39" spans="1:25" x14ac:dyDescent="0.35">
      <c r="F39" s="21" t="str">
        <f>"LONGUITUD DE " &amp;B18&amp;C18</f>
        <v>LONGUITUD DE 2"</v>
      </c>
      <c r="G39" s="52" t="str">
        <f>B37*6 &amp; " m"</f>
        <v>144 m</v>
      </c>
      <c r="R39" s="63"/>
      <c r="S39" s="63"/>
      <c r="T39" s="63"/>
      <c r="U39" s="63"/>
      <c r="V39" s="63"/>
      <c r="W39" s="64"/>
      <c r="X39" s="71"/>
      <c r="Y39" s="63"/>
    </row>
    <row r="40" spans="1:25" x14ac:dyDescent="0.35">
      <c r="F40" s="21" t="str">
        <f>"LONGUITUD DE " &amp;B19&amp;C19</f>
        <v>LONGUITUD DE 1.5"</v>
      </c>
      <c r="G40" s="52" t="str">
        <f>B38*6 &amp; " m"</f>
        <v>54 m</v>
      </c>
      <c r="R40" s="63"/>
      <c r="S40" s="63"/>
      <c r="T40" s="63"/>
      <c r="U40" s="63"/>
      <c r="V40" s="63"/>
      <c r="W40" s="64"/>
      <c r="X40" s="71"/>
      <c r="Y40" s="63"/>
    </row>
    <row r="41" spans="1:25" ht="15" thickBot="1" x14ac:dyDescent="0.4">
      <c r="R41" s="63"/>
      <c r="S41" s="63"/>
      <c r="T41" s="63"/>
      <c r="U41" s="63"/>
      <c r="V41" s="63"/>
      <c r="W41" s="63"/>
      <c r="X41" s="63"/>
      <c r="Y41" s="63"/>
    </row>
    <row r="42" spans="1:25" ht="16" thickBot="1" x14ac:dyDescent="0.4">
      <c r="A42" s="93" t="s">
        <v>91</v>
      </c>
      <c r="B42" s="95"/>
      <c r="C42" s="95"/>
      <c r="D42" s="95"/>
      <c r="E42" s="95"/>
      <c r="F42" s="95"/>
      <c r="G42" s="95"/>
      <c r="H42" s="94"/>
      <c r="R42" s="100"/>
      <c r="S42" s="100"/>
      <c r="T42" s="100"/>
      <c r="U42" s="100"/>
      <c r="V42" s="100"/>
      <c r="W42" s="100"/>
      <c r="X42" s="100"/>
      <c r="Y42" s="100"/>
    </row>
    <row r="43" spans="1:25" x14ac:dyDescent="0.35">
      <c r="R43" s="63"/>
      <c r="S43" s="63"/>
      <c r="T43" s="63"/>
      <c r="U43" s="63"/>
      <c r="V43" s="63"/>
      <c r="W43" s="63"/>
      <c r="X43" s="63"/>
      <c r="Y43" s="63"/>
    </row>
    <row r="44" spans="1:25" ht="15" thickBot="1" x14ac:dyDescent="0.4">
      <c r="E44" s="50">
        <f>G4-G32</f>
        <v>969.88222354908487</v>
      </c>
      <c r="R44" s="63"/>
      <c r="S44" s="63"/>
      <c r="T44" s="63"/>
      <c r="U44" s="63"/>
      <c r="V44" s="74"/>
      <c r="W44" s="63"/>
      <c r="X44" s="63"/>
      <c r="Y44" s="63"/>
    </row>
    <row r="45" spans="1:25" ht="16" thickBot="1" x14ac:dyDescent="0.4">
      <c r="E45" s="51">
        <f>E44-G33</f>
        <v>925</v>
      </c>
      <c r="R45" s="63"/>
      <c r="S45" s="63"/>
      <c r="T45" s="63"/>
      <c r="U45" s="63"/>
      <c r="V45" s="75"/>
      <c r="W45" s="63"/>
      <c r="X45" s="63"/>
      <c r="Y45" s="63"/>
    </row>
  </sheetData>
  <mergeCells count="16">
    <mergeCell ref="R32:S32"/>
    <mergeCell ref="W36:X36"/>
    <mergeCell ref="R42:Y42"/>
    <mergeCell ref="R11:S11"/>
    <mergeCell ref="W13:X13"/>
    <mergeCell ref="W14:X14"/>
    <mergeCell ref="R22:S22"/>
    <mergeCell ref="W26:X26"/>
    <mergeCell ref="F36:G36"/>
    <mergeCell ref="A32:B32"/>
    <mergeCell ref="A42:H42"/>
    <mergeCell ref="A11:B11"/>
    <mergeCell ref="F13:G13"/>
    <mergeCell ref="F14:G14"/>
    <mergeCell ref="A22:B22"/>
    <mergeCell ref="F26:G2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2828-1D26-4674-8709-9880F2276F00}">
  <dimension ref="A4:H45"/>
  <sheetViews>
    <sheetView view="pageLayout" topLeftCell="A17" zoomScaleNormal="100" workbookViewId="0">
      <selection activeCell="E13" sqref="E13"/>
    </sheetView>
  </sheetViews>
  <sheetFormatPr baseColWidth="10" defaultRowHeight="14.5" x14ac:dyDescent="0.35"/>
  <cols>
    <col min="1" max="1" width="17.90625" customWidth="1"/>
    <col min="2" max="2" width="18.6328125" customWidth="1"/>
    <col min="3" max="4" width="3" customWidth="1"/>
    <col min="5" max="5" width="7.81640625" customWidth="1"/>
    <col min="6" max="6" width="23.54296875" bestFit="1" customWidth="1"/>
    <col min="7" max="7" width="12" bestFit="1" customWidth="1"/>
    <col min="8" max="8" width="3.08984375" customWidth="1"/>
  </cols>
  <sheetData>
    <row r="4" spans="1:8" x14ac:dyDescent="0.35">
      <c r="A4" s="21" t="s">
        <v>65</v>
      </c>
      <c r="B4" s="22">
        <v>1000</v>
      </c>
      <c r="F4" s="21" t="s">
        <v>63</v>
      </c>
      <c r="G4" s="22">
        <f>B4-1</f>
        <v>999</v>
      </c>
    </row>
    <row r="5" spans="1:8" x14ac:dyDescent="0.35">
      <c r="A5" s="21" t="s">
        <v>64</v>
      </c>
      <c r="B5" s="22">
        <v>820</v>
      </c>
      <c r="F5" s="21" t="s">
        <v>66</v>
      </c>
      <c r="G5" s="22">
        <f>B5+10</f>
        <v>830</v>
      </c>
    </row>
    <row r="6" spans="1:8" x14ac:dyDescent="0.35">
      <c r="A6" s="21" t="s">
        <v>68</v>
      </c>
      <c r="B6" s="22">
        <v>235</v>
      </c>
      <c r="F6" s="21" t="s">
        <v>82</v>
      </c>
      <c r="G6" s="22">
        <f>B6*1.03</f>
        <v>242.05</v>
      </c>
    </row>
    <row r="7" spans="1:8" x14ac:dyDescent="0.35">
      <c r="A7" s="21" t="s">
        <v>67</v>
      </c>
      <c r="B7" s="22">
        <v>7.2</v>
      </c>
      <c r="F7" s="21" t="s">
        <v>69</v>
      </c>
      <c r="G7" s="22">
        <v>134.41999999999999</v>
      </c>
    </row>
    <row r="9" spans="1:8" x14ac:dyDescent="0.35">
      <c r="F9" s="37" t="s">
        <v>70</v>
      </c>
      <c r="G9" s="44">
        <f>G4-G5</f>
        <v>169</v>
      </c>
    </row>
    <row r="10" spans="1:8" ht="15" thickBot="1" x14ac:dyDescent="0.4"/>
    <row r="11" spans="1:8" ht="16" thickBot="1" x14ac:dyDescent="0.4">
      <c r="A11" s="93" t="s">
        <v>71</v>
      </c>
      <c r="B11" s="94"/>
    </row>
    <row r="12" spans="1:8" ht="15" thickBot="1" x14ac:dyDescent="0.4"/>
    <row r="13" spans="1:8" ht="15.5" x14ac:dyDescent="0.35">
      <c r="F13" s="96" t="s">
        <v>86</v>
      </c>
      <c r="G13" s="97"/>
      <c r="H13" s="24"/>
    </row>
    <row r="14" spans="1:8" ht="15" thickBot="1" x14ac:dyDescent="0.4">
      <c r="F14" s="98" t="s">
        <v>76</v>
      </c>
      <c r="G14" s="99"/>
    </row>
    <row r="17" spans="1:7" x14ac:dyDescent="0.35">
      <c r="A17" s="21" t="s">
        <v>72</v>
      </c>
      <c r="B17" s="22">
        <f>(((1743.811*((B7)^1.852)*G6)/(((G7)^1.852)*(G9)))^(1/4.87))</f>
        <v>1.6377473679358361</v>
      </c>
    </row>
    <row r="18" spans="1:7" ht="15.5" x14ac:dyDescent="0.35">
      <c r="A18" s="35" t="s">
        <v>73</v>
      </c>
      <c r="B18" s="45">
        <f>ROUNDUP(B17,0)</f>
        <v>2</v>
      </c>
      <c r="C18" s="46" t="s">
        <v>75</v>
      </c>
      <c r="D18" s="29"/>
    </row>
    <row r="19" spans="1:7" ht="15.5" x14ac:dyDescent="0.35">
      <c r="A19" s="35" t="s">
        <v>74</v>
      </c>
      <c r="B19" s="45">
        <f>ROUNDDOWN(B17,0)</f>
        <v>1</v>
      </c>
      <c r="C19" s="46" t="s">
        <v>75</v>
      </c>
      <c r="D19" s="29"/>
    </row>
    <row r="20" spans="1:7" x14ac:dyDescent="0.35">
      <c r="F20" s="23" t="s">
        <v>78</v>
      </c>
      <c r="G20" s="26">
        <f>(((1743.811*(($B$7)^1.852)*$G$6)/((($G$7)^1.852)*(B18)^4.87)))</f>
        <v>63.863553233877994</v>
      </c>
    </row>
    <row r="21" spans="1:7" ht="15" thickBot="1" x14ac:dyDescent="0.4">
      <c r="F21" s="23" t="s">
        <v>79</v>
      </c>
      <c r="G21" s="26">
        <f>(((1743.811*(($B$7)^1.852)*$G$6)/((($G$7)^1.852)*(B19)^4.87)))</f>
        <v>1867.536750992552</v>
      </c>
    </row>
    <row r="22" spans="1:7" ht="16" thickBot="1" x14ac:dyDescent="0.4">
      <c r="A22" s="93" t="s">
        <v>81</v>
      </c>
      <c r="B22" s="94"/>
      <c r="F22" s="35" t="s">
        <v>77</v>
      </c>
      <c r="G22" s="47">
        <f>G20</f>
        <v>63.863553233877994</v>
      </c>
    </row>
    <row r="23" spans="1:7" ht="15.5" x14ac:dyDescent="0.35">
      <c r="F23" s="35" t="s">
        <v>80</v>
      </c>
      <c r="G23" s="47">
        <f>G21</f>
        <v>1867.536750992552</v>
      </c>
    </row>
    <row r="25" spans="1:7" ht="15" thickBot="1" x14ac:dyDescent="0.4"/>
    <row r="26" spans="1:7" ht="16" thickBot="1" x14ac:dyDescent="0.4">
      <c r="F26" s="93" t="s">
        <v>87</v>
      </c>
      <c r="G26" s="94"/>
    </row>
    <row r="27" spans="1:7" x14ac:dyDescent="0.35">
      <c r="A27" s="36" t="s">
        <v>83</v>
      </c>
      <c r="B27" s="48">
        <f>G6*((G9-G22)/(G23-G22))</f>
        <v>14.109139599880409</v>
      </c>
    </row>
    <row r="28" spans="1:7" x14ac:dyDescent="0.35">
      <c r="A28" s="36" t="s">
        <v>84</v>
      </c>
      <c r="B28" s="48">
        <f>G6-B27</f>
        <v>227.94086040011959</v>
      </c>
    </row>
    <row r="31" spans="1:7" ht="15" thickBot="1" x14ac:dyDescent="0.4"/>
    <row r="32" spans="1:7" ht="16" thickBot="1" x14ac:dyDescent="0.4">
      <c r="A32" s="93" t="s">
        <v>89</v>
      </c>
      <c r="B32" s="94"/>
      <c r="F32" s="37" t="s">
        <v>85</v>
      </c>
      <c r="G32" s="48">
        <f>(((1743.811*(($B$7)^1.852)*B28)/((($G$7)^1.852)*(B18)^4.87)))</f>
        <v>60.140934816521337</v>
      </c>
    </row>
    <row r="33" spans="1:8" x14ac:dyDescent="0.35">
      <c r="F33" s="37" t="s">
        <v>88</v>
      </c>
      <c r="G33" s="48">
        <f>(((1743.811*(($B$7)^1.852)*B27)/((($G$7)^1.852)*(B19)^4.87)))</f>
        <v>108.85906518347868</v>
      </c>
    </row>
    <row r="35" spans="1:8" ht="15" thickBot="1" x14ac:dyDescent="0.4"/>
    <row r="36" spans="1:8" ht="16" thickBot="1" x14ac:dyDescent="0.4">
      <c r="F36" s="93" t="s">
        <v>90</v>
      </c>
      <c r="G36" s="94"/>
    </row>
    <row r="37" spans="1:8" x14ac:dyDescent="0.35">
      <c r="A37" s="37" t="str">
        <f>"TUBOS DE "&amp;B18&amp;C18</f>
        <v>TUBOS DE 2"</v>
      </c>
      <c r="B37" s="49">
        <f>ROUND(B28/6,0)</f>
        <v>38</v>
      </c>
      <c r="C37" s="34"/>
      <c r="D37" s="34"/>
    </row>
    <row r="38" spans="1:8" x14ac:dyDescent="0.35">
      <c r="A38" s="37" t="str">
        <f>"TUBOS DE "&amp;B19&amp;C19</f>
        <v>TUBOS DE 1"</v>
      </c>
      <c r="B38" s="49">
        <f>ROUND(B27/6,0)</f>
        <v>2</v>
      </c>
      <c r="C38" s="34"/>
      <c r="D38" s="34"/>
    </row>
    <row r="39" spans="1:8" x14ac:dyDescent="0.35">
      <c r="F39" s="21" t="str">
        <f>"LONGUITUD DE " &amp;B18&amp;C18</f>
        <v>LONGUITUD DE 2"</v>
      </c>
      <c r="G39" s="52" t="str">
        <f>B37*6 &amp; " m"</f>
        <v>228 m</v>
      </c>
    </row>
    <row r="40" spans="1:8" x14ac:dyDescent="0.35">
      <c r="F40" s="21" t="str">
        <f>"LONGUITUD DE " &amp;B19&amp;C19</f>
        <v>LONGUITUD DE 1"</v>
      </c>
      <c r="G40" s="52" t="str">
        <f>B38*6 &amp; " m"</f>
        <v>12 m</v>
      </c>
    </row>
    <row r="41" spans="1:8" ht="15" thickBot="1" x14ac:dyDescent="0.4"/>
    <row r="42" spans="1:8" ht="16" thickBot="1" x14ac:dyDescent="0.4">
      <c r="A42" s="93" t="s">
        <v>91</v>
      </c>
      <c r="B42" s="95"/>
      <c r="C42" s="95"/>
      <c r="D42" s="95"/>
      <c r="E42" s="95"/>
      <c r="F42" s="95"/>
      <c r="G42" s="94"/>
      <c r="H42" s="62"/>
    </row>
    <row r="44" spans="1:8" ht="15" thickBot="1" x14ac:dyDescent="0.4">
      <c r="E44" s="50">
        <f>G4-G32</f>
        <v>938.85906518347861</v>
      </c>
    </row>
    <row r="45" spans="1:8" ht="16" thickBot="1" x14ac:dyDescent="0.4">
      <c r="E45" s="51">
        <f>E44-G33</f>
        <v>829.99999999999989</v>
      </c>
    </row>
  </sheetData>
  <mergeCells count="8">
    <mergeCell ref="F36:G36"/>
    <mergeCell ref="A42:G42"/>
    <mergeCell ref="A11:B11"/>
    <mergeCell ref="F13:G13"/>
    <mergeCell ref="F14:G14"/>
    <mergeCell ref="A22:B22"/>
    <mergeCell ref="F26:G26"/>
    <mergeCell ref="A32:B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7BBA-87B9-46D1-B6E3-AABF9397BD87}">
  <dimension ref="A2:O52"/>
  <sheetViews>
    <sheetView view="pageLayout" topLeftCell="B1" zoomScaleNormal="140" workbookViewId="0">
      <selection activeCell="D26" sqref="D26"/>
    </sheetView>
  </sheetViews>
  <sheetFormatPr baseColWidth="10" defaultRowHeight="14.5" x14ac:dyDescent="0.35"/>
  <cols>
    <col min="1" max="1" width="21.08984375" customWidth="1"/>
    <col min="2" max="2" width="6.54296875" bestFit="1" customWidth="1"/>
    <col min="3" max="4" width="4.6328125" customWidth="1"/>
    <col min="5" max="5" width="14.6328125" bestFit="1" customWidth="1"/>
    <col min="6" max="6" width="19.08984375" bestFit="1" customWidth="1"/>
    <col min="7" max="7" width="5.453125" bestFit="1" customWidth="1"/>
    <col min="14" max="14" width="12.81640625" customWidth="1"/>
  </cols>
  <sheetData>
    <row r="2" spans="1:8" x14ac:dyDescent="0.35">
      <c r="A2" s="21" t="s">
        <v>93</v>
      </c>
      <c r="B2" s="22">
        <v>1000</v>
      </c>
    </row>
    <row r="3" spans="1:8" ht="15" thickBot="1" x14ac:dyDescent="0.4">
      <c r="A3" s="21" t="s">
        <v>94</v>
      </c>
      <c r="B3" s="22">
        <v>420</v>
      </c>
    </row>
    <row r="4" spans="1:8" ht="16" thickBot="1" x14ac:dyDescent="0.4">
      <c r="A4" s="21" t="s">
        <v>95</v>
      </c>
      <c r="B4" s="22">
        <v>940</v>
      </c>
      <c r="D4" s="93" t="s">
        <v>101</v>
      </c>
      <c r="E4" s="95"/>
      <c r="F4" s="95"/>
      <c r="G4" s="95"/>
      <c r="H4" s="94"/>
    </row>
    <row r="5" spans="1:8" x14ac:dyDescent="0.35">
      <c r="D5" s="55">
        <f>$B$2-B8</f>
        <v>910</v>
      </c>
      <c r="E5" s="55" t="s">
        <v>102</v>
      </c>
      <c r="F5" s="55" t="str">
        <f xml:space="preserve"> IF($B$3&lt;D5,A8)</f>
        <v>PVC 160 PSI</v>
      </c>
      <c r="G5" s="55" t="s">
        <v>103</v>
      </c>
      <c r="H5" s="55">
        <f>B2-D5</f>
        <v>90</v>
      </c>
    </row>
    <row r="6" spans="1:8" x14ac:dyDescent="0.35">
      <c r="D6" s="22">
        <f>$B$2-B9</f>
        <v>860</v>
      </c>
      <c r="E6" s="22" t="s">
        <v>102</v>
      </c>
      <c r="F6" s="22" t="str">
        <f xml:space="preserve"> IF($B$3&lt;D6,A9)</f>
        <v xml:space="preserve">PVC 250 PSI </v>
      </c>
      <c r="G6" s="22" t="s">
        <v>103</v>
      </c>
      <c r="H6" s="22">
        <f>D5-D6</f>
        <v>50</v>
      </c>
    </row>
    <row r="7" spans="1:8" x14ac:dyDescent="0.35">
      <c r="A7" s="54" t="s">
        <v>100</v>
      </c>
      <c r="B7" s="54" t="s">
        <v>59</v>
      </c>
      <c r="D7" s="58">
        <f>$B$2-B10</f>
        <v>600</v>
      </c>
      <c r="E7" s="58" t="s">
        <v>102</v>
      </c>
      <c r="F7" s="58" t="str">
        <f xml:space="preserve"> IF($B$3&lt;D7&gt;=(B2-B10),A10)</f>
        <v>HG LIVIANO</v>
      </c>
      <c r="G7" s="58" t="s">
        <v>104</v>
      </c>
      <c r="H7" s="58">
        <v>0</v>
      </c>
    </row>
    <row r="8" spans="1:8" x14ac:dyDescent="0.35">
      <c r="A8" s="22" t="s">
        <v>96</v>
      </c>
      <c r="B8" s="53">
        <v>90</v>
      </c>
      <c r="D8" s="22">
        <f>$B$2-B11</f>
        <v>300</v>
      </c>
      <c r="E8" s="22" t="s">
        <v>102</v>
      </c>
      <c r="F8" s="22" t="str">
        <f xml:space="preserve"> IF($B$3&lt;D8&gt;=(B3-B11),A11)</f>
        <v>HG MEDIANO</v>
      </c>
      <c r="G8" s="22" t="s">
        <v>103</v>
      </c>
      <c r="H8" s="22">
        <f>D6-B3</f>
        <v>440</v>
      </c>
    </row>
    <row r="9" spans="1:8" x14ac:dyDescent="0.35">
      <c r="A9" s="22" t="s">
        <v>97</v>
      </c>
      <c r="B9" s="53">
        <v>140</v>
      </c>
      <c r="D9" s="58">
        <f>$B$2-B12</f>
        <v>100</v>
      </c>
      <c r="E9" s="58" t="s">
        <v>102</v>
      </c>
      <c r="F9" s="58" t="str">
        <f xml:space="preserve"> IF($B$3&lt;D9&gt;=(B4-B12),A12)</f>
        <v>HG PESADO</v>
      </c>
      <c r="G9" s="58" t="s">
        <v>104</v>
      </c>
      <c r="H9" s="58">
        <v>0</v>
      </c>
    </row>
    <row r="10" spans="1:8" x14ac:dyDescent="0.35">
      <c r="A10" s="60" t="s">
        <v>105</v>
      </c>
      <c r="B10" s="61">
        <v>400</v>
      </c>
    </row>
    <row r="11" spans="1:8" x14ac:dyDescent="0.35">
      <c r="A11" s="22" t="s">
        <v>98</v>
      </c>
      <c r="B11" s="53">
        <v>700</v>
      </c>
    </row>
    <row r="12" spans="1:8" x14ac:dyDescent="0.35">
      <c r="A12" s="22" t="s">
        <v>99</v>
      </c>
      <c r="B12" s="53">
        <v>900</v>
      </c>
      <c r="F12" s="22" t="str">
        <f>F5</f>
        <v>PVC 160 PSI</v>
      </c>
      <c r="G12" s="22">
        <v>150</v>
      </c>
    </row>
    <row r="13" spans="1:8" x14ac:dyDescent="0.35">
      <c r="F13" s="22" t="str">
        <f>F6</f>
        <v xml:space="preserve">PVC 250 PSI </v>
      </c>
      <c r="G13" s="22">
        <v>200</v>
      </c>
    </row>
    <row r="14" spans="1:8" x14ac:dyDescent="0.35">
      <c r="F14" s="58" t="str">
        <f>F7</f>
        <v>HG LIVIANO</v>
      </c>
      <c r="G14" s="58">
        <v>0</v>
      </c>
    </row>
    <row r="15" spans="1:8" x14ac:dyDescent="0.35">
      <c r="F15" s="22" t="str">
        <f>F8</f>
        <v>HG MEDIANO</v>
      </c>
      <c r="G15" s="22">
        <v>80</v>
      </c>
    </row>
    <row r="16" spans="1:8" x14ac:dyDescent="0.35">
      <c r="F16" s="59" t="s">
        <v>99</v>
      </c>
      <c r="G16" s="59">
        <v>0</v>
      </c>
    </row>
    <row r="17" spans="1:10" ht="16" thickBot="1" x14ac:dyDescent="0.4">
      <c r="F17" s="56" t="s">
        <v>106</v>
      </c>
      <c r="G17" s="57">
        <f>SUM(G12:G15)</f>
        <v>430</v>
      </c>
    </row>
    <row r="18" spans="1:10" ht="15" thickBot="1" x14ac:dyDescent="0.4"/>
    <row r="19" spans="1:10" ht="16" thickBot="1" x14ac:dyDescent="0.4">
      <c r="A19" s="93" t="s">
        <v>107</v>
      </c>
      <c r="B19" s="95"/>
      <c r="C19" s="94"/>
    </row>
    <row r="20" spans="1:10" x14ac:dyDescent="0.35">
      <c r="F20" s="22" t="s">
        <v>109</v>
      </c>
      <c r="G20" s="20">
        <v>140</v>
      </c>
    </row>
    <row r="21" spans="1:10" x14ac:dyDescent="0.35">
      <c r="A21" s="37" t="s">
        <v>37</v>
      </c>
      <c r="B21" s="32">
        <f>((G12+G13)/$G$17)*100</f>
        <v>81.395348837209298</v>
      </c>
      <c r="C21" s="33" t="s">
        <v>12</v>
      </c>
      <c r="F21" s="22" t="s">
        <v>110</v>
      </c>
      <c r="G21" s="20">
        <v>110</v>
      </c>
    </row>
    <row r="22" spans="1:10" x14ac:dyDescent="0.35">
      <c r="A22" s="37" t="s">
        <v>108</v>
      </c>
      <c r="B22" s="30">
        <f>((G14+G15)/$G$17)*100</f>
        <v>18.604651162790699</v>
      </c>
      <c r="C22" s="31" t="s">
        <v>12</v>
      </c>
      <c r="F22" s="22" t="s">
        <v>120</v>
      </c>
      <c r="G22" s="20">
        <f>G20-G21</f>
        <v>30</v>
      </c>
    </row>
    <row r="23" spans="1:10" ht="15" thickBot="1" x14ac:dyDescent="0.4"/>
    <row r="24" spans="1:10" ht="16" thickBot="1" x14ac:dyDescent="0.4">
      <c r="A24" s="93" t="s">
        <v>111</v>
      </c>
      <c r="B24" s="95"/>
      <c r="C24" s="94"/>
    </row>
    <row r="26" spans="1:10" x14ac:dyDescent="0.35">
      <c r="B26" s="44">
        <f>G22*(B22/100)</f>
        <v>5.5813953488372094</v>
      </c>
      <c r="D26" s="44">
        <f>(G22*(B22/100))</f>
        <v>5.5813953488372094</v>
      </c>
    </row>
    <row r="27" spans="1:10" x14ac:dyDescent="0.35">
      <c r="A27" s="37" t="s">
        <v>108</v>
      </c>
      <c r="B27" s="48">
        <f>G20-B26</f>
        <v>134.41860465116278</v>
      </c>
      <c r="D27">
        <f>D26+G21</f>
        <v>115.58139534883721</v>
      </c>
    </row>
    <row r="31" spans="1:10" x14ac:dyDescent="0.35">
      <c r="I31">
        <f>1000-90</f>
        <v>910</v>
      </c>
    </row>
    <row r="32" spans="1:10" x14ac:dyDescent="0.35">
      <c r="I32">
        <f>1000-140</f>
        <v>860</v>
      </c>
      <c r="J32" t="s">
        <v>112</v>
      </c>
    </row>
    <row r="33" spans="10:15" x14ac:dyDescent="0.35">
      <c r="J33" t="s">
        <v>113</v>
      </c>
    </row>
    <row r="34" spans="10:15" x14ac:dyDescent="0.35">
      <c r="J34" t="s">
        <v>114</v>
      </c>
      <c r="N34" t="s">
        <v>116</v>
      </c>
      <c r="O34">
        <f>1000-700</f>
        <v>300</v>
      </c>
    </row>
    <row r="35" spans="10:15" x14ac:dyDescent="0.35">
      <c r="N35" t="s">
        <v>115</v>
      </c>
      <c r="O35">
        <f>2000-700</f>
        <v>1300</v>
      </c>
    </row>
    <row r="50" spans="1:1" x14ac:dyDescent="0.35">
      <c r="A50" t="s">
        <v>117</v>
      </c>
    </row>
    <row r="51" spans="1:1" x14ac:dyDescent="0.35">
      <c r="A51" t="s">
        <v>118</v>
      </c>
    </row>
    <row r="52" spans="1:1" x14ac:dyDescent="0.35">
      <c r="A52" t="s">
        <v>119</v>
      </c>
    </row>
  </sheetData>
  <mergeCells count="3">
    <mergeCell ref="A19:C19"/>
    <mergeCell ref="A24:C24"/>
    <mergeCell ref="D4:H4"/>
  </mergeCells>
  <phoneticPr fontId="11" type="noConversion"/>
  <pageMargins left="0.7" right="0.7" top="0.75" bottom="0.75" header="0.3" footer="0.3"/>
  <pageSetup orientation="portrait" r:id="rId1"/>
  <ignoredErrors>
    <ignoredError sqref="G1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3849-BF1E-476E-B6A9-C16C18716EEB}">
  <dimension ref="B2:M24"/>
  <sheetViews>
    <sheetView tabSelected="1" topLeftCell="F1" zoomScale="120" zoomScaleNormal="120" workbookViewId="0">
      <selection activeCell="J5" sqref="J5"/>
    </sheetView>
  </sheetViews>
  <sheetFormatPr baseColWidth="10" defaultRowHeight="14.5" x14ac:dyDescent="0.35"/>
  <cols>
    <col min="3" max="6" width="11.54296875" customWidth="1"/>
    <col min="7" max="7" width="12.36328125" customWidth="1"/>
    <col min="8" max="8" width="13.7265625" customWidth="1"/>
    <col min="9" max="9" width="11.54296875" customWidth="1"/>
    <col min="10" max="10" width="12.54296875" customWidth="1"/>
    <col min="11" max="11" width="14" customWidth="1"/>
    <col min="12" max="12" width="21.90625" customWidth="1"/>
  </cols>
  <sheetData>
    <row r="2" spans="2:13" x14ac:dyDescent="0.35">
      <c r="J2" t="s">
        <v>123</v>
      </c>
    </row>
    <row r="3" spans="2:13" ht="27" customHeight="1" x14ac:dyDescent="0.35">
      <c r="G3" t="s">
        <v>121</v>
      </c>
      <c r="J3" s="102" t="s">
        <v>127</v>
      </c>
      <c r="K3" s="102"/>
    </row>
    <row r="4" spans="2:13" ht="43.5" x14ac:dyDescent="0.35">
      <c r="B4" s="87" t="s">
        <v>0</v>
      </c>
      <c r="C4" s="87" t="s">
        <v>2</v>
      </c>
      <c r="D4" s="87" t="s">
        <v>1</v>
      </c>
      <c r="E4" s="87" t="s">
        <v>3</v>
      </c>
      <c r="F4" s="87" t="s">
        <v>4</v>
      </c>
      <c r="G4" s="87" t="s">
        <v>16</v>
      </c>
      <c r="H4" s="87" t="s">
        <v>17</v>
      </c>
      <c r="I4" s="87" t="s">
        <v>19</v>
      </c>
      <c r="J4" s="87" t="s">
        <v>5</v>
      </c>
      <c r="K4" s="87" t="s">
        <v>6</v>
      </c>
      <c r="L4" s="87" t="s">
        <v>7</v>
      </c>
    </row>
    <row r="5" spans="2:13" x14ac:dyDescent="0.35">
      <c r="B5" s="2">
        <v>1</v>
      </c>
      <c r="C5" s="2">
        <v>38</v>
      </c>
      <c r="D5" s="2">
        <f>C5*$E$17</f>
        <v>228</v>
      </c>
      <c r="E5" s="4">
        <f>C5*$E$20</f>
        <v>64.6886499088275</v>
      </c>
      <c r="F5" s="4">
        <f t="shared" ref="E5:F11" si="0">D5*$E$20</f>
        <v>388.131899452965</v>
      </c>
      <c r="G5" s="4">
        <v>120</v>
      </c>
      <c r="H5" s="3">
        <f>F5*G5/86400</f>
        <v>0.53907208257356254</v>
      </c>
      <c r="I5" s="3">
        <f t="shared" ref="I5:I12" si="1">H5*$E$21</f>
        <v>0.646886499088275</v>
      </c>
      <c r="J5" s="3">
        <f t="shared" ref="J5:J11" si="2">H5*$E$23</f>
        <v>1.0781441651471251</v>
      </c>
      <c r="K5" s="88">
        <f>0.2*(SQRT(E5-1))</f>
        <v>1.5961033789680104</v>
      </c>
      <c r="L5" s="2"/>
      <c r="M5" s="1"/>
    </row>
    <row r="6" spans="2:13" x14ac:dyDescent="0.35">
      <c r="B6" s="2">
        <v>2</v>
      </c>
      <c r="C6" s="2">
        <v>121</v>
      </c>
      <c r="D6" s="2">
        <f t="shared" ref="D6:D11" si="3">C6*$E$17</f>
        <v>726</v>
      </c>
      <c r="E6" s="4">
        <f t="shared" si="0"/>
        <v>205.98227997284545</v>
      </c>
      <c r="F6" s="4">
        <f t="shared" si="0"/>
        <v>1235.8936798370728</v>
      </c>
      <c r="G6" s="4">
        <v>120</v>
      </c>
      <c r="H6" s="3">
        <f>F6*G6/86400</f>
        <v>1.716518999773712</v>
      </c>
      <c r="I6" s="3">
        <f t="shared" si="1"/>
        <v>2.0598227997284542</v>
      </c>
      <c r="J6" s="3">
        <f t="shared" si="2"/>
        <v>3.4330379995474241</v>
      </c>
      <c r="K6" s="88">
        <f>0.2*(SQRT(E6-1))</f>
        <v>2.8634404479426174</v>
      </c>
      <c r="L6" s="2"/>
      <c r="M6" s="1"/>
    </row>
    <row r="7" spans="2:13" x14ac:dyDescent="0.35">
      <c r="B7" s="2">
        <v>3</v>
      </c>
      <c r="C7" s="2">
        <v>39</v>
      </c>
      <c r="D7" s="2">
        <f t="shared" si="3"/>
        <v>234</v>
      </c>
      <c r="E7" s="4">
        <f t="shared" si="0"/>
        <v>66.390982801165066</v>
      </c>
      <c r="F7" s="4">
        <f t="shared" si="0"/>
        <v>398.34589680699037</v>
      </c>
      <c r="G7" s="4">
        <v>120</v>
      </c>
      <c r="H7" s="3">
        <f t="shared" ref="H7:H11" si="4">F7*G7/86400</f>
        <v>0.55325819000970888</v>
      </c>
      <c r="I7" s="3">
        <f t="shared" si="1"/>
        <v>0.66390982801165066</v>
      </c>
      <c r="J7" s="3">
        <f t="shared" si="2"/>
        <v>1.1065163800194178</v>
      </c>
      <c r="K7" s="88">
        <f t="shared" ref="K7:K11" si="5">0.2*(SQRT(E7-1))</f>
        <v>1.6172938236593257</v>
      </c>
      <c r="L7" s="2"/>
      <c r="M7" s="1"/>
    </row>
    <row r="8" spans="2:13" x14ac:dyDescent="0.35">
      <c r="B8" s="2">
        <v>4</v>
      </c>
      <c r="C8" s="2">
        <v>62</v>
      </c>
      <c r="D8" s="2">
        <f t="shared" si="3"/>
        <v>372</v>
      </c>
      <c r="E8" s="4">
        <f t="shared" si="0"/>
        <v>105.54463932492908</v>
      </c>
      <c r="F8" s="4">
        <f t="shared" si="0"/>
        <v>633.26783594957442</v>
      </c>
      <c r="G8" s="4">
        <v>120</v>
      </c>
      <c r="H8" s="3">
        <f t="shared" si="4"/>
        <v>0.87953866104107559</v>
      </c>
      <c r="I8" s="3">
        <f t="shared" si="1"/>
        <v>1.0554463932492906</v>
      </c>
      <c r="J8" s="3">
        <f t="shared" si="2"/>
        <v>1.7590773220821512</v>
      </c>
      <c r="K8" s="88">
        <f t="shared" si="5"/>
        <v>2.0449414595526112</v>
      </c>
      <c r="L8" s="2"/>
      <c r="M8" s="1"/>
    </row>
    <row r="9" spans="2:13" x14ac:dyDescent="0.35">
      <c r="B9" s="2">
        <v>5</v>
      </c>
      <c r="C9" s="2">
        <v>50</v>
      </c>
      <c r="D9" s="2">
        <f t="shared" si="3"/>
        <v>300</v>
      </c>
      <c r="E9" s="4">
        <f t="shared" si="0"/>
        <v>85.11664461687829</v>
      </c>
      <c r="F9" s="4">
        <f t="shared" si="0"/>
        <v>510.69986770126974</v>
      </c>
      <c r="G9" s="4">
        <v>120</v>
      </c>
      <c r="H9" s="3">
        <f t="shared" si="4"/>
        <v>0.70930537180731912</v>
      </c>
      <c r="I9" s="3">
        <f t="shared" si="1"/>
        <v>0.8511664461687829</v>
      </c>
      <c r="J9" s="3">
        <f t="shared" si="2"/>
        <v>1.4186107436146382</v>
      </c>
      <c r="K9" s="88">
        <f t="shared" si="5"/>
        <v>1.8343025335737648</v>
      </c>
      <c r="L9" s="2"/>
      <c r="M9" s="1"/>
    </row>
    <row r="10" spans="2:13" x14ac:dyDescent="0.35">
      <c r="B10" s="2">
        <v>6</v>
      </c>
      <c r="C10" s="2">
        <v>74</v>
      </c>
      <c r="D10" s="2">
        <f t="shared" si="3"/>
        <v>444</v>
      </c>
      <c r="E10" s="4">
        <f t="shared" si="0"/>
        <v>125.97263403297987</v>
      </c>
      <c r="F10" s="4">
        <f t="shared" si="0"/>
        <v>755.83580419787927</v>
      </c>
      <c r="G10" s="4">
        <v>120</v>
      </c>
      <c r="H10" s="3">
        <f t="shared" si="4"/>
        <v>1.0497719502748324</v>
      </c>
      <c r="I10" s="3">
        <f t="shared" si="1"/>
        <v>1.2597263403297989</v>
      </c>
      <c r="J10" s="3">
        <f t="shared" si="2"/>
        <v>2.0995439005496648</v>
      </c>
      <c r="K10" s="88">
        <f t="shared" si="5"/>
        <v>2.2358231954515531</v>
      </c>
      <c r="L10" s="2"/>
      <c r="M10" s="1"/>
    </row>
    <row r="11" spans="2:13" x14ac:dyDescent="0.35">
      <c r="B11" s="2">
        <v>7</v>
      </c>
      <c r="C11" s="2">
        <v>114</v>
      </c>
      <c r="D11" s="2">
        <f t="shared" si="3"/>
        <v>684</v>
      </c>
      <c r="E11" s="4">
        <f t="shared" si="0"/>
        <v>194.0659497264825</v>
      </c>
      <c r="F11" s="4">
        <f t="shared" si="0"/>
        <v>1164.3956983588951</v>
      </c>
      <c r="G11" s="4">
        <v>120</v>
      </c>
      <c r="H11" s="3">
        <f t="shared" si="4"/>
        <v>1.6172162477206877</v>
      </c>
      <c r="I11" s="3">
        <f t="shared" si="1"/>
        <v>1.9406594972648252</v>
      </c>
      <c r="J11" s="3">
        <f t="shared" si="2"/>
        <v>3.2344324954413755</v>
      </c>
      <c r="K11" s="88">
        <f t="shared" si="5"/>
        <v>2.7789634738620261</v>
      </c>
      <c r="L11" s="2"/>
      <c r="M11" s="1"/>
    </row>
    <row r="12" spans="2:13" x14ac:dyDescent="0.35">
      <c r="C12" s="1"/>
      <c r="D12" s="1"/>
      <c r="E12" s="1"/>
      <c r="F12" s="11">
        <f>SUM(F5:F11)</f>
        <v>5086.5706823046467</v>
      </c>
      <c r="G12" s="1"/>
      <c r="H12" s="7">
        <f>SUM(H5:H11)</f>
        <v>7.064681503200898</v>
      </c>
      <c r="I12" s="6">
        <f t="shared" si="1"/>
        <v>8.4776178038410777</v>
      </c>
      <c r="J12" s="1"/>
      <c r="K12" s="1"/>
      <c r="L12" s="1"/>
      <c r="M12" s="1"/>
    </row>
    <row r="13" spans="2:13" x14ac:dyDescent="0.35">
      <c r="C13" s="1"/>
      <c r="D13" s="1"/>
      <c r="E13" s="1"/>
      <c r="F13" s="77"/>
      <c r="G13" s="1"/>
      <c r="H13" s="5"/>
      <c r="I13" s="5"/>
      <c r="J13" s="1"/>
      <c r="K13" s="1"/>
      <c r="L13" s="1"/>
      <c r="M13" s="1"/>
    </row>
    <row r="14" spans="2:13" x14ac:dyDescent="0.35">
      <c r="C14" s="1"/>
      <c r="D14" s="1"/>
      <c r="E14" s="1"/>
      <c r="F14" s="1"/>
      <c r="G14" s="1"/>
      <c r="H14" s="1">
        <f>H12*86.4</f>
        <v>610.38848187655765</v>
      </c>
      <c r="I14" s="1" t="s">
        <v>21</v>
      </c>
      <c r="J14" s="1"/>
      <c r="K14" s="1"/>
      <c r="L14" s="1"/>
      <c r="M14" s="1"/>
    </row>
    <row r="15" spans="2:13" x14ac:dyDescent="0.35">
      <c r="C15" s="1"/>
      <c r="D15" s="1"/>
      <c r="E15" s="1"/>
      <c r="F15" s="1"/>
      <c r="G15" s="1"/>
      <c r="H15" s="12">
        <f>H14*0.25</f>
        <v>152.59712046913941</v>
      </c>
      <c r="I15" s="1" t="s">
        <v>122</v>
      </c>
      <c r="J15" s="1"/>
      <c r="K15" s="1"/>
      <c r="L15" s="1"/>
      <c r="M15" s="1"/>
    </row>
    <row r="16" spans="2:13" x14ac:dyDescent="0.35">
      <c r="B16" s="103" t="s">
        <v>8</v>
      </c>
      <c r="C16" s="103"/>
      <c r="D16" s="103"/>
      <c r="E16" s="103"/>
      <c r="F16" s="103"/>
      <c r="G16" s="1"/>
      <c r="H16" s="13">
        <f>H14*0.4</f>
        <v>244.15539275062307</v>
      </c>
      <c r="I16" s="1"/>
      <c r="J16" s="1"/>
      <c r="K16" s="1"/>
      <c r="L16" s="1"/>
      <c r="M16" s="1"/>
    </row>
    <row r="17" spans="2:9" x14ac:dyDescent="0.35">
      <c r="B17" s="104" t="s">
        <v>9</v>
      </c>
      <c r="C17" s="104"/>
      <c r="D17" s="104"/>
      <c r="E17" s="2">
        <v>6</v>
      </c>
      <c r="F17" s="2" t="s">
        <v>10</v>
      </c>
    </row>
    <row r="18" spans="2:9" x14ac:dyDescent="0.35">
      <c r="B18" s="104" t="s">
        <v>11</v>
      </c>
      <c r="C18" s="104"/>
      <c r="D18" s="104"/>
      <c r="E18" s="2">
        <v>2.34</v>
      </c>
      <c r="F18" s="2" t="s">
        <v>12</v>
      </c>
    </row>
    <row r="19" spans="2:9" x14ac:dyDescent="0.35">
      <c r="B19" s="104" t="s">
        <v>13</v>
      </c>
      <c r="C19" s="104"/>
      <c r="D19" s="104"/>
      <c r="E19" s="2">
        <v>23</v>
      </c>
      <c r="F19" s="2" t="s">
        <v>14</v>
      </c>
      <c r="H19" s="8">
        <v>0.25</v>
      </c>
      <c r="I19" s="5">
        <f>H19*H16</f>
        <v>61.038848187655766</v>
      </c>
    </row>
    <row r="20" spans="2:9" x14ac:dyDescent="0.35">
      <c r="B20" s="104" t="s">
        <v>15</v>
      </c>
      <c r="C20" s="104"/>
      <c r="D20" s="104"/>
      <c r="E20" s="89">
        <f>POWER(((E18/100)+1),E19)</f>
        <v>1.7023328923375658</v>
      </c>
      <c r="F20" s="2"/>
      <c r="H20" s="9">
        <v>0.4</v>
      </c>
      <c r="I20" s="10">
        <f>H20*H16</f>
        <v>97.662157100249232</v>
      </c>
    </row>
    <row r="21" spans="2:9" x14ac:dyDescent="0.35">
      <c r="B21" s="104" t="s">
        <v>18</v>
      </c>
      <c r="C21" s="104"/>
      <c r="D21" s="104"/>
      <c r="E21" s="2">
        <v>1.2</v>
      </c>
      <c r="F21" s="2"/>
    </row>
    <row r="22" spans="2:9" x14ac:dyDescent="0.35">
      <c r="B22" s="104" t="s">
        <v>20</v>
      </c>
      <c r="C22" s="104"/>
      <c r="D22" s="104"/>
      <c r="E22" s="3">
        <f>ROUNDDOWN(H16,0)</f>
        <v>244</v>
      </c>
      <c r="F22" s="2" t="s">
        <v>21</v>
      </c>
    </row>
    <row r="23" spans="2:9" x14ac:dyDescent="0.35">
      <c r="B23" s="104" t="s">
        <v>22</v>
      </c>
      <c r="C23" s="104"/>
      <c r="D23" s="104"/>
      <c r="E23" s="2">
        <v>2</v>
      </c>
      <c r="F23" s="2"/>
    </row>
    <row r="24" spans="2:9" x14ac:dyDescent="0.35">
      <c r="E24" s="1"/>
      <c r="F24" s="1"/>
    </row>
  </sheetData>
  <mergeCells count="9">
    <mergeCell ref="J3:K3"/>
    <mergeCell ref="B16:F16"/>
    <mergeCell ref="B23:D23"/>
    <mergeCell ref="B17:D17"/>
    <mergeCell ref="B18:D18"/>
    <mergeCell ref="B19:D19"/>
    <mergeCell ref="B20:D20"/>
    <mergeCell ref="B21:D21"/>
    <mergeCell ref="B22:D2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7985-7175-42C4-A940-076F340350E0}">
  <dimension ref="B2:P15"/>
  <sheetViews>
    <sheetView zoomScaleNormal="100" workbookViewId="0">
      <selection activeCell="B1" sqref="B1:P15"/>
    </sheetView>
  </sheetViews>
  <sheetFormatPr baseColWidth="10" defaultColWidth="11.453125" defaultRowHeight="14.5" x14ac:dyDescent="0.35"/>
  <cols>
    <col min="1" max="1" width="6.36328125" style="14" customWidth="1"/>
    <col min="2" max="3" width="7.6328125" style="14" customWidth="1"/>
    <col min="4" max="4" width="12.6328125" style="14" customWidth="1"/>
    <col min="5" max="5" width="14.6328125" style="14" customWidth="1"/>
    <col min="6" max="6" width="19.36328125" style="14" customWidth="1"/>
    <col min="7" max="7" width="27.08984375" style="14" customWidth="1"/>
    <col min="8" max="8" width="17.90625" style="14" bestFit="1" customWidth="1"/>
    <col min="9" max="9" width="21.6328125" style="14" customWidth="1"/>
    <col min="10" max="10" width="15" style="14" customWidth="1"/>
    <col min="11" max="11" width="15.90625" style="14" customWidth="1"/>
    <col min="12" max="12" width="14.90625" style="14" customWidth="1"/>
    <col min="13" max="14" width="12.6328125" style="14" hidden="1" customWidth="1"/>
    <col min="15" max="15" width="14.6328125" style="14" hidden="1" customWidth="1"/>
    <col min="16" max="16" width="24.453125" style="14" customWidth="1"/>
    <col min="17" max="16384" width="11.453125" style="14"/>
  </cols>
  <sheetData>
    <row r="2" spans="2:16" ht="15.5" x14ac:dyDescent="0.35">
      <c r="D2" s="15"/>
      <c r="E2" s="15"/>
      <c r="F2" s="15"/>
      <c r="G2" s="15"/>
      <c r="H2" s="15"/>
      <c r="I2" s="76" t="s">
        <v>124</v>
      </c>
      <c r="J2" s="15"/>
      <c r="K2" s="15"/>
      <c r="L2" s="15" t="s">
        <v>124</v>
      </c>
      <c r="M2" s="16"/>
      <c r="N2" s="16"/>
      <c r="O2" s="17"/>
      <c r="P2"/>
    </row>
    <row r="3" spans="2:16" ht="18" x14ac:dyDescent="0.35">
      <c r="B3" s="78"/>
      <c r="C3" s="79"/>
      <c r="D3" s="105" t="s">
        <v>23</v>
      </c>
      <c r="E3" s="105" t="s">
        <v>24</v>
      </c>
      <c r="F3" s="105" t="s">
        <v>25</v>
      </c>
      <c r="G3" s="105" t="s">
        <v>26</v>
      </c>
      <c r="H3" s="105" t="s">
        <v>27</v>
      </c>
      <c r="I3" s="105" t="s">
        <v>28</v>
      </c>
      <c r="J3" s="105" t="s">
        <v>29</v>
      </c>
      <c r="K3" s="107" t="s">
        <v>30</v>
      </c>
      <c r="L3" s="107"/>
      <c r="M3" s="107"/>
      <c r="N3" s="107"/>
      <c r="O3" s="107"/>
      <c r="P3" s="107"/>
    </row>
    <row r="4" spans="2:16" ht="36" x14ac:dyDescent="0.35">
      <c r="B4" s="81" t="s">
        <v>38</v>
      </c>
      <c r="C4" s="82" t="s">
        <v>39</v>
      </c>
      <c r="D4" s="106"/>
      <c r="E4" s="106"/>
      <c r="F4" s="106"/>
      <c r="G4" s="106"/>
      <c r="H4" s="106"/>
      <c r="I4" s="106"/>
      <c r="J4" s="106"/>
      <c r="K4" s="80" t="s">
        <v>31</v>
      </c>
      <c r="L4" s="80" t="s">
        <v>32</v>
      </c>
      <c r="M4" s="80" t="s">
        <v>33</v>
      </c>
      <c r="N4" s="80" t="s">
        <v>34</v>
      </c>
      <c r="O4" s="80" t="s">
        <v>35</v>
      </c>
      <c r="P4" s="80" t="s">
        <v>36</v>
      </c>
    </row>
    <row r="5" spans="2:16" ht="18" x14ac:dyDescent="0.4">
      <c r="B5" s="86" t="s">
        <v>39</v>
      </c>
      <c r="C5" s="86" t="s">
        <v>40</v>
      </c>
      <c r="D5" s="83">
        <v>15.44</v>
      </c>
      <c r="E5" s="83">
        <v>2070</v>
      </c>
      <c r="F5" s="83" t="s">
        <v>37</v>
      </c>
      <c r="G5" s="83">
        <v>160</v>
      </c>
      <c r="H5" s="84">
        <v>140</v>
      </c>
      <c r="I5" s="84">
        <v>3</v>
      </c>
      <c r="J5" s="83">
        <f>(POWER(((1743.811*(POWER(D5,1.852))*E5)/(POWER(H5,1.852)*(I5))),(1/4.87)))</f>
        <v>7.6632604840620333</v>
      </c>
      <c r="K5" s="85">
        <v>8</v>
      </c>
      <c r="L5" s="83">
        <f>((1743.811*(POWER(D5,1.852))*E5)/(POWER(H5,1.852)*(POWER(K5,4.87))))</f>
        <v>2.433140523029905</v>
      </c>
      <c r="M5" s="83">
        <v>1907.67</v>
      </c>
      <c r="N5" s="83" t="e">
        <f>+#REF!-L5</f>
        <v>#REF!</v>
      </c>
      <c r="O5" s="83" t="e">
        <f>+N5-M5</f>
        <v>#REF!</v>
      </c>
      <c r="P5" s="83">
        <f>(D5/1000)/((3.1416/4)*((K5*0.0254)*(K5*0.0254)))</f>
        <v>0.47611185112871879</v>
      </c>
    </row>
    <row r="6" spans="2:16" ht="18" x14ac:dyDescent="0.4">
      <c r="B6" s="86" t="s">
        <v>40</v>
      </c>
      <c r="C6" s="86" t="s">
        <v>45</v>
      </c>
      <c r="D6" s="83">
        <v>5.08</v>
      </c>
      <c r="E6" s="83">
        <v>625</v>
      </c>
      <c r="F6" s="83" t="s">
        <v>37</v>
      </c>
      <c r="G6" s="83">
        <v>160</v>
      </c>
      <c r="H6" s="84">
        <v>140</v>
      </c>
      <c r="I6" s="84">
        <v>3</v>
      </c>
      <c r="J6" s="83">
        <f>(POWER(((1743.811*(POWER(D6,1.852))*E6)/(POWER(H6,1.852)*(I6))),(1/4.87)))</f>
        <v>3.9266510614337258</v>
      </c>
      <c r="K6" s="85">
        <v>4</v>
      </c>
      <c r="L6" s="83">
        <f>((1743.811*(POWER(D6,1.852))*E6)/(POWER(H6,1.852)*(POWER(K6,4.87))))</f>
        <v>2.7414336895376104</v>
      </c>
      <c r="M6" s="83">
        <v>999.2</v>
      </c>
      <c r="N6" s="83" t="e">
        <f>+N5-#REF!</f>
        <v>#REF!</v>
      </c>
      <c r="O6" s="83" t="e">
        <f>+#REF!-M6</f>
        <v>#REF!</v>
      </c>
      <c r="P6" s="83">
        <f>(D6/1000)/((3.1416/4)*((K6*0.0254)*(K6*0.0254)))</f>
        <v>0.62659279889479058</v>
      </c>
    </row>
    <row r="7" spans="2:16" ht="18" x14ac:dyDescent="0.4">
      <c r="B7" s="86" t="s">
        <v>45</v>
      </c>
      <c r="C7" s="86" t="s">
        <v>27</v>
      </c>
      <c r="D7" s="83">
        <v>5.08</v>
      </c>
      <c r="E7" s="83">
        <v>625</v>
      </c>
      <c r="F7" s="83" t="s">
        <v>37</v>
      </c>
      <c r="G7" s="83">
        <v>160</v>
      </c>
      <c r="H7" s="84">
        <v>140</v>
      </c>
      <c r="I7" s="84">
        <v>3</v>
      </c>
      <c r="J7" s="83">
        <f>(POWER(((1743.811*(POWER(D7,1.852))*E7)/(POWER(H7,1.852)*(I7))),(1/4.87)))</f>
        <v>3.9266510614337258</v>
      </c>
      <c r="K7" s="85">
        <v>4</v>
      </c>
      <c r="L7" s="83">
        <f>((1743.811*(POWER(D7,1.852))*E7)/(POWER(H7,1.852)*(POWER(K7,4.87))))</f>
        <v>2.7414336895376104</v>
      </c>
      <c r="M7" s="83"/>
      <c r="N7" s="83"/>
      <c r="O7" s="83"/>
      <c r="P7" s="83">
        <f>(D7/1000)/((3.1416/4)*((K7*0.0254)*(K7*0.0254)))</f>
        <v>0.62659279889479058</v>
      </c>
    </row>
    <row r="8" spans="2:16" ht="18" x14ac:dyDescent="0.4">
      <c r="B8" s="86" t="s">
        <v>27</v>
      </c>
      <c r="C8" s="86" t="s">
        <v>41</v>
      </c>
      <c r="D8" s="83">
        <v>2.04</v>
      </c>
      <c r="E8" s="83">
        <v>510</v>
      </c>
      <c r="F8" s="83" t="s">
        <v>37</v>
      </c>
      <c r="G8" s="83">
        <v>160</v>
      </c>
      <c r="H8" s="84">
        <v>140</v>
      </c>
      <c r="I8" s="84">
        <v>3</v>
      </c>
      <c r="J8" s="83">
        <f>(POWER(((1743.811*(POWER(D8,1.852))*E8)/(POWER(H8,1.852)*(I8))),(1/4.87)))</f>
        <v>2.6619887645776634</v>
      </c>
      <c r="K8" s="85">
        <v>2.5</v>
      </c>
      <c r="L8" s="83">
        <f>((1743.811*(POWER(D8,1.852))*E8)/(POWER(H8,1.852)*(POWER(K8,4.87))))</f>
        <v>4.0729370210676095</v>
      </c>
      <c r="M8" s="83">
        <v>996.29</v>
      </c>
      <c r="N8" s="83" t="e">
        <f>+N5-#REF!</f>
        <v>#REF!</v>
      </c>
      <c r="O8" s="83" t="e">
        <f>+#REF!-M8</f>
        <v>#REF!</v>
      </c>
      <c r="P8" s="83">
        <f>(D8/1000)/((3.1416/4)*((K8*0.0254)*(K8*0.0254)))</f>
        <v>0.64415713247010908</v>
      </c>
    </row>
    <row r="9" spans="2:16" ht="18" x14ac:dyDescent="0.4">
      <c r="B9" s="86" t="s">
        <v>27</v>
      </c>
      <c r="C9" s="86" t="s">
        <v>46</v>
      </c>
      <c r="D9" s="83">
        <v>1.62</v>
      </c>
      <c r="E9" s="83">
        <v>755</v>
      </c>
      <c r="F9" s="83" t="s">
        <v>37</v>
      </c>
      <c r="G9" s="83">
        <v>160</v>
      </c>
      <c r="H9" s="84">
        <v>140</v>
      </c>
      <c r="I9" s="84">
        <v>3</v>
      </c>
      <c r="J9" s="83">
        <f>(POWER(((1743.811*(POWER(D9,1.852))*E9)/(POWER(H9,1.852)*(I9))),(1/4.87)))</f>
        <v>2.6431307280023413</v>
      </c>
      <c r="K9" s="85">
        <v>2.5</v>
      </c>
      <c r="L9" s="83">
        <f>((1743.811*(POWER(D9,1.852))*E9)/(POWER(H9,1.852)*(POWER(K9,4.87))))</f>
        <v>3.9343338290897987</v>
      </c>
      <c r="M9" s="83">
        <v>980.26</v>
      </c>
      <c r="N9" s="83" t="e">
        <f>+N6-#REF!</f>
        <v>#REF!</v>
      </c>
      <c r="O9" s="83" t="e">
        <f>+#REF!-M9</f>
        <v>#REF!</v>
      </c>
      <c r="P9" s="83">
        <f>(D9/1000)/((3.1416/4)*((K9*0.0254)*(K9*0.0254)))</f>
        <v>0.51153654637332202</v>
      </c>
    </row>
    <row r="10" spans="2:16" ht="18" x14ac:dyDescent="0.4">
      <c r="B10" s="86" t="s">
        <v>46</v>
      </c>
      <c r="C10" s="86" t="s">
        <v>42</v>
      </c>
      <c r="D10" s="83">
        <v>1.62</v>
      </c>
      <c r="E10" s="83">
        <v>755</v>
      </c>
      <c r="F10" s="83" t="s">
        <v>37</v>
      </c>
      <c r="G10" s="83">
        <v>160</v>
      </c>
      <c r="H10" s="84">
        <v>140</v>
      </c>
      <c r="I10" s="84">
        <v>3</v>
      </c>
      <c r="J10" s="83">
        <f t="shared" ref="J10:J14" si="0">(POWER(((1743.811*(POWER(D10,1.852))*E10)/(POWER(H10,1.852)*(I10))),(1/4.87)))</f>
        <v>2.6431307280023413</v>
      </c>
      <c r="K10" s="85">
        <v>2.5</v>
      </c>
      <c r="L10" s="83">
        <f t="shared" ref="L10:L15" si="1">((1743.811*(POWER(D10,1.852))*E10)/(POWER(H10,1.852)*(POWER(K10,4.87))))</f>
        <v>3.9343338290897987</v>
      </c>
      <c r="M10" s="83">
        <v>981.26</v>
      </c>
      <c r="N10" s="83" t="e">
        <f>+N8-#REF!</f>
        <v>#REF!</v>
      </c>
      <c r="O10" s="83" t="e">
        <f>+#REF!-M10</f>
        <v>#REF!</v>
      </c>
      <c r="P10" s="83">
        <f t="shared" ref="P10:P14" si="2">(D10/1000)/((3.1416/4)*((K10*0.0254)*(K10*0.0254)))</f>
        <v>0.51153654637332202</v>
      </c>
    </row>
    <row r="11" spans="2:16" ht="18" x14ac:dyDescent="0.4">
      <c r="B11" s="86" t="s">
        <v>40</v>
      </c>
      <c r="C11" s="86" t="s">
        <v>43</v>
      </c>
      <c r="D11" s="83">
        <v>7.13</v>
      </c>
      <c r="E11" s="83">
        <v>1220</v>
      </c>
      <c r="F11" s="83" t="s">
        <v>37</v>
      </c>
      <c r="G11" s="83">
        <v>160</v>
      </c>
      <c r="H11" s="84">
        <v>140</v>
      </c>
      <c r="I11" s="84">
        <v>3</v>
      </c>
      <c r="J11" s="83">
        <f t="shared" si="0"/>
        <v>5.1245675594973195</v>
      </c>
      <c r="K11" s="85">
        <v>5</v>
      </c>
      <c r="L11" s="83">
        <f t="shared" si="1"/>
        <v>3.3819564408591938</v>
      </c>
      <c r="M11" s="83">
        <v>982.26</v>
      </c>
      <c r="N11" s="83" t="e">
        <f>+N9-#REF!</f>
        <v>#REF!</v>
      </c>
      <c r="O11" s="83" t="e">
        <f>+#REF!-M11</f>
        <v>#REF!</v>
      </c>
      <c r="P11" s="83">
        <f>(D11/1000)/((3.1416/4)*((K11*0.0254)*(K11*0.0254)))</f>
        <v>0.56284808266076936</v>
      </c>
    </row>
    <row r="12" spans="2:16" ht="18" x14ac:dyDescent="0.4">
      <c r="B12" s="86" t="s">
        <v>43</v>
      </c>
      <c r="C12" s="86" t="s">
        <v>47</v>
      </c>
      <c r="D12" s="83">
        <v>3.43</v>
      </c>
      <c r="E12" s="83">
        <v>775</v>
      </c>
      <c r="F12" s="83" t="s">
        <v>37</v>
      </c>
      <c r="G12" s="83">
        <v>160</v>
      </c>
      <c r="H12" s="84">
        <v>140</v>
      </c>
      <c r="I12" s="84">
        <v>2</v>
      </c>
      <c r="J12" s="83">
        <f t="shared" si="0"/>
        <v>3.8414775310167086</v>
      </c>
      <c r="K12" s="85">
        <v>4</v>
      </c>
      <c r="L12" s="83">
        <f t="shared" si="1"/>
        <v>1.6424968519685699</v>
      </c>
      <c r="M12" s="83"/>
      <c r="N12" s="83"/>
      <c r="O12" s="83"/>
      <c r="P12" s="83">
        <f>(D12/1000)/((3.1416/4)*((K12*0.0254)*(K12*0.0254)))</f>
        <v>0.42307348429313618</v>
      </c>
    </row>
    <row r="13" spans="2:16" ht="18" x14ac:dyDescent="0.4">
      <c r="B13" s="86" t="s">
        <v>47</v>
      </c>
      <c r="C13" s="86" t="s">
        <v>44</v>
      </c>
      <c r="D13" s="83">
        <v>3.43</v>
      </c>
      <c r="E13" s="83">
        <v>775</v>
      </c>
      <c r="F13" s="83" t="s">
        <v>37</v>
      </c>
      <c r="G13" s="83">
        <v>160</v>
      </c>
      <c r="H13" s="84">
        <v>140</v>
      </c>
      <c r="I13" s="84">
        <v>2</v>
      </c>
      <c r="J13" s="83">
        <f t="shared" si="0"/>
        <v>3.8414775310167086</v>
      </c>
      <c r="K13" s="85">
        <v>4</v>
      </c>
      <c r="L13" s="83">
        <f t="shared" si="1"/>
        <v>1.6424968519685699</v>
      </c>
      <c r="M13" s="83">
        <v>983.26</v>
      </c>
      <c r="N13" s="83" t="e">
        <f>+N10-#REF!</f>
        <v>#REF!</v>
      </c>
      <c r="O13" s="83" t="e">
        <f>+#REF!-M13</f>
        <v>#REF!</v>
      </c>
      <c r="P13" s="83">
        <f t="shared" si="2"/>
        <v>0.42307348429313618</v>
      </c>
    </row>
    <row r="14" spans="2:16" ht="18" x14ac:dyDescent="0.4">
      <c r="B14" s="86" t="s">
        <v>43</v>
      </c>
      <c r="C14" s="86" t="s">
        <v>125</v>
      </c>
      <c r="D14" s="83">
        <v>1.6</v>
      </c>
      <c r="E14" s="83">
        <v>440</v>
      </c>
      <c r="F14" s="83" t="s">
        <v>37</v>
      </c>
      <c r="G14" s="83">
        <v>160</v>
      </c>
      <c r="H14" s="84">
        <v>140</v>
      </c>
      <c r="I14" s="84">
        <v>3</v>
      </c>
      <c r="J14" s="83">
        <f t="shared" si="0"/>
        <v>2.3545949348004664</v>
      </c>
      <c r="K14" s="85">
        <v>2.5</v>
      </c>
      <c r="L14" s="83">
        <f t="shared" si="1"/>
        <v>2.2407083519190008</v>
      </c>
      <c r="M14" s="83"/>
      <c r="N14" s="83"/>
      <c r="O14" s="83"/>
      <c r="P14" s="83">
        <f t="shared" si="2"/>
        <v>0.50522128036871305</v>
      </c>
    </row>
    <row r="15" spans="2:16" ht="18" x14ac:dyDescent="0.4">
      <c r="B15" s="86" t="s">
        <v>125</v>
      </c>
      <c r="C15" s="86" t="s">
        <v>126</v>
      </c>
      <c r="D15" s="83">
        <v>1.6</v>
      </c>
      <c r="E15" s="83">
        <v>440</v>
      </c>
      <c r="F15" s="83" t="s">
        <v>37</v>
      </c>
      <c r="G15" s="83">
        <v>160</v>
      </c>
      <c r="H15" s="84">
        <v>140</v>
      </c>
      <c r="I15" s="84">
        <v>3</v>
      </c>
      <c r="J15" s="83">
        <f t="shared" ref="J15" si="3">(POWER(((1743.811*(POWER(D15,1.852))*E15)/(POWER(H15,1.852)*(I15))),(1/4.87)))</f>
        <v>2.3545949348004664</v>
      </c>
      <c r="K15" s="85">
        <v>2.5</v>
      </c>
      <c r="L15" s="83">
        <f t="shared" si="1"/>
        <v>2.2407083519190008</v>
      </c>
      <c r="M15" s="83">
        <v>983.26</v>
      </c>
      <c r="N15" s="83" t="e">
        <f>+N11-#REF!</f>
        <v>#REF!</v>
      </c>
      <c r="O15" s="83" t="e">
        <f>+#REF!-M15</f>
        <v>#REF!</v>
      </c>
      <c r="P15" s="83">
        <f t="shared" ref="P15" si="4">(D15/1000)/((3.1416/4)*((K15*0.0254)*(K15*0.0254)))</f>
        <v>0.50522128036871305</v>
      </c>
    </row>
  </sheetData>
  <mergeCells count="8">
    <mergeCell ref="J3:J4"/>
    <mergeCell ref="K3:P3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7214-C39D-4F33-B17B-D677B5F583DA}">
  <dimension ref="B3:L31"/>
  <sheetViews>
    <sheetView zoomScale="110" zoomScaleNormal="110" workbookViewId="0">
      <selection activeCell="A17" sqref="A17:XFD17"/>
    </sheetView>
  </sheetViews>
  <sheetFormatPr baseColWidth="10" defaultRowHeight="14.5" x14ac:dyDescent="0.35"/>
  <cols>
    <col min="3" max="6" width="11.54296875" customWidth="1"/>
    <col min="7" max="7" width="12.36328125" customWidth="1"/>
    <col min="8" max="8" width="13.7265625" customWidth="1"/>
    <col min="9" max="9" width="11.54296875" customWidth="1"/>
    <col min="10" max="10" width="12.54296875" customWidth="1"/>
    <col min="11" max="11" width="14" customWidth="1"/>
    <col min="12" max="12" width="21.90625" customWidth="1"/>
  </cols>
  <sheetData>
    <row r="3" spans="2:12" x14ac:dyDescent="0.35">
      <c r="J3" t="s">
        <v>123</v>
      </c>
    </row>
    <row r="4" spans="2:12" x14ac:dyDescent="0.35">
      <c r="G4" t="s">
        <v>121</v>
      </c>
      <c r="J4" s="102" t="s">
        <v>127</v>
      </c>
      <c r="K4" s="102"/>
    </row>
    <row r="5" spans="2:12" ht="43.5" x14ac:dyDescent="0.35">
      <c r="B5" s="87" t="s">
        <v>0</v>
      </c>
      <c r="C5" s="87" t="s">
        <v>2</v>
      </c>
      <c r="D5" s="87" t="s">
        <v>1</v>
      </c>
      <c r="E5" s="87" t="s">
        <v>3</v>
      </c>
      <c r="F5" s="87" t="s">
        <v>4</v>
      </c>
      <c r="G5" s="87" t="s">
        <v>16</v>
      </c>
      <c r="H5" s="87" t="s">
        <v>17</v>
      </c>
      <c r="I5" s="87" t="s">
        <v>19</v>
      </c>
      <c r="J5" s="87" t="s">
        <v>5</v>
      </c>
      <c r="K5" s="87" t="s">
        <v>6</v>
      </c>
      <c r="L5" s="87" t="s">
        <v>7</v>
      </c>
    </row>
    <row r="6" spans="2:12" x14ac:dyDescent="0.35">
      <c r="B6" s="2">
        <v>1</v>
      </c>
      <c r="C6" s="2">
        <v>82</v>
      </c>
      <c r="D6" s="2">
        <f>C6*$E$24</f>
        <v>492</v>
      </c>
      <c r="E6" s="4">
        <f>C6*$E$27</f>
        <v>147.98004335579895</v>
      </c>
      <c r="F6" s="4">
        <f>D6*$E$27</f>
        <v>887.88026013479373</v>
      </c>
      <c r="G6" s="4">
        <v>120</v>
      </c>
      <c r="H6" s="3">
        <f>F6*G6/86400</f>
        <v>1.2331670279649913</v>
      </c>
      <c r="I6" s="3">
        <f>H6*$E$28</f>
        <v>1.4798004335579895</v>
      </c>
      <c r="J6" s="3">
        <f>H6*$E$30</f>
        <v>2.4663340559299827</v>
      </c>
      <c r="K6" s="88">
        <f>0.2*(SQRT(E6-1))</f>
        <v>2.4247065253823936</v>
      </c>
      <c r="L6" s="2"/>
    </row>
    <row r="7" spans="2:12" x14ac:dyDescent="0.35">
      <c r="B7" s="2">
        <v>2</v>
      </c>
      <c r="C7" s="2">
        <v>75</v>
      </c>
      <c r="D7" s="2">
        <f t="shared" ref="D7:D18" si="0">C7*$E$24</f>
        <v>450</v>
      </c>
      <c r="E7" s="4">
        <f t="shared" ref="E7:E18" si="1">C7*$E$27</f>
        <v>135.34760063030393</v>
      </c>
      <c r="F7" s="4">
        <f t="shared" ref="F7:F18" si="2">D7*$E$27</f>
        <v>812.08560378182358</v>
      </c>
      <c r="G7" s="4">
        <v>120</v>
      </c>
      <c r="H7" s="3">
        <f t="shared" ref="H7:H18" si="3">F7*G7/86400</f>
        <v>1.1278966719191994</v>
      </c>
      <c r="I7" s="3">
        <f t="shared" ref="I7:I18" si="4">H7*$E$28</f>
        <v>1.3534760063030393</v>
      </c>
      <c r="J7" s="3">
        <f t="shared" ref="J7:J18" si="5">H7*$E$30</f>
        <v>2.2557933438383988</v>
      </c>
      <c r="K7" s="88">
        <f t="shared" ref="K7:K18" si="6">0.2*(SQRT(E7-1))</f>
        <v>2.3181682478224395</v>
      </c>
      <c r="L7" s="2"/>
    </row>
    <row r="8" spans="2:12" x14ac:dyDescent="0.35">
      <c r="B8" s="2">
        <v>3</v>
      </c>
      <c r="C8" s="2">
        <v>81</v>
      </c>
      <c r="D8" s="2">
        <f t="shared" si="0"/>
        <v>486</v>
      </c>
      <c r="E8" s="4">
        <f t="shared" si="1"/>
        <v>146.17540868072822</v>
      </c>
      <c r="F8" s="4">
        <f t="shared" si="2"/>
        <v>877.05245208436941</v>
      </c>
      <c r="G8" s="4">
        <v>120</v>
      </c>
      <c r="H8" s="3">
        <f t="shared" si="3"/>
        <v>1.2181284056727353</v>
      </c>
      <c r="I8" s="3">
        <f t="shared" si="4"/>
        <v>1.4617540868072822</v>
      </c>
      <c r="J8" s="3">
        <f t="shared" si="5"/>
        <v>2.4362568113454706</v>
      </c>
      <c r="K8" s="88">
        <f t="shared" si="6"/>
        <v>2.4097751652859918</v>
      </c>
      <c r="L8" s="2"/>
    </row>
    <row r="9" spans="2:12" x14ac:dyDescent="0.35">
      <c r="B9" s="2">
        <v>4</v>
      </c>
      <c r="C9" s="2">
        <v>77</v>
      </c>
      <c r="D9" s="2">
        <f t="shared" si="0"/>
        <v>462</v>
      </c>
      <c r="E9" s="4">
        <f t="shared" si="1"/>
        <v>138.95686998044536</v>
      </c>
      <c r="F9" s="4">
        <f t="shared" si="2"/>
        <v>833.74121988267211</v>
      </c>
      <c r="G9" s="4">
        <v>120</v>
      </c>
      <c r="H9" s="3">
        <f t="shared" si="3"/>
        <v>1.1579739165037113</v>
      </c>
      <c r="I9" s="3">
        <f t="shared" si="4"/>
        <v>1.3895686998044534</v>
      </c>
      <c r="J9" s="3">
        <f t="shared" si="5"/>
        <v>2.3159478330074226</v>
      </c>
      <c r="K9" s="88">
        <f t="shared" si="6"/>
        <v>2.3491008490947798</v>
      </c>
      <c r="L9" s="2"/>
    </row>
    <row r="10" spans="2:12" x14ac:dyDescent="0.35">
      <c r="B10" s="2">
        <v>5</v>
      </c>
      <c r="C10" s="2">
        <v>43</v>
      </c>
      <c r="D10" s="2">
        <f t="shared" si="0"/>
        <v>258</v>
      </c>
      <c r="E10" s="4">
        <f t="shared" si="1"/>
        <v>77.599291028040909</v>
      </c>
      <c r="F10" s="4">
        <f t="shared" si="2"/>
        <v>465.59574616824551</v>
      </c>
      <c r="G10" s="4">
        <v>120</v>
      </c>
      <c r="H10" s="3">
        <f t="shared" si="3"/>
        <v>0.64666075856700767</v>
      </c>
      <c r="I10" s="3">
        <f t="shared" si="4"/>
        <v>0.77599291028040918</v>
      </c>
      <c r="J10" s="3">
        <f t="shared" si="5"/>
        <v>1.2933215171340153</v>
      </c>
      <c r="K10" s="88">
        <f t="shared" si="6"/>
        <v>1.7504204183914323</v>
      </c>
      <c r="L10" s="2"/>
    </row>
    <row r="11" spans="2:12" x14ac:dyDescent="0.35">
      <c r="B11" s="2">
        <v>6</v>
      </c>
      <c r="C11" s="2">
        <v>52</v>
      </c>
      <c r="D11" s="2">
        <f t="shared" si="0"/>
        <v>312</v>
      </c>
      <c r="E11" s="4">
        <f t="shared" si="1"/>
        <v>93.84100310367738</v>
      </c>
      <c r="F11" s="4">
        <f t="shared" si="2"/>
        <v>563.04601862206437</v>
      </c>
      <c r="G11" s="4">
        <v>120</v>
      </c>
      <c r="H11" s="3">
        <f t="shared" si="3"/>
        <v>0.7820083591973116</v>
      </c>
      <c r="I11" s="3">
        <f t="shared" si="4"/>
        <v>0.9384100310367739</v>
      </c>
      <c r="J11" s="3">
        <f t="shared" si="5"/>
        <v>1.5640167183946232</v>
      </c>
      <c r="K11" s="88">
        <f t="shared" si="6"/>
        <v>1.927080725903068</v>
      </c>
      <c r="L11" s="2"/>
    </row>
    <row r="12" spans="2:12" x14ac:dyDescent="0.35">
      <c r="B12" s="2">
        <v>7</v>
      </c>
      <c r="C12" s="2">
        <v>48</v>
      </c>
      <c r="D12" s="2">
        <f t="shared" si="0"/>
        <v>288</v>
      </c>
      <c r="E12" s="4">
        <f t="shared" si="1"/>
        <v>86.622464403394503</v>
      </c>
      <c r="F12" s="4">
        <f t="shared" si="2"/>
        <v>519.73478642036707</v>
      </c>
      <c r="G12" s="4">
        <v>120</v>
      </c>
      <c r="H12" s="3">
        <f t="shared" si="3"/>
        <v>0.7218538700282876</v>
      </c>
      <c r="I12" s="3">
        <f t="shared" si="4"/>
        <v>0.86622464403394506</v>
      </c>
      <c r="J12" s="3">
        <f t="shared" si="5"/>
        <v>1.4437077400565752</v>
      </c>
      <c r="K12" s="88">
        <f t="shared" si="6"/>
        <v>1.8506481502802687</v>
      </c>
      <c r="L12" s="2"/>
    </row>
    <row r="13" spans="2:12" x14ac:dyDescent="0.35">
      <c r="B13" s="2">
        <v>8</v>
      </c>
      <c r="C13" s="2">
        <v>35</v>
      </c>
      <c r="D13" s="2">
        <f t="shared" si="0"/>
        <v>210</v>
      </c>
      <c r="E13" s="4">
        <f t="shared" si="1"/>
        <v>63.162213627475161</v>
      </c>
      <c r="F13" s="4">
        <f t="shared" si="2"/>
        <v>378.97328176485098</v>
      </c>
      <c r="G13" s="4">
        <v>120</v>
      </c>
      <c r="H13" s="3">
        <f t="shared" si="3"/>
        <v>0.52635178022895968</v>
      </c>
      <c r="I13" s="3">
        <f t="shared" si="4"/>
        <v>0.63162213627475161</v>
      </c>
      <c r="J13" s="3">
        <f t="shared" si="5"/>
        <v>1.0527035604579194</v>
      </c>
      <c r="K13" s="88">
        <f t="shared" si="6"/>
        <v>1.5768603441963422</v>
      </c>
      <c r="L13" s="2"/>
    </row>
    <row r="14" spans="2:12" x14ac:dyDescent="0.35">
      <c r="B14" s="2">
        <v>9</v>
      </c>
      <c r="C14" s="2">
        <v>22</v>
      </c>
      <c r="D14" s="2">
        <f t="shared" si="0"/>
        <v>132</v>
      </c>
      <c r="E14" s="4">
        <f t="shared" si="1"/>
        <v>39.70196285155582</v>
      </c>
      <c r="F14" s="4">
        <f t="shared" si="2"/>
        <v>238.21177710933489</v>
      </c>
      <c r="G14" s="4">
        <v>120</v>
      </c>
      <c r="H14" s="3">
        <f t="shared" si="3"/>
        <v>0.3308496904296318</v>
      </c>
      <c r="I14" s="3">
        <f t="shared" si="4"/>
        <v>0.39701962851555817</v>
      </c>
      <c r="J14" s="3">
        <f t="shared" si="5"/>
        <v>0.66169938085926361</v>
      </c>
      <c r="K14" s="88">
        <f t="shared" si="6"/>
        <v>1.244218033168718</v>
      </c>
      <c r="L14" s="2"/>
    </row>
    <row r="15" spans="2:12" x14ac:dyDescent="0.35">
      <c r="B15" s="2">
        <v>10</v>
      </c>
      <c r="C15" s="2">
        <v>34</v>
      </c>
      <c r="D15" s="2">
        <f t="shared" si="0"/>
        <v>204</v>
      </c>
      <c r="E15" s="4">
        <f t="shared" si="1"/>
        <v>61.357578952404445</v>
      </c>
      <c r="F15" s="4">
        <f t="shared" si="2"/>
        <v>368.14547371442666</v>
      </c>
      <c r="G15" s="4">
        <v>120</v>
      </c>
      <c r="H15" s="3">
        <f t="shared" si="3"/>
        <v>0.51131315793670373</v>
      </c>
      <c r="I15" s="3">
        <f t="shared" si="4"/>
        <v>0.61357578952404446</v>
      </c>
      <c r="J15" s="3">
        <f t="shared" si="5"/>
        <v>1.0226263158734075</v>
      </c>
      <c r="K15" s="88">
        <f t="shared" si="6"/>
        <v>1.5538028054087745</v>
      </c>
      <c r="L15" s="2"/>
    </row>
    <row r="16" spans="2:12" x14ac:dyDescent="0.35">
      <c r="B16" s="2">
        <v>11</v>
      </c>
      <c r="C16" s="2">
        <v>51</v>
      </c>
      <c r="D16" s="2">
        <f t="shared" si="0"/>
        <v>306</v>
      </c>
      <c r="E16" s="4">
        <f t="shared" si="1"/>
        <v>92.036368428606664</v>
      </c>
      <c r="F16" s="4">
        <f t="shared" si="2"/>
        <v>552.21821057164004</v>
      </c>
      <c r="G16" s="4">
        <v>120</v>
      </c>
      <c r="H16" s="3">
        <f t="shared" si="3"/>
        <v>0.76696973690505565</v>
      </c>
      <c r="I16" s="3">
        <f t="shared" si="4"/>
        <v>0.92036368428606674</v>
      </c>
      <c r="J16" s="3">
        <f t="shared" si="5"/>
        <v>1.5339394738101113</v>
      </c>
      <c r="K16" s="88">
        <f t="shared" si="6"/>
        <v>1.9082596094725337</v>
      </c>
      <c r="L16" s="2"/>
    </row>
    <row r="17" spans="2:12" x14ac:dyDescent="0.35">
      <c r="B17" s="2">
        <v>12</v>
      </c>
      <c r="C17" s="2">
        <v>68</v>
      </c>
      <c r="D17" s="2">
        <f t="shared" si="0"/>
        <v>408</v>
      </c>
      <c r="E17" s="4">
        <f t="shared" si="1"/>
        <v>122.71515790480889</v>
      </c>
      <c r="F17" s="4">
        <f t="shared" si="2"/>
        <v>736.29094742885331</v>
      </c>
      <c r="G17" s="4">
        <v>120</v>
      </c>
      <c r="H17" s="3">
        <f t="shared" si="3"/>
        <v>1.0226263158734075</v>
      </c>
      <c r="I17" s="3">
        <f t="shared" si="4"/>
        <v>1.2271515790480889</v>
      </c>
      <c r="J17" s="3">
        <f t="shared" si="5"/>
        <v>2.0452526317468149</v>
      </c>
      <c r="K17" s="88">
        <f t="shared" si="6"/>
        <v>2.2064918572685364</v>
      </c>
      <c r="L17" s="2"/>
    </row>
    <row r="18" spans="2:12" x14ac:dyDescent="0.35">
      <c r="B18" s="2">
        <v>13</v>
      </c>
      <c r="C18" s="2">
        <v>42</v>
      </c>
      <c r="D18" s="2">
        <f t="shared" si="0"/>
        <v>252</v>
      </c>
      <c r="E18" s="4">
        <f t="shared" si="1"/>
        <v>75.794656352970193</v>
      </c>
      <c r="F18" s="4">
        <f t="shared" si="2"/>
        <v>454.76793811782119</v>
      </c>
      <c r="G18" s="4">
        <v>120</v>
      </c>
      <c r="H18" s="3">
        <f t="shared" si="3"/>
        <v>0.63162213627475161</v>
      </c>
      <c r="I18" s="3">
        <f t="shared" si="4"/>
        <v>0.75794656352970191</v>
      </c>
      <c r="J18" s="3">
        <f t="shared" si="5"/>
        <v>1.2632442725495032</v>
      </c>
      <c r="K18" s="88">
        <f t="shared" si="6"/>
        <v>1.7296780781748979</v>
      </c>
      <c r="L18" s="2"/>
    </row>
    <row r="19" spans="2:12" x14ac:dyDescent="0.35">
      <c r="C19" s="1"/>
      <c r="D19" s="1"/>
      <c r="E19" s="1"/>
      <c r="F19" s="11">
        <f>SUM(F6:F18)</f>
        <v>7687.7437158012626</v>
      </c>
      <c r="G19" s="1"/>
      <c r="H19" s="90">
        <f>SUM(H6:H18)</f>
        <v>10.677421827501755</v>
      </c>
      <c r="I19" s="91">
        <f>H19*$E$28</f>
        <v>12.812906193002105</v>
      </c>
      <c r="J19" s="1"/>
      <c r="K19" s="1"/>
      <c r="L19" s="1"/>
    </row>
    <row r="20" spans="2:12" x14ac:dyDescent="0.35">
      <c r="C20" s="1"/>
      <c r="D20" s="1"/>
      <c r="E20" s="1"/>
      <c r="F20" s="77"/>
      <c r="G20" s="1"/>
      <c r="H20" s="5"/>
      <c r="I20" s="5"/>
      <c r="J20" s="1"/>
      <c r="K20" s="1"/>
      <c r="L20" s="1"/>
    </row>
    <row r="21" spans="2:12" x14ac:dyDescent="0.35">
      <c r="C21" s="1"/>
      <c r="D21" s="1"/>
      <c r="E21" s="1"/>
      <c r="F21" s="1"/>
      <c r="G21" s="1"/>
      <c r="H21" s="1">
        <f>H19*86.4</f>
        <v>922.52924589615168</v>
      </c>
      <c r="I21" s="1" t="s">
        <v>21</v>
      </c>
      <c r="J21" s="1"/>
      <c r="K21" s="1"/>
      <c r="L21" s="1"/>
    </row>
    <row r="22" spans="2:12" x14ac:dyDescent="0.35">
      <c r="C22" s="1"/>
      <c r="D22" s="1"/>
      <c r="E22" s="1"/>
      <c r="F22" s="1"/>
      <c r="G22" s="1"/>
      <c r="H22" s="12">
        <f>H21*0.25</f>
        <v>230.63231147403792</v>
      </c>
      <c r="I22" s="1" t="s">
        <v>122</v>
      </c>
      <c r="J22" s="1"/>
      <c r="K22" s="1"/>
      <c r="L22" s="1"/>
    </row>
    <row r="23" spans="2:12" x14ac:dyDescent="0.35">
      <c r="B23" s="103" t="s">
        <v>8</v>
      </c>
      <c r="C23" s="103"/>
      <c r="D23" s="103"/>
      <c r="E23" s="103"/>
      <c r="F23" s="103"/>
      <c r="G23" s="1"/>
      <c r="H23" s="13">
        <f>H21*0.4</f>
        <v>369.01169835846071</v>
      </c>
      <c r="I23" s="1"/>
      <c r="J23" s="1"/>
      <c r="K23" s="1"/>
      <c r="L23" s="1"/>
    </row>
    <row r="24" spans="2:12" x14ac:dyDescent="0.35">
      <c r="B24" s="104" t="s">
        <v>9</v>
      </c>
      <c r="C24" s="104"/>
      <c r="D24" s="104"/>
      <c r="E24" s="2">
        <v>6</v>
      </c>
      <c r="F24" s="2" t="s">
        <v>10</v>
      </c>
    </row>
    <row r="25" spans="2:12" x14ac:dyDescent="0.35">
      <c r="B25" s="104" t="s">
        <v>11</v>
      </c>
      <c r="C25" s="104"/>
      <c r="D25" s="104"/>
      <c r="E25" s="2">
        <v>2.6</v>
      </c>
      <c r="F25" s="2" t="s">
        <v>12</v>
      </c>
    </row>
    <row r="26" spans="2:12" x14ac:dyDescent="0.35">
      <c r="B26" s="104" t="s">
        <v>13</v>
      </c>
      <c r="C26" s="104"/>
      <c r="D26" s="104"/>
      <c r="E26" s="2">
        <v>23</v>
      </c>
      <c r="F26" s="2" t="s">
        <v>14</v>
      </c>
      <c r="H26" s="8">
        <v>0.25</v>
      </c>
      <c r="I26" s="5">
        <f>H26*H23</f>
        <v>92.252924589615176</v>
      </c>
    </row>
    <row r="27" spans="2:12" x14ac:dyDescent="0.35">
      <c r="B27" s="104" t="s">
        <v>15</v>
      </c>
      <c r="C27" s="104"/>
      <c r="D27" s="104"/>
      <c r="E27" s="89">
        <f>POWER(((E25/100)+1),E26)</f>
        <v>1.804634675070719</v>
      </c>
      <c r="F27" s="2"/>
      <c r="H27" s="9">
        <v>0.4</v>
      </c>
      <c r="I27" s="10">
        <f>H27*H23</f>
        <v>147.60467934338428</v>
      </c>
    </row>
    <row r="28" spans="2:12" x14ac:dyDescent="0.35">
      <c r="B28" s="104" t="s">
        <v>18</v>
      </c>
      <c r="C28" s="104"/>
      <c r="D28" s="104"/>
      <c r="E28" s="2">
        <v>1.2</v>
      </c>
      <c r="F28" s="2"/>
    </row>
    <row r="29" spans="2:12" x14ac:dyDescent="0.35">
      <c r="B29" s="104" t="s">
        <v>20</v>
      </c>
      <c r="C29" s="104"/>
      <c r="D29" s="104"/>
      <c r="E29" s="3">
        <f>ROUNDDOWN(H23,0)</f>
        <v>369</v>
      </c>
      <c r="F29" s="2" t="s">
        <v>21</v>
      </c>
    </row>
    <row r="30" spans="2:12" x14ac:dyDescent="0.35">
      <c r="B30" s="104" t="s">
        <v>22</v>
      </c>
      <c r="C30" s="104"/>
      <c r="D30" s="104"/>
      <c r="E30" s="2">
        <v>2</v>
      </c>
      <c r="F30" s="2"/>
    </row>
    <row r="31" spans="2:12" x14ac:dyDescent="0.35">
      <c r="E31" s="1"/>
      <c r="F31" s="1"/>
    </row>
  </sheetData>
  <mergeCells count="9">
    <mergeCell ref="B28:D28"/>
    <mergeCell ref="B29:D29"/>
    <mergeCell ref="B30:D30"/>
    <mergeCell ref="J4:K4"/>
    <mergeCell ref="B23:F23"/>
    <mergeCell ref="B24:D24"/>
    <mergeCell ref="B25:D25"/>
    <mergeCell ref="B26:D26"/>
    <mergeCell ref="B27:D2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CF7A-710C-4B50-AA8A-9BF128264448}">
  <dimension ref="B3:P20"/>
  <sheetViews>
    <sheetView workbookViewId="0">
      <selection activeCell="I29" sqref="I29"/>
    </sheetView>
  </sheetViews>
  <sheetFormatPr baseColWidth="10" defaultRowHeight="14.5" x14ac:dyDescent="0.35"/>
  <cols>
    <col min="2" max="3" width="7.6328125" customWidth="1"/>
    <col min="4" max="4" width="12.6328125" customWidth="1"/>
    <col min="5" max="5" width="14.6328125" customWidth="1"/>
    <col min="6" max="6" width="19.36328125" customWidth="1"/>
    <col min="7" max="7" width="27.08984375" customWidth="1"/>
    <col min="8" max="8" width="17.90625" bestFit="1" customWidth="1"/>
    <col min="9" max="9" width="21.6328125" customWidth="1"/>
    <col min="10" max="10" width="15" customWidth="1"/>
    <col min="11" max="11" width="15.90625" customWidth="1"/>
    <col min="12" max="12" width="14.90625" customWidth="1"/>
    <col min="13" max="15" width="0" hidden="1" customWidth="1"/>
    <col min="16" max="16" width="24.453125" customWidth="1"/>
  </cols>
  <sheetData>
    <row r="3" spans="2:16" x14ac:dyDescent="0.3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2:16" ht="15.5" x14ac:dyDescent="0.35">
      <c r="B4" s="14"/>
      <c r="C4" s="14"/>
      <c r="D4" s="15"/>
      <c r="E4" s="15"/>
      <c r="F4" s="15"/>
      <c r="G4" s="15"/>
      <c r="H4" s="15"/>
      <c r="I4" s="76" t="s">
        <v>124</v>
      </c>
      <c r="J4" s="15"/>
      <c r="K4" s="15"/>
      <c r="L4" s="15" t="s">
        <v>124</v>
      </c>
      <c r="M4" s="16"/>
      <c r="N4" s="16"/>
      <c r="O4" s="17"/>
    </row>
    <row r="5" spans="2:16" ht="18" x14ac:dyDescent="0.35">
      <c r="B5" s="92"/>
      <c r="C5" s="92"/>
      <c r="D5" s="107" t="s">
        <v>23</v>
      </c>
      <c r="E5" s="107" t="s">
        <v>24</v>
      </c>
      <c r="F5" s="107" t="s">
        <v>25</v>
      </c>
      <c r="G5" s="107" t="s">
        <v>26</v>
      </c>
      <c r="H5" s="107" t="s">
        <v>27</v>
      </c>
      <c r="I5" s="107" t="s">
        <v>28</v>
      </c>
      <c r="J5" s="107" t="s">
        <v>29</v>
      </c>
      <c r="K5" s="107" t="s">
        <v>30</v>
      </c>
      <c r="L5" s="107"/>
      <c r="M5" s="107"/>
      <c r="N5" s="107"/>
      <c r="O5" s="107"/>
      <c r="P5" s="107"/>
    </row>
    <row r="6" spans="2:16" ht="36" x14ac:dyDescent="0.35">
      <c r="B6" s="92" t="s">
        <v>38</v>
      </c>
      <c r="C6" s="92" t="s">
        <v>39</v>
      </c>
      <c r="D6" s="107"/>
      <c r="E6" s="107"/>
      <c r="F6" s="107"/>
      <c r="G6" s="107"/>
      <c r="H6" s="107"/>
      <c r="I6" s="107"/>
      <c r="J6" s="107"/>
      <c r="K6" s="80" t="s">
        <v>31</v>
      </c>
      <c r="L6" s="80" t="s">
        <v>32</v>
      </c>
      <c r="M6" s="80" t="s">
        <v>33</v>
      </c>
      <c r="N6" s="80" t="s">
        <v>34</v>
      </c>
      <c r="O6" s="80" t="s">
        <v>35</v>
      </c>
      <c r="P6" s="80" t="s">
        <v>36</v>
      </c>
    </row>
    <row r="7" spans="2:16" ht="18" x14ac:dyDescent="0.4">
      <c r="B7" s="86" t="s">
        <v>140</v>
      </c>
      <c r="C7" s="86" t="s">
        <v>137</v>
      </c>
      <c r="D7" s="83">
        <v>22.35</v>
      </c>
      <c r="E7" s="83">
        <v>1350</v>
      </c>
      <c r="F7" s="83" t="s">
        <v>37</v>
      </c>
      <c r="G7" s="83">
        <v>160</v>
      </c>
      <c r="H7" s="84">
        <v>140</v>
      </c>
      <c r="I7" s="84">
        <v>3</v>
      </c>
      <c r="J7" s="83">
        <f t="shared" ref="J7:J12" si="0">(POWER(((1743.811*(POWER(D7,1.852))*E7)/(POWER(H7,1.852)*(I7))),(1/4.87)))</f>
        <v>8.079432545923094</v>
      </c>
      <c r="K7" s="85">
        <v>8</v>
      </c>
      <c r="L7" s="83">
        <f>((1743.811*(POWER(D7,1.852))*E7)/(POWER(H7,1.852)*(POWER(K7,4.87))))</f>
        <v>3.1478773558781552</v>
      </c>
      <c r="M7" s="83">
        <v>1907.67</v>
      </c>
      <c r="N7" s="83" t="e">
        <f>+#REF!-L7</f>
        <v>#REF!</v>
      </c>
      <c r="O7" s="83" t="e">
        <f>+N7-M7</f>
        <v>#REF!</v>
      </c>
      <c r="P7" s="83">
        <f>(D7/1000)/((3.1416/4)*((K7*0.0254)*(K7*0.0254)))</f>
        <v>0.68919040626469341</v>
      </c>
    </row>
    <row r="8" spans="2:16" ht="18" x14ac:dyDescent="0.4">
      <c r="B8" s="86" t="s">
        <v>137</v>
      </c>
      <c r="C8" s="86" t="s">
        <v>139</v>
      </c>
      <c r="D8" s="83">
        <v>3.96</v>
      </c>
      <c r="E8" s="83">
        <v>500</v>
      </c>
      <c r="F8" s="83" t="s">
        <v>37</v>
      </c>
      <c r="G8" s="83">
        <v>160</v>
      </c>
      <c r="H8" s="84">
        <v>140</v>
      </c>
      <c r="I8" s="84">
        <v>3</v>
      </c>
      <c r="J8" s="83">
        <f t="shared" si="0"/>
        <v>3.4118331724233486</v>
      </c>
      <c r="K8" s="85">
        <v>3.5</v>
      </c>
      <c r="L8" s="83">
        <f>((1743.811*(POWER(D8,1.852))*E8)/(POWER(H8,1.852)*(POWER(K8,4.87))))</f>
        <v>2.6494785233901661</v>
      </c>
      <c r="M8" s="83">
        <v>999.2</v>
      </c>
      <c r="N8" s="83" t="e">
        <f>+N7-#REF!</f>
        <v>#REF!</v>
      </c>
      <c r="O8" s="83" t="e">
        <f>+#REF!-M8</f>
        <v>#REF!</v>
      </c>
      <c r="P8" s="83">
        <f>(D8/1000)/((3.1416/4)*((K8*0.0254)*(K8*0.0254)))</f>
        <v>0.63797074944518617</v>
      </c>
    </row>
    <row r="9" spans="2:16" ht="18" x14ac:dyDescent="0.4">
      <c r="B9" s="86" t="s">
        <v>139</v>
      </c>
      <c r="C9" s="86" t="s">
        <v>138</v>
      </c>
      <c r="D9" s="83">
        <v>1.91</v>
      </c>
      <c r="E9" s="83">
        <v>500</v>
      </c>
      <c r="F9" s="83" t="s">
        <v>37</v>
      </c>
      <c r="G9" s="83">
        <v>160</v>
      </c>
      <c r="H9" s="84">
        <v>140</v>
      </c>
      <c r="I9" s="84">
        <v>3</v>
      </c>
      <c r="J9" s="83">
        <f t="shared" si="0"/>
        <v>2.5856233683561398</v>
      </c>
      <c r="K9" s="85">
        <v>2.5</v>
      </c>
      <c r="L9" s="83">
        <f>((1743.811*(POWER(D9,1.852))*E9)/(POWER(H9,1.852)*(POWER(K9,4.87))))</f>
        <v>3.5346486367068435</v>
      </c>
      <c r="M9" s="83"/>
      <c r="N9" s="83"/>
      <c r="O9" s="83"/>
      <c r="P9" s="83">
        <f>(D9/1000)/((3.1416/4)*((K9*0.0254)*(K9*0.0254)))</f>
        <v>0.60310790344015119</v>
      </c>
    </row>
    <row r="10" spans="2:16" ht="18" x14ac:dyDescent="0.4">
      <c r="B10" s="86" t="s">
        <v>137</v>
      </c>
      <c r="C10" s="86" t="s">
        <v>134</v>
      </c>
      <c r="D10" s="83">
        <v>17.13</v>
      </c>
      <c r="E10" s="83">
        <v>300</v>
      </c>
      <c r="F10" s="83" t="s">
        <v>37</v>
      </c>
      <c r="G10" s="83">
        <v>160</v>
      </c>
      <c r="H10" s="84">
        <v>140</v>
      </c>
      <c r="I10" s="84">
        <v>3</v>
      </c>
      <c r="J10" s="83">
        <f t="shared" si="0"/>
        <v>5.3619172616814454</v>
      </c>
      <c r="K10" s="85">
        <v>5</v>
      </c>
      <c r="L10" s="83">
        <f t="shared" ref="L10:L11" si="1">((1743.811*(POWER(D10,1.852))*E10)/(POWER(H10,1.852)*(POWER(K10,4.87))))</f>
        <v>4.2162490914782174</v>
      </c>
      <c r="M10" s="83"/>
      <c r="N10" s="83"/>
      <c r="O10" s="83"/>
      <c r="P10" s="83">
        <f t="shared" ref="P10:P11" si="2">(D10/1000)/((3.1416/4)*((K10*0.0254)*(K10*0.0254)))</f>
        <v>1.3522563332368833</v>
      </c>
    </row>
    <row r="11" spans="2:16" ht="18" x14ac:dyDescent="0.4">
      <c r="B11" s="86" t="s">
        <v>134</v>
      </c>
      <c r="C11" s="86" t="s">
        <v>136</v>
      </c>
      <c r="D11" s="83">
        <v>2.2400000000000002</v>
      </c>
      <c r="E11" s="83">
        <v>400</v>
      </c>
      <c r="F11" s="83" t="s">
        <v>37</v>
      </c>
      <c r="G11" s="83">
        <v>160</v>
      </c>
      <c r="H11" s="84">
        <v>140</v>
      </c>
      <c r="I11" s="84">
        <v>3</v>
      </c>
      <c r="J11" s="83">
        <f t="shared" si="0"/>
        <v>2.6241420609665851</v>
      </c>
      <c r="K11" s="85">
        <v>2.5</v>
      </c>
      <c r="L11" s="83">
        <f t="shared" si="1"/>
        <v>3.7985843081475266</v>
      </c>
      <c r="M11" s="83">
        <v>996.29</v>
      </c>
      <c r="N11" s="83" t="e">
        <f>+N7-#REF!</f>
        <v>#REF!</v>
      </c>
      <c r="O11" s="83" t="e">
        <f>+#REF!-M11</f>
        <v>#REF!</v>
      </c>
      <c r="P11" s="83">
        <f t="shared" si="2"/>
        <v>0.7073097925161983</v>
      </c>
    </row>
    <row r="12" spans="2:16" ht="18" x14ac:dyDescent="0.4">
      <c r="B12" s="86" t="s">
        <v>136</v>
      </c>
      <c r="C12" s="86" t="s">
        <v>135</v>
      </c>
      <c r="D12" s="83">
        <v>1.58</v>
      </c>
      <c r="E12" s="83">
        <v>300</v>
      </c>
      <c r="F12" s="83" t="s">
        <v>37</v>
      </c>
      <c r="G12" s="83">
        <v>160</v>
      </c>
      <c r="H12" s="84">
        <v>140</v>
      </c>
      <c r="I12" s="84">
        <v>3</v>
      </c>
      <c r="J12" s="83">
        <f t="shared" si="0"/>
        <v>2.1661296078394381</v>
      </c>
      <c r="K12" s="85">
        <v>2</v>
      </c>
      <c r="L12" s="83">
        <f>((1743.811*(POWER(D12,1.852))*E12)/(POWER(H12,1.852)*(POWER(K12,4.87))))</f>
        <v>4.4247464722401642</v>
      </c>
      <c r="M12" s="83">
        <v>980.26</v>
      </c>
      <c r="N12" s="83" t="e">
        <f>+N8-#REF!</f>
        <v>#REF!</v>
      </c>
      <c r="O12" s="83" t="e">
        <f>+#REF!-M12</f>
        <v>#REF!</v>
      </c>
      <c r="P12" s="83">
        <f>(D12/1000)/((3.1416/4)*((K12*0.0254)*(K12*0.0254)))</f>
        <v>0.77954064744391272</v>
      </c>
    </row>
    <row r="13" spans="2:16" ht="18" x14ac:dyDescent="0.4">
      <c r="B13" s="86" t="s">
        <v>134</v>
      </c>
      <c r="C13" s="86" t="s">
        <v>133</v>
      </c>
      <c r="D13" s="83">
        <v>13.87</v>
      </c>
      <c r="E13" s="83">
        <v>500</v>
      </c>
      <c r="F13" s="83" t="s">
        <v>37</v>
      </c>
      <c r="G13" s="83">
        <v>160</v>
      </c>
      <c r="H13" s="84">
        <v>140</v>
      </c>
      <c r="I13" s="84">
        <v>3</v>
      </c>
      <c r="J13" s="83">
        <f t="shared" ref="J13:J18" si="3">(POWER(((1743.811*(POWER(D13,1.852))*E13)/(POWER(H13,1.852)*(I13))),(1/4.87)))</f>
        <v>5.4955247436582457</v>
      </c>
      <c r="K13" s="85">
        <v>5</v>
      </c>
      <c r="L13" s="83">
        <f t="shared" ref="L13:L18" si="4">((1743.811*(POWER(D13,1.852))*E13)/(POWER(H13,1.852)*(POWER(K13,4.87))))</f>
        <v>4.7531550338557791</v>
      </c>
      <c r="M13" s="83">
        <v>981.26</v>
      </c>
      <c r="N13" s="83" t="e">
        <f>+N11-#REF!</f>
        <v>#REF!</v>
      </c>
      <c r="O13" s="83" t="e">
        <f>+#REF!-M13</f>
        <v>#REF!</v>
      </c>
      <c r="P13" s="83">
        <f t="shared" ref="P13:P18" si="5">(D13/1000)/((3.1416/4)*((K13*0.0254)*(K13*0.0254)))</f>
        <v>1.0949092435490702</v>
      </c>
    </row>
    <row r="14" spans="2:16" ht="18" x14ac:dyDescent="0.4">
      <c r="B14" s="86" t="s">
        <v>133</v>
      </c>
      <c r="C14" s="86" t="s">
        <v>49</v>
      </c>
      <c r="D14" s="83">
        <v>12.43</v>
      </c>
      <c r="E14" s="83">
        <v>400</v>
      </c>
      <c r="F14" s="83" t="s">
        <v>37</v>
      </c>
      <c r="G14" s="83">
        <v>160</v>
      </c>
      <c r="H14" s="84">
        <v>140</v>
      </c>
      <c r="I14" s="84">
        <v>4</v>
      </c>
      <c r="J14" s="83">
        <f t="shared" si="3"/>
        <v>4.7462575168127765</v>
      </c>
      <c r="K14" s="85">
        <v>5</v>
      </c>
      <c r="L14" s="83">
        <f t="shared" si="4"/>
        <v>3.1038940704357794</v>
      </c>
      <c r="M14" s="83">
        <v>982.26</v>
      </c>
      <c r="N14" s="83" t="e">
        <f>+N12-#REF!</f>
        <v>#REF!</v>
      </c>
      <c r="O14" s="83" t="e">
        <f>+#REF!-M14</f>
        <v>#REF!</v>
      </c>
      <c r="P14" s="83">
        <f>(D14/1000)/((3.1416/4)*((K14*0.0254)*(K14*0.0254)))</f>
        <v>0.98123445546610977</v>
      </c>
    </row>
    <row r="15" spans="2:16" ht="18" x14ac:dyDescent="0.4">
      <c r="B15" s="86" t="s">
        <v>49</v>
      </c>
      <c r="C15" s="86" t="s">
        <v>45</v>
      </c>
      <c r="D15" s="83">
        <v>2.44</v>
      </c>
      <c r="E15" s="83">
        <v>150</v>
      </c>
      <c r="F15" s="83" t="s">
        <v>37</v>
      </c>
      <c r="G15" s="83">
        <v>160</v>
      </c>
      <c r="H15" s="84">
        <v>140</v>
      </c>
      <c r="I15" s="84">
        <v>3</v>
      </c>
      <c r="J15" s="83">
        <f t="shared" si="3"/>
        <v>2.2163788364718613</v>
      </c>
      <c r="K15" s="85">
        <v>2</v>
      </c>
      <c r="L15" s="83">
        <f t="shared" si="4"/>
        <v>4.9475640974152277</v>
      </c>
      <c r="M15" s="83"/>
      <c r="N15" s="83"/>
      <c r="O15" s="83"/>
      <c r="P15" s="83">
        <f>(D15/1000)/((3.1416/4)*((K15*0.0254)*(K15*0.0254)))</f>
        <v>1.2038475821285739</v>
      </c>
    </row>
    <row r="16" spans="2:16" ht="18" x14ac:dyDescent="0.4">
      <c r="B16" s="86" t="s">
        <v>45</v>
      </c>
      <c r="C16" s="86" t="s">
        <v>131</v>
      </c>
      <c r="D16" s="83">
        <v>2.44</v>
      </c>
      <c r="E16" s="83">
        <v>150</v>
      </c>
      <c r="F16" s="83" t="s">
        <v>37</v>
      </c>
      <c r="G16" s="83">
        <v>160</v>
      </c>
      <c r="H16" s="84">
        <v>140</v>
      </c>
      <c r="I16" s="84">
        <v>3</v>
      </c>
      <c r="J16" s="83">
        <f t="shared" si="3"/>
        <v>2.2163788364718613</v>
      </c>
      <c r="K16" s="85">
        <v>2</v>
      </c>
      <c r="L16" s="83">
        <f t="shared" si="4"/>
        <v>4.9475640974152277</v>
      </c>
      <c r="M16" s="83">
        <v>983.26</v>
      </c>
      <c r="N16" s="83" t="e">
        <f>+N13-#REF!</f>
        <v>#REF!</v>
      </c>
      <c r="O16" s="83" t="e">
        <f>+#REF!-M16</f>
        <v>#REF!</v>
      </c>
      <c r="P16" s="83">
        <f t="shared" si="5"/>
        <v>1.2038475821285739</v>
      </c>
    </row>
    <row r="17" spans="2:16" ht="18" x14ac:dyDescent="0.4">
      <c r="B17" s="86" t="s">
        <v>49</v>
      </c>
      <c r="C17" s="86" t="s">
        <v>132</v>
      </c>
      <c r="D17" s="83">
        <v>2.35</v>
      </c>
      <c r="E17" s="83">
        <v>400</v>
      </c>
      <c r="F17" s="83" t="s">
        <v>37</v>
      </c>
      <c r="G17" s="83">
        <v>160</v>
      </c>
      <c r="H17" s="84">
        <v>140</v>
      </c>
      <c r="I17" s="84">
        <v>4</v>
      </c>
      <c r="J17" s="83">
        <f t="shared" si="3"/>
        <v>2.5191271981783143</v>
      </c>
      <c r="K17" s="85">
        <v>2.5</v>
      </c>
      <c r="L17" s="83">
        <f t="shared" si="4"/>
        <v>4.1512617782807171</v>
      </c>
      <c r="M17" s="83"/>
      <c r="N17" s="83"/>
      <c r="O17" s="83"/>
      <c r="P17" s="83">
        <f t="shared" si="5"/>
        <v>0.74204375554154722</v>
      </c>
    </row>
    <row r="18" spans="2:16" ht="18" x14ac:dyDescent="0.4">
      <c r="B18" s="86" t="s">
        <v>49</v>
      </c>
      <c r="C18" s="86" t="s">
        <v>129</v>
      </c>
      <c r="D18" s="83">
        <v>6.08</v>
      </c>
      <c r="E18" s="83">
        <v>350</v>
      </c>
      <c r="F18" s="83" t="s">
        <v>37</v>
      </c>
      <c r="G18" s="83">
        <v>160</v>
      </c>
      <c r="H18" s="84">
        <v>140</v>
      </c>
      <c r="I18" s="84">
        <v>3</v>
      </c>
      <c r="J18" s="83">
        <f t="shared" si="3"/>
        <v>3.732442475131061</v>
      </c>
      <c r="K18" s="85">
        <v>4</v>
      </c>
      <c r="L18" s="83">
        <f t="shared" si="4"/>
        <v>2.1413891911034786</v>
      </c>
      <c r="M18" s="83">
        <v>983.26</v>
      </c>
      <c r="N18" s="83" t="e">
        <f>+N14-#REF!</f>
        <v>#REF!</v>
      </c>
      <c r="O18" s="83" t="e">
        <f>+#REF!-M18</f>
        <v>#REF!</v>
      </c>
      <c r="P18" s="83">
        <f t="shared" si="5"/>
        <v>0.74993783804730851</v>
      </c>
    </row>
    <row r="19" spans="2:16" ht="18" x14ac:dyDescent="0.4">
      <c r="B19" s="86" t="s">
        <v>129</v>
      </c>
      <c r="C19" s="86" t="s">
        <v>128</v>
      </c>
      <c r="D19" s="83">
        <v>2.4700000000000002</v>
      </c>
      <c r="E19" s="83">
        <v>450</v>
      </c>
      <c r="F19" s="83" t="s">
        <v>37</v>
      </c>
      <c r="G19" s="83">
        <v>160</v>
      </c>
      <c r="H19" s="84">
        <v>140</v>
      </c>
      <c r="I19" s="84">
        <v>3</v>
      </c>
      <c r="J19" s="83">
        <f t="shared" ref="J19:J20" si="6">(POWER(((1743.811*(POWER(D19,1.852))*E19)/(POWER(H19,1.852)*(I19))),(1/4.87)))</f>
        <v>2.7901897480717417</v>
      </c>
      <c r="K19" s="85">
        <v>3</v>
      </c>
      <c r="L19" s="83">
        <f t="shared" ref="L19:L20" si="7">((1743.811*(POWER(D19,1.852))*E19)/(POWER(H19,1.852)*(POWER(K19,4.87))))</f>
        <v>2.1075459469642159</v>
      </c>
      <c r="M19" s="83">
        <v>984.26</v>
      </c>
      <c r="N19" s="83" t="e">
        <f>+N15-#REF!</f>
        <v>#REF!</v>
      </c>
      <c r="O19" s="83" t="e">
        <f>+#REF!-M19</f>
        <v>#REF!</v>
      </c>
      <c r="P19" s="83">
        <f t="shared" ref="P19:P20" si="8">(D19/1000)/((3.1416/4)*((K19*0.0254)*(K19*0.0254)))</f>
        <v>0.54162177192305627</v>
      </c>
    </row>
    <row r="20" spans="2:16" ht="18" x14ac:dyDescent="0.4">
      <c r="B20" s="86" t="s">
        <v>129</v>
      </c>
      <c r="C20" s="86" t="s">
        <v>130</v>
      </c>
      <c r="D20" s="83">
        <v>2.3199999999999998</v>
      </c>
      <c r="E20" s="83">
        <v>350</v>
      </c>
      <c r="F20" s="83" t="s">
        <v>37</v>
      </c>
      <c r="G20" s="83">
        <v>160</v>
      </c>
      <c r="H20" s="84">
        <v>140</v>
      </c>
      <c r="I20" s="84">
        <v>4</v>
      </c>
      <c r="J20" s="83">
        <f t="shared" si="6"/>
        <v>2.4390468477479232</v>
      </c>
      <c r="K20" s="85">
        <v>2.5</v>
      </c>
      <c r="L20" s="83">
        <f t="shared" si="7"/>
        <v>3.5469432580489846</v>
      </c>
      <c r="M20" s="83">
        <v>985.26</v>
      </c>
      <c r="N20" s="83" t="e">
        <f>+N16-#REF!</f>
        <v>#REF!</v>
      </c>
      <c r="O20" s="83" t="e">
        <f>+#REF!-M20</f>
        <v>#REF!</v>
      </c>
      <c r="P20" s="83">
        <f t="shared" si="8"/>
        <v>0.73257085653463383</v>
      </c>
    </row>
  </sheetData>
  <mergeCells count="8">
    <mergeCell ref="J5:J6"/>
    <mergeCell ref="K5:P5"/>
    <mergeCell ref="D5:D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POBLACION FUTURA</vt:lpstr>
      <vt:lpstr>PSI A MCA</vt:lpstr>
      <vt:lpstr>LINEA DE COND DIAM TEORI 1 Y 2</vt:lpstr>
      <vt:lpstr>Hoja1</vt:lpstr>
      <vt:lpstr>LINEA DE CONDU TIPO DE TUBERIA</vt:lpstr>
      <vt:lpstr>Hoja 1</vt:lpstr>
      <vt:lpstr>Hoja2</vt:lpstr>
      <vt:lpstr>1ejemplo2</vt:lpstr>
      <vt:lpstr>2ejemplo2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MIREA ANABELLA QUICHÉ IXCAMPARIC</cp:lastModifiedBy>
  <cp:lastPrinted>2023-09-08T21:43:38Z</cp:lastPrinted>
  <dcterms:created xsi:type="dcterms:W3CDTF">2020-08-29T02:41:36Z</dcterms:created>
  <dcterms:modified xsi:type="dcterms:W3CDTF">2024-05-02T02:52:08Z</dcterms:modified>
</cp:coreProperties>
</file>