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3e28818d3dfe40/Escritorio/U/Sanitarias 1/"/>
    </mc:Choice>
  </mc:AlternateContent>
  <xr:revisionPtr revIDLastSave="1" documentId="13_ncr:1_{1AFD2771-0949-4770-B6FB-1205C6097BE5}" xr6:coauthVersionLast="47" xr6:coauthVersionMax="47" xr10:uidLastSave="{09111EA7-3BFC-40B3-A749-DB559E3F8702}"/>
  <bookViews>
    <workbookView xWindow="-108" yWindow="-108" windowWidth="23256" windowHeight="12456" firstSheet="1" activeTab="2" xr2:uid="{B5040F86-351F-4997-9C94-099E0EEEA4A8}"/>
  </bookViews>
  <sheets>
    <sheet name="POBLACION FUTURA" sheetId="3" r:id="rId1"/>
    <sheet name="PSI A MCA" sheetId="4" r:id="rId2"/>
    <sheet name="LINEA DE COND DIAM TEORI 1 Y 2" sheetId="5" r:id="rId3"/>
    <sheet name="LINEA DE CONDU TIPO DE TUBERIA" sheetId="6" r:id="rId4"/>
    <sheet name="Hoja 1" sheetId="1" r:id="rId5"/>
    <sheet name="Hoja2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5" l="1"/>
  <c r="D7" i="6"/>
  <c r="F7" i="6"/>
  <c r="F14" i="6" s="1"/>
  <c r="D9" i="6"/>
  <c r="F9" i="6" s="1"/>
  <c r="G22" i="6"/>
  <c r="D8" i="6"/>
  <c r="F8" i="6" s="1"/>
  <c r="F15" i="6" s="1"/>
  <c r="D6" i="6"/>
  <c r="F6" i="6" s="1"/>
  <c r="F13" i="6" s="1"/>
  <c r="D5" i="6"/>
  <c r="F5" i="6" s="1"/>
  <c r="F12" i="6" s="1"/>
  <c r="D36" i="3"/>
  <c r="D34" i="3"/>
  <c r="G6" i="5"/>
  <c r="G5" i="5"/>
  <c r="G4" i="5"/>
  <c r="C13" i="4"/>
  <c r="C15" i="4" s="1"/>
  <c r="D38" i="3"/>
  <c r="C24" i="3"/>
  <c r="C26" i="3" s="1"/>
  <c r="C22" i="3"/>
  <c r="C15" i="3"/>
  <c r="C16" i="3" s="1"/>
  <c r="C23" i="3" s="1"/>
  <c r="D35" i="3" s="1"/>
  <c r="E14" i="2"/>
  <c r="E13" i="2"/>
  <c r="P14" i="2"/>
  <c r="O14" i="2"/>
  <c r="N14" i="2"/>
  <c r="L14" i="2"/>
  <c r="J14" i="2"/>
  <c r="P12" i="2"/>
  <c r="E12" i="2"/>
  <c r="L12" i="2" s="1"/>
  <c r="E11" i="2"/>
  <c r="P7" i="2"/>
  <c r="L7" i="2"/>
  <c r="E7" i="2"/>
  <c r="J7" i="2" s="1"/>
  <c r="E6" i="2"/>
  <c r="J10" i="2"/>
  <c r="L10" i="2"/>
  <c r="O10" i="2"/>
  <c r="P10" i="2"/>
  <c r="J11" i="2"/>
  <c r="L11" i="2"/>
  <c r="O11" i="2"/>
  <c r="P11" i="2"/>
  <c r="J13" i="2"/>
  <c r="L13" i="2"/>
  <c r="O13" i="2"/>
  <c r="P13" i="2"/>
  <c r="P9" i="2"/>
  <c r="O9" i="2"/>
  <c r="L9" i="2"/>
  <c r="J9" i="2"/>
  <c r="P8" i="2"/>
  <c r="O8" i="2"/>
  <c r="L8" i="2"/>
  <c r="J8" i="2"/>
  <c r="P6" i="2"/>
  <c r="O6" i="2"/>
  <c r="L6" i="2"/>
  <c r="J6" i="2"/>
  <c r="P5" i="2"/>
  <c r="L5" i="2"/>
  <c r="N5" i="2" s="1"/>
  <c r="J5" i="2"/>
  <c r="E19" i="1"/>
  <c r="D7" i="1"/>
  <c r="D8" i="1"/>
  <c r="D9" i="1"/>
  <c r="D10" i="1"/>
  <c r="D11" i="1"/>
  <c r="H8" i="6" l="1"/>
  <c r="G15" i="6" s="1"/>
  <c r="H5" i="6"/>
  <c r="G12" i="6" s="1"/>
  <c r="H6" i="6"/>
  <c r="G13" i="6" s="1"/>
  <c r="D39" i="3"/>
  <c r="G9" i="5"/>
  <c r="B17" i="5" s="1"/>
  <c r="C27" i="3"/>
  <c r="J12" i="2"/>
  <c r="O5" i="2"/>
  <c r="N6" i="2"/>
  <c r="N9" i="2" s="1"/>
  <c r="N11" i="2" s="1"/>
  <c r="N8" i="2"/>
  <c r="N10" i="2" s="1"/>
  <c r="N13" i="2" s="1"/>
  <c r="F8" i="1"/>
  <c r="H8" i="1" s="1"/>
  <c r="I8" i="1" s="1"/>
  <c r="E9" i="1"/>
  <c r="K9" i="1" s="1"/>
  <c r="E8" i="1"/>
  <c r="K8" i="1" s="1"/>
  <c r="E11" i="1"/>
  <c r="K11" i="1" s="1"/>
  <c r="F7" i="1"/>
  <c r="H7" i="1" s="1"/>
  <c r="I7" i="1" s="1"/>
  <c r="F9" i="1"/>
  <c r="H9" i="1" s="1"/>
  <c r="I9" i="1" s="1"/>
  <c r="E7" i="1"/>
  <c r="K7" i="1" s="1"/>
  <c r="E10" i="1"/>
  <c r="K10" i="1" s="1"/>
  <c r="F11" i="1"/>
  <c r="H11" i="1" s="1"/>
  <c r="I11" i="1" s="1"/>
  <c r="F10" i="1"/>
  <c r="H10" i="1" s="1"/>
  <c r="I10" i="1" s="1"/>
  <c r="G17" i="6" l="1"/>
  <c r="B19" i="5"/>
  <c r="J10" i="1"/>
  <c r="J9" i="1"/>
  <c r="J11" i="1"/>
  <c r="J8" i="1"/>
  <c r="J7" i="1"/>
  <c r="E6" i="1"/>
  <c r="K6" i="1" s="1"/>
  <c r="E5" i="1"/>
  <c r="K5" i="1" s="1"/>
  <c r="D6" i="1"/>
  <c r="F6" i="1" s="1"/>
  <c r="H6" i="1" s="1"/>
  <c r="D5" i="1"/>
  <c r="F5" i="1" s="1"/>
  <c r="B22" i="6" l="1"/>
  <c r="B26" i="6" s="1"/>
  <c r="B27" i="6" s="1"/>
  <c r="B21" i="6"/>
  <c r="F40" i="5"/>
  <c r="A38" i="5"/>
  <c r="F39" i="5"/>
  <c r="A37" i="5"/>
  <c r="G21" i="5"/>
  <c r="G23" i="5" s="1"/>
  <c r="G20" i="5"/>
  <c r="G22" i="5" s="1"/>
  <c r="F12" i="1"/>
  <c r="H5" i="1"/>
  <c r="H12" i="1" s="1"/>
  <c r="J6" i="1"/>
  <c r="I6" i="1"/>
  <c r="B27" i="5" l="1"/>
  <c r="B38" i="5" s="1"/>
  <c r="G40" i="5" s="1"/>
  <c r="I5" i="1"/>
  <c r="I12" i="1"/>
  <c r="H13" i="1"/>
  <c r="H14" i="1" s="1"/>
  <c r="J5" i="1"/>
  <c r="G33" i="5" l="1"/>
  <c r="B28" i="5"/>
  <c r="B37" i="5" s="1"/>
  <c r="G39" i="5" s="1"/>
  <c r="H15" i="1"/>
  <c r="I18" i="1" s="1"/>
  <c r="G32" i="5" l="1"/>
  <c r="E44" i="5" s="1"/>
  <c r="E45" i="5" s="1"/>
  <c r="I19" i="1"/>
</calcChain>
</file>

<file path=xl/sharedStrings.xml><?xml version="1.0" encoding="utf-8"?>
<sst xmlns="http://schemas.openxmlformats.org/spreadsheetml/2006/main" count="159" uniqueCount="115">
  <si>
    <t>Punto de consumo</t>
  </si>
  <si>
    <t>Habitantes actuales</t>
  </si>
  <si>
    <t>Viviendas actuales</t>
  </si>
  <si>
    <t>Viviendas futuras</t>
  </si>
  <si>
    <t>Habitantes futuros</t>
  </si>
  <si>
    <t>Qhora máxima</t>
  </si>
  <si>
    <t>Q consumo simultaneo</t>
  </si>
  <si>
    <t>Observaciones</t>
  </si>
  <si>
    <t>CRITERIOS DE DISEÑO</t>
  </si>
  <si>
    <t>Densidad de vivienda</t>
  </si>
  <si>
    <t>Hab/viv</t>
  </si>
  <si>
    <t>Tasa de crecimientp geométrico</t>
  </si>
  <si>
    <t>%</t>
  </si>
  <si>
    <t>Período de diseño</t>
  </si>
  <si>
    <t>Años</t>
  </si>
  <si>
    <t>Factor de crecimiento</t>
  </si>
  <si>
    <t>Dotación           Lit / hab / día</t>
  </si>
  <si>
    <t>Q medio        Lit / seg</t>
  </si>
  <si>
    <t>Factor de día máximo</t>
  </si>
  <si>
    <t>Qdía maximo           Lit / seg</t>
  </si>
  <si>
    <t>Volumen tanque de distribución</t>
  </si>
  <si>
    <t>m3</t>
  </si>
  <si>
    <t>Factor de hora máxima</t>
  </si>
  <si>
    <t>Q (l/s)</t>
  </si>
  <si>
    <t>Longitud  (m)</t>
  </si>
  <si>
    <t>Tipo de Tubería</t>
  </si>
  <si>
    <t>Resistencia de tubería (PSI)</t>
  </si>
  <si>
    <t>C</t>
  </si>
  <si>
    <t>Perdida de carga propuesta</t>
  </si>
  <si>
    <t>Diámetro teórico</t>
  </si>
  <si>
    <t>Respuestas</t>
  </si>
  <si>
    <t>Diámetro real</t>
  </si>
  <si>
    <t>Hf1</t>
  </si>
  <si>
    <t>Cota de suelo</t>
  </si>
  <si>
    <t>Piezométrica</t>
  </si>
  <si>
    <t>Presión estática</t>
  </si>
  <si>
    <t>Velocidad de flujo dentro de tubería m/s</t>
  </si>
  <si>
    <t>PVC</t>
  </si>
  <si>
    <t>DE</t>
  </si>
  <si>
    <t>A</t>
  </si>
  <si>
    <t>B</t>
  </si>
  <si>
    <t>D</t>
  </si>
  <si>
    <t>E</t>
  </si>
  <si>
    <t>F</t>
  </si>
  <si>
    <t>G</t>
  </si>
  <si>
    <t>H</t>
  </si>
  <si>
    <t>CRP1</t>
  </si>
  <si>
    <t>CRP2</t>
  </si>
  <si>
    <t>CRP3</t>
  </si>
  <si>
    <t>POBLACION ACTUAL</t>
  </si>
  <si>
    <t>R</t>
  </si>
  <si>
    <t>n</t>
  </si>
  <si>
    <t>POBLACION INICIAL</t>
  </si>
  <si>
    <t>POBLACION FUTURA</t>
  </si>
  <si>
    <t>AÑO INICAL</t>
  </si>
  <si>
    <t>AÑO ACTUAL</t>
  </si>
  <si>
    <t>AÑO FUTURO</t>
  </si>
  <si>
    <t>CALCULANDO R (TASA DE CRECIMIENTO)</t>
  </si>
  <si>
    <t>CALCULANDO POBLACION FUTURA</t>
  </si>
  <si>
    <t>PSI</t>
  </si>
  <si>
    <t>MCA</t>
  </si>
  <si>
    <t xml:space="preserve">RECOMENDABLE USAR </t>
  </si>
  <si>
    <t>PSI/1.422</t>
  </si>
  <si>
    <t>FORMULA =</t>
  </si>
  <si>
    <t>COTA MAYOR</t>
  </si>
  <si>
    <t>COTA MENOR</t>
  </si>
  <si>
    <t>COTA DE SALIDA</t>
  </si>
  <si>
    <t>COTA DE LLEGADA</t>
  </si>
  <si>
    <t>CAUDAL Q (LTS/S)</t>
  </si>
  <si>
    <t>LONGUITUD L (M)</t>
  </si>
  <si>
    <t>COEFICIENTE HW</t>
  </si>
  <si>
    <t>PERDIDA DE CARGA HF</t>
  </si>
  <si>
    <t>CALCULANDO DIAMETRO TEORICO</t>
  </si>
  <si>
    <t>DIAMETRO TEORICO</t>
  </si>
  <si>
    <t>D1</t>
  </si>
  <si>
    <t>D2</t>
  </si>
  <si>
    <t>"</t>
  </si>
  <si>
    <t>CON DIAMETROS D1 Y D2</t>
  </si>
  <si>
    <t xml:space="preserve">hf 1 </t>
  </si>
  <si>
    <t>hf D1</t>
  </si>
  <si>
    <t>hf D2</t>
  </si>
  <si>
    <t>hf 2</t>
  </si>
  <si>
    <t>CALCULANDO L1 Y L2</t>
  </si>
  <si>
    <t>LONGUITUD DE DISEÑO LD</t>
  </si>
  <si>
    <t>L2</t>
  </si>
  <si>
    <t>L1</t>
  </si>
  <si>
    <t>HF L1</t>
  </si>
  <si>
    <t>CALCULANDO PERDIDA DE CARGA HF</t>
  </si>
  <si>
    <t>CALCULANDO HF L1 D1 Y L2 D2</t>
  </si>
  <si>
    <t>HF L2</t>
  </si>
  <si>
    <t>CALCULANDO CANTIDAD DE TUBOS (CT)</t>
  </si>
  <si>
    <t>CALCULANDO LOGITUD EN TUBERIA</t>
  </si>
  <si>
    <t>COMPROBANDO COTA DE LLEGADA</t>
  </si>
  <si>
    <t>AÑO INICIAL</t>
  </si>
  <si>
    <t xml:space="preserve">COTA DE CAPTACIÓN </t>
  </si>
  <si>
    <t>COTA MÁS BAJA</t>
  </si>
  <si>
    <t xml:space="preserve">COTA DE TANQUE </t>
  </si>
  <si>
    <t>PVC 160 PSI</t>
  </si>
  <si>
    <t xml:space="preserve">PVC 250 PSI </t>
  </si>
  <si>
    <t>HG MEDIANO</t>
  </si>
  <si>
    <t>HG PESADO</t>
  </si>
  <si>
    <t>TUBERIA</t>
  </si>
  <si>
    <t>CALCULANDO TIPOS TUBERIAS A UTILIZAR</t>
  </si>
  <si>
    <t>TUBERIA A USAR</t>
  </si>
  <si>
    <t>SI</t>
  </si>
  <si>
    <t>NO</t>
  </si>
  <si>
    <t>HG LIVIANO</t>
  </si>
  <si>
    <t>TOTAL LONGUITUD</t>
  </si>
  <si>
    <t>CALCULANDO % DE TUBERIA</t>
  </si>
  <si>
    <t>HG</t>
  </si>
  <si>
    <t>COEFICIENTE HW PVC</t>
  </si>
  <si>
    <t>COEFICIENTE HW HG</t>
  </si>
  <si>
    <t>DIFERENCIA DE C HW</t>
  </si>
  <si>
    <t>CALCULANDO HW PROMEDIO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</si>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</sst>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rgb="FF20212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9" fontId="0" fillId="0" borderId="0" xfId="1" applyFont="1" applyAlignment="1">
      <alignment horizontal="center"/>
    </xf>
    <xf numFmtId="9" fontId="0" fillId="5" borderId="0" xfId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0" borderId="0" xfId="0" applyFont="1"/>
    <xf numFmtId="0" fontId="4" fillId="0" borderId="0" xfId="2" applyFont="1" applyAlignment="1">
      <alignment horizontal="center" vertical="center" wrapText="1"/>
    </xf>
    <xf numFmtId="2" fontId="3" fillId="0" borderId="0" xfId="2" applyNumberFormat="1"/>
    <xf numFmtId="0" fontId="3" fillId="0" borderId="0" xfId="2"/>
    <xf numFmtId="0" fontId="5" fillId="0" borderId="1" xfId="2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5" fillId="8" borderId="1" xfId="2" applyFont="1" applyFill="1" applyBorder="1" applyAlignment="1">
      <alignment horizontal="center" vertical="center" wrapText="1"/>
    </xf>
    <xf numFmtId="0" fontId="2" fillId="8" borderId="4" xfId="0" applyFont="1" applyFill="1" applyBorder="1"/>
    <xf numFmtId="0" fontId="5" fillId="8" borderId="5" xfId="0" applyFont="1" applyFill="1" applyBorder="1"/>
    <xf numFmtId="0" fontId="2" fillId="8" borderId="2" xfId="0" applyFont="1" applyFill="1" applyBorder="1"/>
    <xf numFmtId="0" fontId="5" fillId="8" borderId="3" xfId="0" applyFont="1" applyFill="1" applyBorder="1"/>
    <xf numFmtId="0" fontId="6" fillId="9" borderId="1" xfId="0" applyFont="1" applyFill="1" applyBorder="1" applyAlignment="1">
      <alignment horizontal="center"/>
    </xf>
    <xf numFmtId="164" fontId="5" fillId="10" borderId="1" xfId="2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11" borderId="0" xfId="0" applyFill="1"/>
    <xf numFmtId="0" fontId="0" fillId="11" borderId="1" xfId="0" applyFill="1" applyBorder="1"/>
    <xf numFmtId="0" fontId="10" fillId="11" borderId="1" xfId="0" applyFont="1" applyFill="1" applyBorder="1"/>
    <xf numFmtId="0" fontId="0" fillId="0" borderId="1" xfId="0" applyBorder="1"/>
    <xf numFmtId="0" fontId="10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10" fillId="2" borderId="6" xfId="0" applyFont="1" applyFill="1" applyBorder="1"/>
    <xf numFmtId="0" fontId="12" fillId="0" borderId="0" xfId="0" applyFont="1"/>
    <xf numFmtId="0" fontId="10" fillId="11" borderId="7" xfId="0" applyFont="1" applyFill="1" applyBorder="1"/>
    <xf numFmtId="1" fontId="10" fillId="2" borderId="7" xfId="0" applyNumberFormat="1" applyFont="1" applyFill="1" applyBorder="1"/>
    <xf numFmtId="0" fontId="8" fillId="0" borderId="0" xfId="0" applyFont="1"/>
    <xf numFmtId="0" fontId="0" fillId="0" borderId="15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0" fillId="0" borderId="0" xfId="0" applyFont="1"/>
    <xf numFmtId="0" fontId="8" fillId="11" borderId="1" xfId="0" applyFont="1" applyFill="1" applyBorder="1" applyAlignment="1">
      <alignment horizontal="right"/>
    </xf>
    <xf numFmtId="0" fontId="10" fillId="11" borderId="1" xfId="0" applyFont="1" applyFill="1" applyBorder="1" applyAlignment="1">
      <alignment horizontal="right" vertical="center"/>
    </xf>
    <xf numFmtId="0" fontId="10" fillId="11" borderId="1" xfId="0" applyFont="1" applyFill="1" applyBorder="1" applyAlignment="1">
      <alignment horizontal="right"/>
    </xf>
    <xf numFmtId="2" fontId="8" fillId="11" borderId="1" xfId="0" applyNumberFormat="1" applyFont="1" applyFill="1" applyBorder="1" applyAlignment="1">
      <alignment horizontal="center"/>
    </xf>
    <xf numFmtId="0" fontId="7" fillId="11" borderId="0" xfId="0" applyFont="1" applyFill="1"/>
    <xf numFmtId="1" fontId="8" fillId="11" borderId="1" xfId="0" applyNumberFormat="1" applyFont="1" applyFill="1" applyBorder="1" applyAlignment="1">
      <alignment horizontal="center"/>
    </xf>
    <xf numFmtId="0" fontId="11" fillId="11" borderId="13" xfId="0" applyFont="1" applyFill="1" applyBorder="1" applyAlignment="1">
      <alignment horizontal="right"/>
    </xf>
    <xf numFmtId="0" fontId="11" fillId="11" borderId="14" xfId="0" applyFont="1" applyFill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8" fillId="0" borderId="7" xfId="0" applyFont="1" applyBorder="1"/>
    <xf numFmtId="0" fontId="8" fillId="0" borderId="6" xfId="0" applyFont="1" applyBorder="1"/>
    <xf numFmtId="0" fontId="10" fillId="0" borderId="1" xfId="0" applyFont="1" applyBorder="1"/>
    <xf numFmtId="2" fontId="10" fillId="0" borderId="1" xfId="0" applyNumberFormat="1" applyFont="1" applyBorder="1"/>
    <xf numFmtId="1" fontId="10" fillId="0" borderId="1" xfId="0" applyNumberFormat="1" applyFont="1" applyBorder="1" applyAlignment="1">
      <alignment horizontal="center" vertical="center"/>
    </xf>
    <xf numFmtId="2" fontId="0" fillId="0" borderId="2" xfId="0" applyNumberFormat="1" applyBorder="1"/>
    <xf numFmtId="2" fontId="8" fillId="11" borderId="8" xfId="0" applyNumberFormat="1" applyFont="1" applyFill="1" applyBorder="1"/>
    <xf numFmtId="0" fontId="1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0" fillId="0" borderId="3" xfId="0" applyBorder="1"/>
    <xf numFmtId="0" fontId="10" fillId="11" borderId="11" xfId="0" applyFont="1" applyFill="1" applyBorder="1"/>
    <xf numFmtId="0" fontId="8" fillId="11" borderId="17" xfId="0" applyFont="1" applyFill="1" applyBorder="1"/>
    <xf numFmtId="0" fontId="9" fillId="0" borderId="1" xfId="0" applyFont="1" applyBorder="1"/>
    <xf numFmtId="0" fontId="9" fillId="0" borderId="0" xfId="0" applyFont="1"/>
    <xf numFmtId="0" fontId="8" fillId="11" borderId="13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11" borderId="11" xfId="0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5" fillId="8" borderId="2" xfId="2" applyFont="1" applyFill="1" applyBorder="1" applyAlignment="1">
      <alignment horizontal="center" vertical="center" wrapText="1"/>
    </xf>
    <xf numFmtId="0" fontId="5" fillId="8" borderId="3" xfId="2" applyFont="1" applyFill="1" applyBorder="1" applyAlignment="1">
      <alignment horizontal="center" vertical="center" wrapText="1"/>
    </xf>
    <xf numFmtId="0" fontId="5" fillId="8" borderId="1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F3B8C298-551A-450C-B6F7-B48690814120}"/>
    <cellStyle name="Porcentaje" xfId="1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g"/><Relationship Id="rId1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83819</xdr:colOff>
      <xdr:row>9</xdr:row>
      <xdr:rowOff>182879</xdr:rowOff>
    </xdr:from>
    <xdr:to>
      <xdr:col>4</xdr:col>
      <xdr:colOff>800100</xdr:colOff>
      <xdr:row>13</xdr:row>
      <xdr:rowOff>164195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C2F851-8394-32F9-D627-9AFDD22E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499" y="594359"/>
          <a:ext cx="1790701" cy="712836"/>
        </a:xfrm>
        <a:prstGeom prst="rect">
          <a:avLst/>
        </a:prstGeom>
      </xdr:spPr>
    </xdr:pic>
    <xdr:clientData/>
  </xdr:twoCellAnchor>
  <xdr:twoCellAnchor editAs="oneCell">
    <xdr:from>
      <xdr:col>3</xdr:col>
      <xdr:colOff>53341</xdr:colOff>
      <xdr:row>13</xdr:row>
      <xdr:rowOff>152400</xdr:rowOff>
    </xdr:from>
    <xdr:to>
      <xdr:col>5</xdr:col>
      <xdr:colOff>22861</xdr:colOff>
      <xdr:row>17</xdr:row>
      <xdr:rowOff>133705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5472E6-2A0B-375E-4941-43FDD79ED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6021" y="1295400"/>
          <a:ext cx="1874520" cy="728065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20</xdr:row>
      <xdr:rowOff>76201</xdr:rowOff>
    </xdr:from>
    <xdr:to>
      <xdr:col>5</xdr:col>
      <xdr:colOff>213360</xdr:colOff>
      <xdr:row>23</xdr:row>
      <xdr:rowOff>166386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66885B-2C86-20BF-E1C1-022274CB0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1820" y="2560321"/>
          <a:ext cx="1996440" cy="63882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24</xdr:row>
      <xdr:rowOff>167641</xdr:rowOff>
    </xdr:from>
    <xdr:to>
      <xdr:col>5</xdr:col>
      <xdr:colOff>746760</xdr:colOff>
      <xdr:row>29</xdr:row>
      <xdr:rowOff>48299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7A46891-E633-919F-202F-B8C6A2210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3383281"/>
          <a:ext cx="2537460" cy="810298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1</xdr:row>
      <xdr:rowOff>0</xdr:rowOff>
    </xdr:from>
    <xdr:to>
      <xdr:col>5</xdr:col>
      <xdr:colOff>792480</xdr:colOff>
      <xdr:row>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6B1009-9246-31E8-EE91-F881A4A7FC24}"/>
            </a:ext>
          </a:extLst>
        </xdr:cNvPr>
        <xdr:cNvSpPr txBox="1"/>
      </xdr:nvSpPr>
      <xdr:spPr>
        <a:xfrm>
          <a:off x="266700" y="182880"/>
          <a:ext cx="5836920" cy="1097280"/>
        </a:xfrm>
        <a:prstGeom prst="rect">
          <a:avLst/>
        </a:prstGeom>
        <a:noFill/>
        <a:ln w="28575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400" b="1"/>
            <a:t>CALCULE</a:t>
          </a:r>
          <a:r>
            <a:rPr lang="es-GT" sz="1400" b="1" baseline="0"/>
            <a:t> LA CANTIDAD DE POBLACIÓN QUE EXISTIRÁ EN EL 2046 SI EN EL AÑO 2000 HABIAN 300 Y ACTUALMENTE HAY 585</a:t>
          </a:r>
          <a:endParaRPr lang="es-GT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45721</xdr:rowOff>
    </xdr:from>
    <xdr:to>
      <xdr:col>1</xdr:col>
      <xdr:colOff>1173480</xdr:colOff>
      <xdr:row>15</xdr:row>
      <xdr:rowOff>100076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23C992-D5F5-A926-1181-0E7C37D2E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1"/>
          <a:ext cx="2453640" cy="81635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14</xdr:row>
      <xdr:rowOff>106680</xdr:rowOff>
    </xdr:from>
    <xdr:to>
      <xdr:col>6</xdr:col>
      <xdr:colOff>754380</xdr:colOff>
      <xdr:row>18</xdr:row>
      <xdr:rowOff>126173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CA597ED-AFB4-F016-C8D9-847FEEF78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0" y="2545080"/>
          <a:ext cx="2430780" cy="766253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22</xdr:row>
      <xdr:rowOff>114301</xdr:rowOff>
    </xdr:from>
    <xdr:to>
      <xdr:col>1</xdr:col>
      <xdr:colOff>228599</xdr:colOff>
      <xdr:row>25</xdr:row>
      <xdr:rowOff>58692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F4CB1A-BD7E-19A6-3230-66ABD87EB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" y="4061461"/>
          <a:ext cx="1493519" cy="515891"/>
        </a:xfrm>
        <a:prstGeom prst="rect">
          <a:avLst/>
        </a:prstGeom>
      </xdr:spPr>
    </xdr:pic>
    <xdr:clientData/>
  </xdr:twoCellAnchor>
  <xdr:twoCellAnchor editAs="oneCell">
    <xdr:from>
      <xdr:col>1</xdr:col>
      <xdr:colOff>243840</xdr:colOff>
      <xdr:row>23</xdr:row>
      <xdr:rowOff>106681</xdr:rowOff>
    </xdr:from>
    <xdr:to>
      <xdr:col>1</xdr:col>
      <xdr:colOff>1280160</xdr:colOff>
      <xdr:row>25</xdr:row>
      <xdr:rowOff>30967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FE9A0A1-F67B-BAA6-5653-A28B0DB64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4251961"/>
          <a:ext cx="1036320" cy="29766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53340</xdr:rowOff>
    </xdr:from>
    <xdr:to>
      <xdr:col>6</xdr:col>
      <xdr:colOff>746760</xdr:colOff>
      <xdr:row>30</xdr:row>
      <xdr:rowOff>88073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C92B3E8-452C-46A2-87AC-47ED6A619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6640" y="4777740"/>
          <a:ext cx="2430780" cy="766253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32</xdr:row>
      <xdr:rowOff>53340</xdr:rowOff>
    </xdr:from>
    <xdr:to>
      <xdr:col>1</xdr:col>
      <xdr:colOff>807720</xdr:colOff>
      <xdr:row>35</xdr:row>
      <xdr:rowOff>10411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DD12AB0-549A-4184-E19D-35710DA35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3360" y="6256020"/>
          <a:ext cx="1821180" cy="513331"/>
        </a:xfrm>
        <a:prstGeom prst="rect">
          <a:avLst/>
        </a:prstGeom>
      </xdr:spPr>
    </xdr:pic>
    <xdr:clientData/>
  </xdr:twoCellAnchor>
  <xdr:twoCellAnchor editAs="oneCell">
    <xdr:from>
      <xdr:col>5</xdr:col>
      <xdr:colOff>30481</xdr:colOff>
      <xdr:row>36</xdr:row>
      <xdr:rowOff>68581</xdr:rowOff>
    </xdr:from>
    <xdr:to>
      <xdr:col>6</xdr:col>
      <xdr:colOff>784860</xdr:colOff>
      <xdr:row>37</xdr:row>
      <xdr:rowOff>129177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02E8C85-8179-120D-9EED-6B22CB217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27121" y="6865621"/>
          <a:ext cx="2438399" cy="243476"/>
        </a:xfrm>
        <a:prstGeom prst="rect">
          <a:avLst/>
        </a:prstGeom>
      </xdr:spPr>
    </xdr:pic>
    <xdr:clientData/>
  </xdr:twoCellAnchor>
  <xdr:twoCellAnchor editAs="oneCell">
    <xdr:from>
      <xdr:col>0</xdr:col>
      <xdr:colOff>598000</xdr:colOff>
      <xdr:row>42</xdr:row>
      <xdr:rowOff>167640</xdr:rowOff>
    </xdr:from>
    <xdr:to>
      <xdr:col>3</xdr:col>
      <xdr:colOff>3417</xdr:colOff>
      <xdr:row>44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6A4AD2D-CFC2-2FE7-7B6D-8FE37B4B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8000" y="8092440"/>
          <a:ext cx="2232437" cy="205740"/>
        </a:xfrm>
        <a:prstGeom prst="rect">
          <a:avLst/>
        </a:prstGeom>
      </xdr:spPr>
    </xdr:pic>
    <xdr:clientData/>
  </xdr:twoCellAnchor>
  <xdr:twoCellAnchor editAs="oneCell">
    <xdr:from>
      <xdr:col>0</xdr:col>
      <xdr:colOff>289560</xdr:colOff>
      <xdr:row>44</xdr:row>
      <xdr:rowOff>54834</xdr:rowOff>
    </xdr:from>
    <xdr:to>
      <xdr:col>3</xdr:col>
      <xdr:colOff>48529</xdr:colOff>
      <xdr:row>44</xdr:row>
      <xdr:rowOff>175260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B8CEE7E-D10D-F50D-DFFD-347DA5B73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9560" y="8345394"/>
          <a:ext cx="2585989" cy="120426"/>
        </a:xfrm>
        <a:prstGeom prst="rect">
          <a:avLst/>
        </a:prstGeom>
      </xdr:spPr>
    </xdr:pic>
    <xdr:clientData/>
  </xdr:twoCellAnchor>
  <xdr:twoCellAnchor editAs="oneCell">
    <xdr:from>
      <xdr:col>8</xdr:col>
      <xdr:colOff>206212</xdr:colOff>
      <xdr:row>0</xdr:row>
      <xdr:rowOff>149931</xdr:rowOff>
    </xdr:from>
    <xdr:to>
      <xdr:col>16</xdr:col>
      <xdr:colOff>334806</xdr:colOff>
      <xdr:row>24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DF722B-79FC-33DA-7653-2DA1754E56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-159" t="25418" r="159" b="17337"/>
        <a:stretch/>
      </xdr:blipFill>
      <xdr:spPr>
        <a:xfrm rot="16200000">
          <a:off x="7182308" y="-459232"/>
          <a:ext cx="4566002" cy="5784328"/>
        </a:xfrm>
        <a:prstGeom prst="rect">
          <a:avLst/>
        </a:prstGeom>
      </xdr:spPr>
    </xdr:pic>
    <xdr:clientData/>
  </xdr:twoCellAnchor>
  <xdr:twoCellAnchor>
    <xdr:from>
      <xdr:col>10</xdr:col>
      <xdr:colOff>186266</xdr:colOff>
      <xdr:row>7</xdr:row>
      <xdr:rowOff>84666</xdr:rowOff>
    </xdr:from>
    <xdr:to>
      <xdr:col>11</xdr:col>
      <xdr:colOff>397933</xdr:colOff>
      <xdr:row>8</xdr:row>
      <xdr:rowOff>59267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6F892560-6471-39F8-A9B0-EAA55406744C}"/>
            </a:ext>
          </a:extLst>
        </xdr:cNvPr>
        <xdr:cNvCxnSpPr/>
      </xdr:nvCxnSpPr>
      <xdr:spPr>
        <a:xfrm>
          <a:off x="7230533" y="1388533"/>
          <a:ext cx="1041400" cy="16086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364067</xdr:colOff>
      <xdr:row>8</xdr:row>
      <xdr:rowOff>50801</xdr:rowOff>
    </xdr:from>
    <xdr:to>
      <xdr:col>12</xdr:col>
      <xdr:colOff>211667</xdr:colOff>
      <xdr:row>9</xdr:row>
      <xdr:rowOff>152400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B69A7655-5233-4003-9AB8-C365DE874A87}"/>
            </a:ext>
          </a:extLst>
        </xdr:cNvPr>
        <xdr:cNvCxnSpPr/>
      </xdr:nvCxnSpPr>
      <xdr:spPr>
        <a:xfrm>
          <a:off x="8238067" y="1540934"/>
          <a:ext cx="677333" cy="28786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8</xdr:row>
      <xdr:rowOff>8467</xdr:rowOff>
    </xdr:from>
    <xdr:to>
      <xdr:col>12</xdr:col>
      <xdr:colOff>194734</xdr:colOff>
      <xdr:row>10</xdr:row>
      <xdr:rowOff>33867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7B0F66D5-37E3-471A-2C22-7736795727B0}"/>
            </a:ext>
          </a:extLst>
        </xdr:cNvPr>
        <xdr:cNvCxnSpPr/>
      </xdr:nvCxnSpPr>
      <xdr:spPr>
        <a:xfrm>
          <a:off x="7247467" y="1498600"/>
          <a:ext cx="1651000" cy="40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254000</xdr:colOff>
      <xdr:row>13</xdr:row>
      <xdr:rowOff>101600</xdr:rowOff>
    </xdr:from>
    <xdr:to>
      <xdr:col>11</xdr:col>
      <xdr:colOff>397933</xdr:colOff>
      <xdr:row>13</xdr:row>
      <xdr:rowOff>110067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A74241D7-15C7-8AAA-58A9-5B0EE3C80786}"/>
            </a:ext>
          </a:extLst>
        </xdr:cNvPr>
        <xdr:cNvCxnSpPr/>
      </xdr:nvCxnSpPr>
      <xdr:spPr>
        <a:xfrm flipV="1">
          <a:off x="7298267" y="2565400"/>
          <a:ext cx="973666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389467</xdr:colOff>
      <xdr:row>13</xdr:row>
      <xdr:rowOff>93133</xdr:rowOff>
    </xdr:from>
    <xdr:to>
      <xdr:col>12</xdr:col>
      <xdr:colOff>228600</xdr:colOff>
      <xdr:row>13</xdr:row>
      <xdr:rowOff>101600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54DDC55-410C-4AD4-9B52-42C00A0BC703}"/>
            </a:ext>
          </a:extLst>
        </xdr:cNvPr>
        <xdr:cNvCxnSpPr/>
      </xdr:nvCxnSpPr>
      <xdr:spPr>
        <a:xfrm flipV="1">
          <a:off x="8263467" y="2556933"/>
          <a:ext cx="668866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944880</xdr:colOff>
      <xdr:row>27</xdr:row>
      <xdr:rowOff>66409</xdr:rowOff>
    </xdr:from>
    <xdr:to>
      <xdr:col>7</xdr:col>
      <xdr:colOff>198120</xdr:colOff>
      <xdr:row>45</xdr:row>
      <xdr:rowOff>70419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00CDD5-1BA7-510C-BCEB-3BC6E96EC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" y="5118469"/>
          <a:ext cx="4716780" cy="3295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243166</xdr:colOff>
      <xdr:row>0</xdr:row>
      <xdr:rowOff>175845</xdr:rowOff>
    </xdr:from>
    <xdr:to>
      <xdr:col>18</xdr:col>
      <xdr:colOff>60615</xdr:colOff>
      <xdr:row>19</xdr:row>
      <xdr:rowOff>132707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F5B383-8713-EDBA-F00F-0FDDEDB00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711" y="175845"/>
          <a:ext cx="4389449" cy="39573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73902</xdr:colOff>
      <xdr:row>15</xdr:row>
      <xdr:rowOff>54769</xdr:rowOff>
    </xdr:from>
    <xdr:to>
      <xdr:col>7</xdr:col>
      <xdr:colOff>107156</xdr:colOff>
      <xdr:row>40</xdr:row>
      <xdr:rowOff>165945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D20E3A-46F2-54B3-1F26-63CFBE89F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90" y="4293394"/>
          <a:ext cx="5462504" cy="4873676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15</xdr:row>
      <xdr:rowOff>76200</xdr:rowOff>
    </xdr:from>
    <xdr:to>
      <xdr:col>17</xdr:col>
      <xdr:colOff>142875</xdr:colOff>
      <xdr:row>37</xdr:row>
      <xdr:rowOff>190380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C74D73F-2E25-0A33-AED5-2B7B93EB1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4257675"/>
          <a:ext cx="7772400" cy="4305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F198-345C-4115-A6F3-93CF3B02D00E}">
  <dimension ref="B9:D39"/>
  <sheetViews>
    <sheetView view="pageLayout" topLeftCell="A20" zoomScaleNormal="100" workbookViewId="0">
      <selection activeCell="F10" sqref="F10"/>
    </sheetView>
  </sheetViews>
  <sheetFormatPr baseColWidth="10" defaultRowHeight="14.4" x14ac:dyDescent="0.3"/>
  <cols>
    <col min="1" max="1" width="5.5546875" customWidth="1"/>
    <col min="2" max="2" width="20.21875" customWidth="1"/>
    <col min="3" max="3" width="21.77734375" customWidth="1"/>
    <col min="4" max="4" width="15" customWidth="1"/>
    <col min="6" max="6" width="13.88671875" customWidth="1"/>
    <col min="7" max="7" width="11.5546875" customWidth="1"/>
  </cols>
  <sheetData>
    <row r="9" spans="2:3" ht="18" x14ac:dyDescent="0.35">
      <c r="B9" s="52" t="s">
        <v>57</v>
      </c>
      <c r="C9" s="32"/>
    </row>
    <row r="11" spans="2:3" x14ac:dyDescent="0.3">
      <c r="B11" s="35" t="s">
        <v>52</v>
      </c>
      <c r="C11" s="2">
        <v>300</v>
      </c>
    </row>
    <row r="12" spans="2:3" x14ac:dyDescent="0.3">
      <c r="B12" s="35" t="s">
        <v>49</v>
      </c>
      <c r="C12" s="2">
        <v>585</v>
      </c>
    </row>
    <row r="13" spans="2:3" x14ac:dyDescent="0.3">
      <c r="B13" s="35" t="s">
        <v>54</v>
      </c>
      <c r="C13" s="2">
        <v>2000</v>
      </c>
    </row>
    <row r="14" spans="2:3" x14ac:dyDescent="0.3">
      <c r="B14" s="35" t="s">
        <v>55</v>
      </c>
      <c r="C14" s="2">
        <v>2023</v>
      </c>
    </row>
    <row r="15" spans="2:3" x14ac:dyDescent="0.3">
      <c r="B15" s="35" t="s">
        <v>51</v>
      </c>
      <c r="C15" s="2">
        <f>C14-C13</f>
        <v>23</v>
      </c>
    </row>
    <row r="16" spans="2:3" ht="15.6" x14ac:dyDescent="0.3">
      <c r="B16" s="48" t="s">
        <v>50</v>
      </c>
      <c r="C16" s="51">
        <f>(((C12/C11)^(1/C15))-1)*100</f>
        <v>2.9461715863000393</v>
      </c>
    </row>
    <row r="20" spans="2:4" ht="18" x14ac:dyDescent="0.35">
      <c r="B20" s="52" t="s">
        <v>58</v>
      </c>
      <c r="C20" s="52"/>
      <c r="D20" s="31"/>
    </row>
    <row r="22" spans="2:4" x14ac:dyDescent="0.3">
      <c r="B22" s="35" t="s">
        <v>49</v>
      </c>
      <c r="C22" s="2">
        <f>C12</f>
        <v>585</v>
      </c>
    </row>
    <row r="23" spans="2:4" x14ac:dyDescent="0.3">
      <c r="B23" s="35" t="s">
        <v>50</v>
      </c>
      <c r="C23" s="4">
        <f>C16</f>
        <v>2.9461715863000393</v>
      </c>
    </row>
    <row r="24" spans="2:4" x14ac:dyDescent="0.3">
      <c r="B24" s="35" t="s">
        <v>55</v>
      </c>
      <c r="C24" s="5">
        <f>C14</f>
        <v>2023</v>
      </c>
    </row>
    <row r="25" spans="2:4" x14ac:dyDescent="0.3">
      <c r="B25" s="35" t="s">
        <v>56</v>
      </c>
      <c r="C25" s="5">
        <v>2046</v>
      </c>
    </row>
    <row r="26" spans="2:4" x14ac:dyDescent="0.3">
      <c r="B26" s="35" t="s">
        <v>51</v>
      </c>
      <c r="C26" s="5">
        <f>C25-C24</f>
        <v>23</v>
      </c>
    </row>
    <row r="27" spans="2:4" ht="15.6" x14ac:dyDescent="0.3">
      <c r="B27" s="48" t="s">
        <v>53</v>
      </c>
      <c r="C27" s="53">
        <f>C22*(((C23/100)+1)^(C26))</f>
        <v>1140.7499999999998</v>
      </c>
    </row>
    <row r="32" spans="2:4" ht="18" x14ac:dyDescent="0.35">
      <c r="C32" s="52" t="s">
        <v>58</v>
      </c>
      <c r="D32" s="52"/>
    </row>
    <row r="34" spans="3:4" x14ac:dyDescent="0.3">
      <c r="C34" s="35" t="s">
        <v>52</v>
      </c>
      <c r="D34" s="2">
        <f>C11</f>
        <v>300</v>
      </c>
    </row>
    <row r="35" spans="3:4" x14ac:dyDescent="0.3">
      <c r="C35" s="35" t="s">
        <v>50</v>
      </c>
      <c r="D35" s="4">
        <f>C23</f>
        <v>2.9461715863000393</v>
      </c>
    </row>
    <row r="36" spans="3:4" x14ac:dyDescent="0.3">
      <c r="C36" s="35" t="s">
        <v>93</v>
      </c>
      <c r="D36" s="5">
        <f>C13</f>
        <v>2000</v>
      </c>
    </row>
    <row r="37" spans="3:4" x14ac:dyDescent="0.3">
      <c r="C37" s="35" t="s">
        <v>56</v>
      </c>
      <c r="D37" s="5">
        <v>2046</v>
      </c>
    </row>
    <row r="38" spans="3:4" x14ac:dyDescent="0.3">
      <c r="C38" s="35" t="s">
        <v>51</v>
      </c>
      <c r="D38" s="5">
        <f>D37-D36</f>
        <v>46</v>
      </c>
    </row>
    <row r="39" spans="3:4" ht="15.6" x14ac:dyDescent="0.3">
      <c r="C39" s="48" t="s">
        <v>53</v>
      </c>
      <c r="D39" s="53">
        <f>D34*(((D35/100)+1)^(D38))</f>
        <v>1140.7499999999998</v>
      </c>
    </row>
  </sheetData>
  <pageMargins left="0.7" right="0.7" top="0.75" bottom="0.75" header="0.3" footer="0.3"/>
  <pageSetup orientation="portrait" r:id="rId1"/>
  <ignoredErrors>
    <ignoredError sqref="C23 D3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3210-04D4-42E6-B9BE-496564F785F1}">
  <dimension ref="B8:D15"/>
  <sheetViews>
    <sheetView view="pageLayout" zoomScaleNormal="100" workbookViewId="0">
      <selection activeCell="C13" sqref="C13"/>
    </sheetView>
  </sheetViews>
  <sheetFormatPr baseColWidth="10" defaultRowHeight="14.4" x14ac:dyDescent="0.3"/>
  <cols>
    <col min="2" max="2" width="20.33203125" bestFit="1" customWidth="1"/>
    <col min="3" max="3" width="11.21875" bestFit="1" customWidth="1"/>
    <col min="4" max="4" width="4.88671875" customWidth="1"/>
    <col min="5" max="5" width="20.33203125" bestFit="1" customWidth="1"/>
    <col min="6" max="6" width="12.109375" customWidth="1"/>
    <col min="7" max="7" width="5.44140625" customWidth="1"/>
  </cols>
  <sheetData>
    <row r="8" spans="2:4" ht="15" thickBot="1" x14ac:dyDescent="0.35"/>
    <row r="9" spans="2:4" ht="18.600000000000001" thickBot="1" x14ac:dyDescent="0.4">
      <c r="B9" s="54" t="s">
        <v>63</v>
      </c>
      <c r="C9" s="55" t="s">
        <v>62</v>
      </c>
    </row>
    <row r="12" spans="2:4" x14ac:dyDescent="0.3">
      <c r="B12" s="35" t="s">
        <v>59</v>
      </c>
      <c r="C12" s="35">
        <v>250</v>
      </c>
    </row>
    <row r="13" spans="2:4" x14ac:dyDescent="0.3">
      <c r="B13" s="35" t="s">
        <v>60</v>
      </c>
      <c r="C13" s="56">
        <f>C12/1.422</f>
        <v>175.80872011251759</v>
      </c>
    </row>
    <row r="15" spans="2:4" x14ac:dyDescent="0.3">
      <c r="B15" s="40" t="s">
        <v>61</v>
      </c>
      <c r="C15" s="41">
        <f>ROUNDDOWN(C13*0.8,0)</f>
        <v>140</v>
      </c>
      <c r="D15" s="38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6414-E51A-4BDB-9E43-839629B2E96D}">
  <dimension ref="A4:I45"/>
  <sheetViews>
    <sheetView tabSelected="1" zoomScaleNormal="100" zoomScalePageLayoutView="90" workbookViewId="0">
      <selection activeCell="G44" sqref="G44"/>
    </sheetView>
  </sheetViews>
  <sheetFormatPr baseColWidth="10" defaultRowHeight="14.4" x14ac:dyDescent="0.3"/>
  <cols>
    <col min="1" max="1" width="17.88671875" customWidth="1"/>
    <col min="2" max="2" width="18.6640625" customWidth="1"/>
    <col min="3" max="4" width="3" customWidth="1"/>
    <col min="5" max="5" width="7.77734375" customWidth="1"/>
    <col min="6" max="6" width="23.5546875" bestFit="1" customWidth="1"/>
    <col min="7" max="7" width="12" bestFit="1" customWidth="1"/>
    <col min="8" max="8" width="3.109375" customWidth="1"/>
    <col min="9" max="9" width="4.33203125" customWidth="1"/>
    <col min="10" max="10" width="5.109375" customWidth="1"/>
  </cols>
  <sheetData>
    <row r="4" spans="1:9" x14ac:dyDescent="0.3">
      <c r="A4" s="34" t="s">
        <v>66</v>
      </c>
      <c r="B4" s="35">
        <v>1000</v>
      </c>
      <c r="F4" s="34" t="s">
        <v>64</v>
      </c>
      <c r="G4" s="35">
        <f>B4-1</f>
        <v>999</v>
      </c>
    </row>
    <row r="5" spans="1:9" x14ac:dyDescent="0.3">
      <c r="A5" s="34" t="s">
        <v>65</v>
      </c>
      <c r="B5" s="35">
        <v>915</v>
      </c>
      <c r="F5" s="34" t="s">
        <v>67</v>
      </c>
      <c r="G5" s="35">
        <f>B5+10</f>
        <v>925</v>
      </c>
    </row>
    <row r="6" spans="1:9" x14ac:dyDescent="0.3">
      <c r="A6" s="34" t="s">
        <v>69</v>
      </c>
      <c r="B6" s="35">
        <v>850</v>
      </c>
      <c r="F6" s="34" t="s">
        <v>83</v>
      </c>
      <c r="G6" s="35">
        <f>B6*1.03</f>
        <v>875.5</v>
      </c>
    </row>
    <row r="7" spans="1:9" x14ac:dyDescent="0.3">
      <c r="A7" s="34" t="s">
        <v>68</v>
      </c>
      <c r="B7" s="35">
        <v>6.2</v>
      </c>
      <c r="F7" s="34" t="s">
        <v>70</v>
      </c>
      <c r="G7" s="35">
        <v>140</v>
      </c>
    </row>
    <row r="9" spans="1:9" x14ac:dyDescent="0.3">
      <c r="F9" s="50" t="s">
        <v>71</v>
      </c>
      <c r="G9" s="57">
        <f>G4-G5</f>
        <v>74</v>
      </c>
    </row>
    <row r="10" spans="1:9" ht="15" thickBot="1" x14ac:dyDescent="0.35"/>
    <row r="11" spans="1:9" ht="16.2" thickBot="1" x14ac:dyDescent="0.35">
      <c r="A11" s="73" t="s">
        <v>72</v>
      </c>
      <c r="B11" s="74"/>
    </row>
    <row r="12" spans="1:9" ht="15" thickBot="1" x14ac:dyDescent="0.35"/>
    <row r="13" spans="1:9" ht="15.6" x14ac:dyDescent="0.3">
      <c r="F13" s="76" t="s">
        <v>87</v>
      </c>
      <c r="G13" s="77"/>
      <c r="H13" s="37"/>
      <c r="I13" s="37"/>
    </row>
    <row r="14" spans="1:9" ht="15" thickBot="1" x14ac:dyDescent="0.35">
      <c r="F14" s="78" t="s">
        <v>77</v>
      </c>
      <c r="G14" s="79"/>
    </row>
    <row r="17" spans="1:7" x14ac:dyDescent="0.3">
      <c r="A17" s="34" t="s">
        <v>73</v>
      </c>
      <c r="B17" s="35">
        <f>(((1743.811*((B7)^1.852)*G6)/(((G7)^1.852)*(G9)))^(1/4.87))</f>
        <v>2.3503374010493356</v>
      </c>
    </row>
    <row r="18" spans="1:7" ht="15.6" x14ac:dyDescent="0.3">
      <c r="A18" s="48" t="s">
        <v>74</v>
      </c>
      <c r="B18" s="58">
        <f>ROUNDUP(B17,0)</f>
        <v>3</v>
      </c>
      <c r="C18" s="59" t="s">
        <v>76</v>
      </c>
      <c r="D18" s="42"/>
    </row>
    <row r="19" spans="1:7" ht="15" customHeight="1" x14ac:dyDescent="0.3">
      <c r="A19" s="48" t="s">
        <v>75</v>
      </c>
      <c r="B19" s="58">
        <f>ROUNDDOWN(B17,0)</f>
        <v>2</v>
      </c>
      <c r="C19" s="59" t="s">
        <v>76</v>
      </c>
      <c r="D19" s="42"/>
    </row>
    <row r="20" spans="1:7" ht="16.2" customHeight="1" x14ac:dyDescent="0.3">
      <c r="F20" s="36" t="s">
        <v>79</v>
      </c>
      <c r="G20" s="39">
        <f>(((1743.811*(($B$7)^1.852)*$G$6)/((($G$7)^1.852)*(B18)^4.87)))</f>
        <v>22.54526475384586</v>
      </c>
    </row>
    <row r="21" spans="1:7" ht="14.4" customHeight="1" thickBot="1" x14ac:dyDescent="0.35">
      <c r="F21" s="36" t="s">
        <v>80</v>
      </c>
      <c r="G21" s="39">
        <f>(((1743.811*(($B$7)^1.852)*$G$6)/((($G$7)^1.852)*(B19)^4.87)))</f>
        <v>162.41261960595136</v>
      </c>
    </row>
    <row r="22" spans="1:7" ht="14.4" customHeight="1" thickBot="1" x14ac:dyDescent="0.35">
      <c r="A22" s="73" t="s">
        <v>82</v>
      </c>
      <c r="B22" s="74"/>
      <c r="F22" s="48" t="s">
        <v>78</v>
      </c>
      <c r="G22" s="60">
        <f>G20</f>
        <v>22.54526475384586</v>
      </c>
    </row>
    <row r="23" spans="1:7" ht="15.6" x14ac:dyDescent="0.3">
      <c r="F23" s="48" t="s">
        <v>81</v>
      </c>
      <c r="G23" s="60">
        <f>G21</f>
        <v>162.41261960595136</v>
      </c>
    </row>
    <row r="25" spans="1:7" ht="15" thickBot="1" x14ac:dyDescent="0.35"/>
    <row r="26" spans="1:7" ht="16.2" thickBot="1" x14ac:dyDescent="0.35">
      <c r="F26" s="73" t="s">
        <v>88</v>
      </c>
      <c r="G26" s="74"/>
    </row>
    <row r="27" spans="1:7" x14ac:dyDescent="0.3">
      <c r="A27" s="49" t="s">
        <v>84</v>
      </c>
      <c r="B27" s="61">
        <f>G6*((G9-G22)/(G23-G22))</f>
        <v>322.08102280651525</v>
      </c>
    </row>
    <row r="28" spans="1:7" x14ac:dyDescent="0.3">
      <c r="A28" s="49" t="s">
        <v>85</v>
      </c>
      <c r="B28" s="61">
        <f>G6-B27</f>
        <v>553.41897719348481</v>
      </c>
    </row>
    <row r="31" spans="1:7" ht="15" thickBot="1" x14ac:dyDescent="0.35"/>
    <row r="32" spans="1:7" ht="16.2" thickBot="1" x14ac:dyDescent="0.35">
      <c r="A32" s="73" t="s">
        <v>90</v>
      </c>
      <c r="B32" s="74"/>
      <c r="F32" s="50" t="s">
        <v>86</v>
      </c>
      <c r="G32" s="61">
        <f>(((1743.811*(($B$7)^1.852)*B28)/((($G$7)^1.852)*(B18)^4.87)))</f>
        <v>14.251259121221814</v>
      </c>
    </row>
    <row r="33" spans="1:8" x14ac:dyDescent="0.3">
      <c r="F33" s="50" t="s">
        <v>89</v>
      </c>
      <c r="G33" s="61">
        <f>(((1743.811*(($B$7)^1.852)*B27)/((($G$7)^1.852)*(B19)^4.87)))</f>
        <v>59.748740878778186</v>
      </c>
    </row>
    <row r="35" spans="1:8" ht="15" thickBot="1" x14ac:dyDescent="0.35"/>
    <row r="36" spans="1:8" ht="16.2" thickBot="1" x14ac:dyDescent="0.35">
      <c r="F36" s="73" t="s">
        <v>91</v>
      </c>
      <c r="G36" s="74"/>
    </row>
    <row r="37" spans="1:8" x14ac:dyDescent="0.3">
      <c r="A37" s="50" t="str">
        <f>"TUBOS DE "&amp;B18&amp;C18</f>
        <v>TUBOS DE 3"</v>
      </c>
      <c r="B37" s="62">
        <f>ROUND(B28/6,0)</f>
        <v>92</v>
      </c>
      <c r="C37" s="47"/>
      <c r="D37" s="47"/>
    </row>
    <row r="38" spans="1:8" x14ac:dyDescent="0.3">
      <c r="A38" s="50" t="str">
        <f>"TUBOS DE "&amp;B19&amp;C19</f>
        <v>TUBOS DE 2"</v>
      </c>
      <c r="B38" s="62">
        <f>ROUND(B27/6,0)</f>
        <v>54</v>
      </c>
      <c r="C38" s="47"/>
      <c r="D38" s="47"/>
    </row>
    <row r="39" spans="1:8" x14ac:dyDescent="0.3">
      <c r="F39" s="34" t="str">
        <f>"LONGUITUD DE " &amp;B18&amp;C18</f>
        <v>LONGUITUD DE 3"</v>
      </c>
      <c r="G39" s="65" t="str">
        <f>B37*6 &amp; " m"</f>
        <v>552 m</v>
      </c>
    </row>
    <row r="40" spans="1:8" x14ac:dyDescent="0.3">
      <c r="F40" s="34" t="str">
        <f>"LONGUITUD DE " &amp;B19&amp;C19</f>
        <v>LONGUITUD DE 2"</v>
      </c>
      <c r="G40" s="65" t="str">
        <f>B38*6 &amp; " m"</f>
        <v>324 m</v>
      </c>
    </row>
    <row r="41" spans="1:8" ht="15" thickBot="1" x14ac:dyDescent="0.35"/>
    <row r="42" spans="1:8" ht="16.2" thickBot="1" x14ac:dyDescent="0.35">
      <c r="A42" s="73" t="s">
        <v>92</v>
      </c>
      <c r="B42" s="75"/>
      <c r="C42" s="75"/>
      <c r="D42" s="75"/>
      <c r="E42" s="75"/>
      <c r="F42" s="75"/>
      <c r="G42" s="75"/>
      <c r="H42" s="74"/>
    </row>
    <row r="44" spans="1:8" ht="15" thickBot="1" x14ac:dyDescent="0.35">
      <c r="E44" s="63">
        <f>G4-G32</f>
        <v>984.74874087877822</v>
      </c>
    </row>
    <row r="45" spans="1:8" ht="16.2" thickBot="1" x14ac:dyDescent="0.35">
      <c r="E45" s="64">
        <f>E44-G33</f>
        <v>925</v>
      </c>
    </row>
  </sheetData>
  <mergeCells count="8">
    <mergeCell ref="F36:G36"/>
    <mergeCell ref="A32:B32"/>
    <mergeCell ref="A42:H42"/>
    <mergeCell ref="A11:B11"/>
    <mergeCell ref="F13:G13"/>
    <mergeCell ref="F14:G14"/>
    <mergeCell ref="A22:B22"/>
    <mergeCell ref="F26:G2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7BBA-87B9-46D1-B6E3-AABF9397BD87}">
  <dimension ref="A2:H27"/>
  <sheetViews>
    <sheetView view="pageLayout" topLeftCell="A22" zoomScaleNormal="140" workbookViewId="0">
      <selection activeCell="A45" sqref="A45"/>
    </sheetView>
  </sheetViews>
  <sheetFormatPr baseColWidth="10" defaultRowHeight="14.4" x14ac:dyDescent="0.3"/>
  <cols>
    <col min="1" max="1" width="21.109375" customWidth="1"/>
    <col min="2" max="2" width="6.5546875" bestFit="1" customWidth="1"/>
    <col min="3" max="4" width="4.6640625" customWidth="1"/>
    <col min="5" max="5" width="14.6640625" bestFit="1" customWidth="1"/>
    <col min="6" max="6" width="19.109375" bestFit="1" customWidth="1"/>
    <col min="7" max="7" width="5.44140625" bestFit="1" customWidth="1"/>
  </cols>
  <sheetData>
    <row r="2" spans="1:8" x14ac:dyDescent="0.3">
      <c r="A2" s="34" t="s">
        <v>94</v>
      </c>
      <c r="B2" s="35">
        <v>1000</v>
      </c>
    </row>
    <row r="3" spans="1:8" ht="15" thickBot="1" x14ac:dyDescent="0.35">
      <c r="A3" s="34" t="s">
        <v>95</v>
      </c>
      <c r="B3" s="35">
        <v>420</v>
      </c>
    </row>
    <row r="4" spans="1:8" ht="16.2" thickBot="1" x14ac:dyDescent="0.35">
      <c r="A4" s="34" t="s">
        <v>96</v>
      </c>
      <c r="B4" s="35">
        <v>940</v>
      </c>
      <c r="D4" s="73" t="s">
        <v>102</v>
      </c>
      <c r="E4" s="75"/>
      <c r="F4" s="75"/>
      <c r="G4" s="75"/>
      <c r="H4" s="74"/>
    </row>
    <row r="5" spans="1:8" x14ac:dyDescent="0.3">
      <c r="D5" s="68">
        <f>$B$2-B8</f>
        <v>910</v>
      </c>
      <c r="E5" s="68" t="s">
        <v>103</v>
      </c>
      <c r="F5" s="68" t="str">
        <f xml:space="preserve"> IF($B$3&lt;D5,A8)</f>
        <v>PVC 160 PSI</v>
      </c>
      <c r="G5" s="68" t="s">
        <v>104</v>
      </c>
      <c r="H5" s="68">
        <f>B2-D5</f>
        <v>90</v>
      </c>
    </row>
    <row r="6" spans="1:8" x14ac:dyDescent="0.3">
      <c r="D6" s="35">
        <f>$B$2-B9</f>
        <v>860</v>
      </c>
      <c r="E6" s="35" t="s">
        <v>103</v>
      </c>
      <c r="F6" s="35" t="str">
        <f xml:space="preserve"> IF($B$3&lt;D6,A9)</f>
        <v xml:space="preserve">PVC 250 PSI </v>
      </c>
      <c r="G6" s="35" t="s">
        <v>104</v>
      </c>
      <c r="H6" s="35">
        <f>D5-D6</f>
        <v>50</v>
      </c>
    </row>
    <row r="7" spans="1:8" x14ac:dyDescent="0.3">
      <c r="A7" s="67" t="s">
        <v>101</v>
      </c>
      <c r="B7" s="67" t="s">
        <v>60</v>
      </c>
      <c r="D7" s="71">
        <f>$B$2-B10</f>
        <v>600</v>
      </c>
      <c r="E7" s="71" t="s">
        <v>103</v>
      </c>
      <c r="F7" s="71" t="str">
        <f xml:space="preserve"> IF($B$3&lt;D7&gt;=(B2-B10),A10)</f>
        <v>HG LIVIANO</v>
      </c>
      <c r="G7" s="71" t="s">
        <v>105</v>
      </c>
      <c r="H7" s="71">
        <v>0</v>
      </c>
    </row>
    <row r="8" spans="1:8" x14ac:dyDescent="0.3">
      <c r="A8" s="35" t="s">
        <v>97</v>
      </c>
      <c r="B8" s="66">
        <v>90</v>
      </c>
      <c r="D8" s="35">
        <f>$B$2-B11</f>
        <v>300</v>
      </c>
      <c r="E8" s="35" t="s">
        <v>103</v>
      </c>
      <c r="F8" s="35" t="str">
        <f xml:space="preserve"> IF($B$3&lt;D8&gt;=(B3-B11),A11)</f>
        <v>HG MEDIANO</v>
      </c>
      <c r="G8" s="35" t="s">
        <v>104</v>
      </c>
      <c r="H8" s="35">
        <f>D6-B3</f>
        <v>440</v>
      </c>
    </row>
    <row r="9" spans="1:8" x14ac:dyDescent="0.3">
      <c r="A9" s="35" t="s">
        <v>98</v>
      </c>
      <c r="B9" s="66">
        <v>140</v>
      </c>
      <c r="D9" s="71">
        <f>$B$2-B12</f>
        <v>100</v>
      </c>
      <c r="E9" s="71" t="s">
        <v>103</v>
      </c>
      <c r="F9" s="71" t="str">
        <f xml:space="preserve"> IF($B$3&lt;D9&gt;=(B4-B12),A12)</f>
        <v>HG PESADO</v>
      </c>
      <c r="G9" s="71" t="s">
        <v>105</v>
      </c>
      <c r="H9" s="71">
        <v>0</v>
      </c>
    </row>
    <row r="10" spans="1:8" x14ac:dyDescent="0.3">
      <c r="A10" s="35" t="s">
        <v>106</v>
      </c>
      <c r="B10" s="66">
        <v>400</v>
      </c>
    </row>
    <row r="11" spans="1:8" x14ac:dyDescent="0.3">
      <c r="A11" s="35" t="s">
        <v>99</v>
      </c>
      <c r="B11" s="66">
        <v>700</v>
      </c>
    </row>
    <row r="12" spans="1:8" x14ac:dyDescent="0.3">
      <c r="A12" s="35" t="s">
        <v>100</v>
      </c>
      <c r="B12" s="66">
        <v>900</v>
      </c>
      <c r="F12" s="35" t="str">
        <f>F5</f>
        <v>PVC 160 PSI</v>
      </c>
      <c r="G12" s="35">
        <f>H5+(B4-D5)</f>
        <v>120</v>
      </c>
    </row>
    <row r="13" spans="1:8" x14ac:dyDescent="0.3">
      <c r="F13" s="35" t="str">
        <f>F6</f>
        <v xml:space="preserve">PVC 250 PSI </v>
      </c>
      <c r="G13" s="35">
        <f>H6*2</f>
        <v>100</v>
      </c>
    </row>
    <row r="14" spans="1:8" x14ac:dyDescent="0.3">
      <c r="F14" s="71" t="str">
        <f>F7</f>
        <v>HG LIVIANO</v>
      </c>
      <c r="G14" s="71">
        <v>0</v>
      </c>
    </row>
    <row r="15" spans="1:8" x14ac:dyDescent="0.3">
      <c r="F15" s="35" t="str">
        <f>F8</f>
        <v>HG MEDIANO</v>
      </c>
      <c r="G15" s="35">
        <f>H8*2</f>
        <v>880</v>
      </c>
    </row>
    <row r="16" spans="1:8" x14ac:dyDescent="0.3">
      <c r="F16" s="72" t="s">
        <v>100</v>
      </c>
      <c r="G16" s="72">
        <v>0</v>
      </c>
    </row>
    <row r="17" spans="1:7" ht="16.2" thickBot="1" x14ac:dyDescent="0.35">
      <c r="F17" s="69" t="s">
        <v>107</v>
      </c>
      <c r="G17" s="70">
        <f>SUM(G12:G15)</f>
        <v>1100</v>
      </c>
    </row>
    <row r="18" spans="1:7" ht="15" thickBot="1" x14ac:dyDescent="0.35"/>
    <row r="19" spans="1:7" ht="16.2" thickBot="1" x14ac:dyDescent="0.35">
      <c r="A19" s="73" t="s">
        <v>108</v>
      </c>
      <c r="B19" s="75"/>
      <c r="C19" s="74"/>
    </row>
    <row r="20" spans="1:7" x14ac:dyDescent="0.3">
      <c r="F20" s="35" t="s">
        <v>110</v>
      </c>
      <c r="G20" s="33">
        <v>140</v>
      </c>
    </row>
    <row r="21" spans="1:7" x14ac:dyDescent="0.3">
      <c r="A21" s="50" t="s">
        <v>37</v>
      </c>
      <c r="B21" s="45">
        <f>((G12+G13)/$G$17)*100</f>
        <v>20</v>
      </c>
      <c r="C21" s="46" t="s">
        <v>12</v>
      </c>
      <c r="F21" s="35" t="s">
        <v>111</v>
      </c>
      <c r="G21" s="33">
        <v>110</v>
      </c>
    </row>
    <row r="22" spans="1:7" x14ac:dyDescent="0.3">
      <c r="A22" s="50" t="s">
        <v>109</v>
      </c>
      <c r="B22" s="43">
        <f>((G14+G15)/$G$17)*100</f>
        <v>80</v>
      </c>
      <c r="C22" s="44" t="s">
        <v>12</v>
      </c>
      <c r="F22" s="35" t="s">
        <v>112</v>
      </c>
      <c r="G22" s="33">
        <f>G20-G21</f>
        <v>30</v>
      </c>
    </row>
    <row r="23" spans="1:7" ht="15" thickBot="1" x14ac:dyDescent="0.35"/>
    <row r="24" spans="1:7" ht="16.2" thickBot="1" x14ac:dyDescent="0.35">
      <c r="A24" s="73" t="s">
        <v>113</v>
      </c>
      <c r="B24" s="75"/>
      <c r="C24" s="74"/>
    </row>
    <row r="26" spans="1:7" x14ac:dyDescent="0.3">
      <c r="B26" s="57">
        <f>G22*(B22/100)</f>
        <v>24</v>
      </c>
    </row>
    <row r="27" spans="1:7" x14ac:dyDescent="0.3">
      <c r="A27" s="50" t="s">
        <v>114</v>
      </c>
      <c r="B27" s="61">
        <f>G20-B26</f>
        <v>116</v>
      </c>
    </row>
  </sheetData>
  <mergeCells count="3">
    <mergeCell ref="A19:C19"/>
    <mergeCell ref="A24:C24"/>
    <mergeCell ref="D4:H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3849-BF1E-476E-B6A9-C16C18716EEB}">
  <dimension ref="B4:M23"/>
  <sheetViews>
    <sheetView topLeftCell="A4" zoomScale="120" zoomScaleNormal="120" workbookViewId="0">
      <selection activeCell="S14" sqref="S14"/>
    </sheetView>
  </sheetViews>
  <sheetFormatPr baseColWidth="10" defaultRowHeight="14.4" x14ac:dyDescent="0.3"/>
  <cols>
    <col min="3" max="6" width="11.5546875" customWidth="1"/>
    <col min="7" max="7" width="12.33203125" customWidth="1"/>
    <col min="8" max="8" width="12.6640625" customWidth="1"/>
    <col min="9" max="11" width="11.5546875" customWidth="1"/>
    <col min="12" max="12" width="21.88671875" customWidth="1"/>
  </cols>
  <sheetData>
    <row r="4" spans="2:13" ht="43.2" x14ac:dyDescent="0.3">
      <c r="B4" s="23" t="s">
        <v>0</v>
      </c>
      <c r="C4" s="23" t="s">
        <v>2</v>
      </c>
      <c r="D4" s="23" t="s">
        <v>1</v>
      </c>
      <c r="E4" s="23" t="s">
        <v>3</v>
      </c>
      <c r="F4" s="23" t="s">
        <v>4</v>
      </c>
      <c r="G4" s="23" t="s">
        <v>16</v>
      </c>
      <c r="H4" s="23" t="s">
        <v>17</v>
      </c>
      <c r="I4" s="23" t="s">
        <v>19</v>
      </c>
      <c r="J4" s="23" t="s">
        <v>5</v>
      </c>
      <c r="K4" s="23" t="s">
        <v>6</v>
      </c>
      <c r="L4" s="3" t="s">
        <v>7</v>
      </c>
    </row>
    <row r="5" spans="2:13" x14ac:dyDescent="0.3">
      <c r="B5" s="2">
        <v>1</v>
      </c>
      <c r="C5" s="2">
        <v>38</v>
      </c>
      <c r="D5" s="2">
        <f t="shared" ref="D5:D11" si="0">C5*$E$16</f>
        <v>228</v>
      </c>
      <c r="E5" s="5">
        <f t="shared" ref="E5:F11" si="1">C5*$E$19</f>
        <v>64.6886499088275</v>
      </c>
      <c r="F5" s="5">
        <f t="shared" si="1"/>
        <v>388.131899452965</v>
      </c>
      <c r="G5" s="5">
        <v>120</v>
      </c>
      <c r="H5" s="4">
        <f>F5*G5/86400</f>
        <v>0.53907208257356254</v>
      </c>
      <c r="I5" s="4">
        <f t="shared" ref="I5:I12" si="2">H5*$E$20</f>
        <v>0.646886499088275</v>
      </c>
      <c r="J5" s="4">
        <f t="shared" ref="J5:J11" si="3">H5*$E$22</f>
        <v>1.0781441651471251</v>
      </c>
      <c r="K5" s="12">
        <f>0.2*(SQRT(E5-1))</f>
        <v>1.5961033789680104</v>
      </c>
      <c r="L5" s="2"/>
      <c r="M5" s="1"/>
    </row>
    <row r="6" spans="2:13" x14ac:dyDescent="0.3">
      <c r="B6" s="2">
        <v>2</v>
      </c>
      <c r="C6" s="2">
        <v>121</v>
      </c>
      <c r="D6" s="2">
        <f t="shared" si="0"/>
        <v>726</v>
      </c>
      <c r="E6" s="5">
        <f t="shared" si="1"/>
        <v>205.98227997284545</v>
      </c>
      <c r="F6" s="5">
        <f t="shared" si="1"/>
        <v>1235.8936798370728</v>
      </c>
      <c r="G6" s="5">
        <v>120</v>
      </c>
      <c r="H6" s="4">
        <f>F6*G6/86400</f>
        <v>1.716518999773712</v>
      </c>
      <c r="I6" s="4">
        <f t="shared" si="2"/>
        <v>2.0598227997284542</v>
      </c>
      <c r="J6" s="4">
        <f t="shared" si="3"/>
        <v>3.4330379995474241</v>
      </c>
      <c r="K6" s="12">
        <f>0.2*(SQRT(E6-1))</f>
        <v>2.8634404479426174</v>
      </c>
      <c r="L6" s="2"/>
      <c r="M6" s="1"/>
    </row>
    <row r="7" spans="2:13" x14ac:dyDescent="0.3">
      <c r="B7" s="2">
        <v>3</v>
      </c>
      <c r="C7" s="2">
        <v>39</v>
      </c>
      <c r="D7" s="2">
        <f t="shared" si="0"/>
        <v>234</v>
      </c>
      <c r="E7" s="5">
        <f t="shared" si="1"/>
        <v>66.390982801165066</v>
      </c>
      <c r="F7" s="5">
        <f t="shared" si="1"/>
        <v>398.34589680699037</v>
      </c>
      <c r="G7" s="5">
        <v>120</v>
      </c>
      <c r="H7" s="4">
        <f t="shared" ref="H7:H11" si="4">F7*G7/86400</f>
        <v>0.55325819000970888</v>
      </c>
      <c r="I7" s="4">
        <f t="shared" si="2"/>
        <v>0.66390982801165066</v>
      </c>
      <c r="J7" s="4">
        <f t="shared" si="3"/>
        <v>1.1065163800194178</v>
      </c>
      <c r="K7" s="12">
        <f t="shared" ref="K7:K11" si="5">0.2*(SQRT(E7-1))</f>
        <v>1.6172938236593257</v>
      </c>
      <c r="L7" s="2"/>
      <c r="M7" s="1"/>
    </row>
    <row r="8" spans="2:13" x14ac:dyDescent="0.3">
      <c r="B8" s="2">
        <v>4</v>
      </c>
      <c r="C8" s="2">
        <v>62</v>
      </c>
      <c r="D8" s="2">
        <f t="shared" si="0"/>
        <v>372</v>
      </c>
      <c r="E8" s="5">
        <f t="shared" si="1"/>
        <v>105.54463932492908</v>
      </c>
      <c r="F8" s="5">
        <f t="shared" si="1"/>
        <v>633.26783594957442</v>
      </c>
      <c r="G8" s="5">
        <v>120</v>
      </c>
      <c r="H8" s="4">
        <f t="shared" si="4"/>
        <v>0.87953866104107559</v>
      </c>
      <c r="I8" s="4">
        <f t="shared" si="2"/>
        <v>1.0554463932492906</v>
      </c>
      <c r="J8" s="4">
        <f t="shared" si="3"/>
        <v>1.7590773220821512</v>
      </c>
      <c r="K8" s="12">
        <f t="shared" si="5"/>
        <v>2.0449414595526112</v>
      </c>
      <c r="L8" s="2"/>
      <c r="M8" s="1"/>
    </row>
    <row r="9" spans="2:13" x14ac:dyDescent="0.3">
      <c r="B9" s="2">
        <v>5</v>
      </c>
      <c r="C9" s="2">
        <v>50</v>
      </c>
      <c r="D9" s="2">
        <f t="shared" si="0"/>
        <v>300</v>
      </c>
      <c r="E9" s="5">
        <f t="shared" si="1"/>
        <v>85.11664461687829</v>
      </c>
      <c r="F9" s="5">
        <f t="shared" si="1"/>
        <v>510.69986770126974</v>
      </c>
      <c r="G9" s="5">
        <v>120</v>
      </c>
      <c r="H9" s="4">
        <f t="shared" si="4"/>
        <v>0.70930537180731912</v>
      </c>
      <c r="I9" s="4">
        <f t="shared" si="2"/>
        <v>0.8511664461687829</v>
      </c>
      <c r="J9" s="4">
        <f t="shared" si="3"/>
        <v>1.4186107436146382</v>
      </c>
      <c r="K9" s="12">
        <f t="shared" si="5"/>
        <v>1.8343025335737648</v>
      </c>
      <c r="L9" s="2"/>
      <c r="M9" s="1"/>
    </row>
    <row r="10" spans="2:13" x14ac:dyDescent="0.3">
      <c r="B10" s="2">
        <v>6</v>
      </c>
      <c r="C10" s="2">
        <v>74</v>
      </c>
      <c r="D10" s="2">
        <f t="shared" si="0"/>
        <v>444</v>
      </c>
      <c r="E10" s="5">
        <f t="shared" si="1"/>
        <v>125.97263403297987</v>
      </c>
      <c r="F10" s="5">
        <f t="shared" si="1"/>
        <v>755.83580419787927</v>
      </c>
      <c r="G10" s="5">
        <v>120</v>
      </c>
      <c r="H10" s="4">
        <f t="shared" si="4"/>
        <v>1.0497719502748324</v>
      </c>
      <c r="I10" s="4">
        <f t="shared" si="2"/>
        <v>1.2597263403297989</v>
      </c>
      <c r="J10" s="4">
        <f t="shared" si="3"/>
        <v>2.0995439005496648</v>
      </c>
      <c r="K10" s="12">
        <f t="shared" si="5"/>
        <v>2.2358231954515531</v>
      </c>
      <c r="L10" s="2"/>
      <c r="M10" s="1"/>
    </row>
    <row r="11" spans="2:13" x14ac:dyDescent="0.3">
      <c r="B11" s="2">
        <v>7</v>
      </c>
      <c r="C11" s="2">
        <v>114</v>
      </c>
      <c r="D11" s="2">
        <f t="shared" si="0"/>
        <v>684</v>
      </c>
      <c r="E11" s="5">
        <f t="shared" si="1"/>
        <v>194.0659497264825</v>
      </c>
      <c r="F11" s="5">
        <f t="shared" si="1"/>
        <v>1164.3956983588951</v>
      </c>
      <c r="G11" s="5">
        <v>120</v>
      </c>
      <c r="H11" s="4">
        <f t="shared" si="4"/>
        <v>1.6172162477206877</v>
      </c>
      <c r="I11" s="4">
        <f t="shared" si="2"/>
        <v>1.9406594972648252</v>
      </c>
      <c r="J11" s="4">
        <f t="shared" si="3"/>
        <v>3.2344324954413755</v>
      </c>
      <c r="K11" s="12">
        <f t="shared" si="5"/>
        <v>2.7789634738620261</v>
      </c>
      <c r="L11" s="2"/>
      <c r="M11" s="1"/>
    </row>
    <row r="12" spans="2:13" x14ac:dyDescent="0.3">
      <c r="C12" s="1"/>
      <c r="D12" s="1"/>
      <c r="E12" s="1"/>
      <c r="F12" s="14">
        <f>SUM(F5:F11)</f>
        <v>5086.5706823046467</v>
      </c>
      <c r="G12" s="1"/>
      <c r="H12" s="8">
        <f>SUM(H5:H11)</f>
        <v>7.064681503200898</v>
      </c>
      <c r="I12" s="7">
        <f t="shared" si="2"/>
        <v>8.4776178038410777</v>
      </c>
      <c r="J12" s="1"/>
      <c r="K12" s="1"/>
      <c r="L12" s="1"/>
      <c r="M12" s="1"/>
    </row>
    <row r="13" spans="2:13" x14ac:dyDescent="0.3">
      <c r="C13" s="1"/>
      <c r="D13" s="1"/>
      <c r="E13" s="1"/>
      <c r="F13" s="1"/>
      <c r="G13" s="1"/>
      <c r="H13" s="1">
        <f>H12*86.4</f>
        <v>610.38848187655765</v>
      </c>
      <c r="I13" s="1"/>
      <c r="J13" s="1"/>
      <c r="K13" s="1"/>
      <c r="L13" s="1"/>
      <c r="M13" s="1"/>
    </row>
    <row r="14" spans="2:13" x14ac:dyDescent="0.3">
      <c r="B14" t="s">
        <v>8</v>
      </c>
      <c r="C14" s="1"/>
      <c r="D14" s="1"/>
      <c r="E14" s="1"/>
      <c r="F14" s="1"/>
      <c r="G14" s="1"/>
      <c r="H14" s="15">
        <f>H13*0.25</f>
        <v>152.59712046913941</v>
      </c>
      <c r="I14" s="1"/>
      <c r="J14" s="1"/>
      <c r="K14" s="1"/>
      <c r="L14" s="1"/>
      <c r="M14" s="1"/>
    </row>
    <row r="15" spans="2:13" x14ac:dyDescent="0.3">
      <c r="C15" s="1"/>
      <c r="D15" s="1"/>
      <c r="E15" s="1"/>
      <c r="F15" s="1"/>
      <c r="G15" s="1"/>
      <c r="H15" s="16">
        <f>H13*0.4</f>
        <v>244.15539275062307</v>
      </c>
      <c r="I15" s="1"/>
      <c r="J15" s="1"/>
      <c r="K15" s="1"/>
      <c r="L15" s="1"/>
      <c r="M15" s="1"/>
    </row>
    <row r="16" spans="2:13" x14ac:dyDescent="0.3">
      <c r="B16" t="s">
        <v>9</v>
      </c>
      <c r="E16" s="1">
        <v>6</v>
      </c>
      <c r="F16" s="1" t="s">
        <v>10</v>
      </c>
    </row>
    <row r="17" spans="2:9" x14ac:dyDescent="0.3">
      <c r="B17" t="s">
        <v>11</v>
      </c>
      <c r="E17" s="1">
        <v>2.34</v>
      </c>
      <c r="F17" s="1" t="s">
        <v>12</v>
      </c>
    </row>
    <row r="18" spans="2:9" x14ac:dyDescent="0.3">
      <c r="B18" t="s">
        <v>13</v>
      </c>
      <c r="E18" s="1">
        <v>23</v>
      </c>
      <c r="F18" s="1" t="s">
        <v>14</v>
      </c>
      <c r="H18" s="9">
        <v>0.25</v>
      </c>
      <c r="I18" s="6">
        <f>H18*H15</f>
        <v>61.038848187655766</v>
      </c>
    </row>
    <row r="19" spans="2:9" x14ac:dyDescent="0.3">
      <c r="B19" t="s">
        <v>15</v>
      </c>
      <c r="E19" s="13">
        <f>POWER(((E17/100)+1),E18)</f>
        <v>1.7023328923375658</v>
      </c>
      <c r="F19" s="1"/>
      <c r="H19" s="10">
        <v>0.4</v>
      </c>
      <c r="I19" s="11">
        <f>H19*H15</f>
        <v>97.662157100249232</v>
      </c>
    </row>
    <row r="20" spans="2:9" x14ac:dyDescent="0.3">
      <c r="B20" t="s">
        <v>18</v>
      </c>
      <c r="E20" s="1">
        <v>1.2</v>
      </c>
      <c r="F20" s="1"/>
    </row>
    <row r="21" spans="2:9" x14ac:dyDescent="0.3">
      <c r="B21" t="s">
        <v>20</v>
      </c>
      <c r="E21" s="1">
        <v>244</v>
      </c>
      <c r="F21" s="1" t="s">
        <v>21</v>
      </c>
    </row>
    <row r="22" spans="2:9" x14ac:dyDescent="0.3">
      <c r="B22" t="s">
        <v>22</v>
      </c>
      <c r="E22" s="1">
        <v>2</v>
      </c>
      <c r="F22" s="1"/>
    </row>
    <row r="23" spans="2:9" x14ac:dyDescent="0.3">
      <c r="E23" s="1"/>
      <c r="F23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7985-7175-42C4-A940-076F340350E0}">
  <dimension ref="B2:P14"/>
  <sheetViews>
    <sheetView topLeftCell="A13" zoomScaleNormal="100" workbookViewId="0">
      <selection activeCell="T13" sqref="T13"/>
    </sheetView>
  </sheetViews>
  <sheetFormatPr baseColWidth="10" defaultColWidth="11.44140625" defaultRowHeight="14.4" x14ac:dyDescent="0.3"/>
  <cols>
    <col min="1" max="1" width="6.33203125" style="17" customWidth="1"/>
    <col min="2" max="3" width="7.6640625" style="17" customWidth="1"/>
    <col min="4" max="4" width="12.6640625" style="17" customWidth="1"/>
    <col min="5" max="5" width="14.6640625" style="17" customWidth="1"/>
    <col min="6" max="6" width="19.33203125" style="17" customWidth="1"/>
    <col min="7" max="7" width="27.109375" style="17" customWidth="1"/>
    <col min="8" max="8" width="17.88671875" style="17" bestFit="1" customWidth="1"/>
    <col min="9" max="9" width="21.6640625" style="17" customWidth="1"/>
    <col min="10" max="10" width="15" style="17" customWidth="1"/>
    <col min="11" max="11" width="15.88671875" style="17" customWidth="1"/>
    <col min="12" max="12" width="14.88671875" style="17" customWidth="1"/>
    <col min="13" max="14" width="12.6640625" style="17" hidden="1" customWidth="1"/>
    <col min="15" max="15" width="14.6640625" style="17" hidden="1" customWidth="1"/>
    <col min="16" max="16" width="24.44140625" style="17" customWidth="1"/>
    <col min="17" max="16384" width="11.44140625" style="17"/>
  </cols>
  <sheetData>
    <row r="2" spans="2:16" ht="15.6" x14ac:dyDescent="0.3">
      <c r="D2" s="18"/>
      <c r="E2" s="18"/>
      <c r="F2" s="18"/>
      <c r="G2" s="18"/>
      <c r="H2" s="18"/>
      <c r="I2" s="18"/>
      <c r="J2" s="18"/>
      <c r="K2" s="18"/>
      <c r="L2" s="18"/>
      <c r="M2" s="19"/>
      <c r="N2" s="19"/>
      <c r="O2" s="20"/>
      <c r="P2"/>
    </row>
    <row r="3" spans="2:16" ht="20.399999999999999" x14ac:dyDescent="0.3">
      <c r="B3" s="27"/>
      <c r="C3" s="25"/>
      <c r="D3" s="80" t="s">
        <v>23</v>
      </c>
      <c r="E3" s="80" t="s">
        <v>24</v>
      </c>
      <c r="F3" s="80" t="s">
        <v>25</v>
      </c>
      <c r="G3" s="80" t="s">
        <v>26</v>
      </c>
      <c r="H3" s="80" t="s">
        <v>27</v>
      </c>
      <c r="I3" s="80" t="s">
        <v>28</v>
      </c>
      <c r="J3" s="80" t="s">
        <v>29</v>
      </c>
      <c r="K3" s="82" t="s">
        <v>30</v>
      </c>
      <c r="L3" s="82"/>
      <c r="M3" s="82"/>
      <c r="N3" s="82"/>
      <c r="O3" s="82"/>
      <c r="P3" s="82"/>
    </row>
    <row r="4" spans="2:16" ht="61.2" x14ac:dyDescent="0.35">
      <c r="B4" s="28" t="s">
        <v>38</v>
      </c>
      <c r="C4" s="26" t="s">
        <v>39</v>
      </c>
      <c r="D4" s="81"/>
      <c r="E4" s="81"/>
      <c r="F4" s="81"/>
      <c r="G4" s="81"/>
      <c r="H4" s="81"/>
      <c r="I4" s="81"/>
      <c r="J4" s="81"/>
      <c r="K4" s="24" t="s">
        <v>31</v>
      </c>
      <c r="L4" s="24" t="s">
        <v>32</v>
      </c>
      <c r="M4" s="24" t="s">
        <v>33</v>
      </c>
      <c r="N4" s="24" t="s">
        <v>34</v>
      </c>
      <c r="O4" s="24" t="s">
        <v>35</v>
      </c>
      <c r="P4" s="24" t="s">
        <v>36</v>
      </c>
    </row>
    <row r="5" spans="2:16" ht="20.399999999999999" x14ac:dyDescent="0.3">
      <c r="B5" s="29" t="s">
        <v>39</v>
      </c>
      <c r="C5" s="29" t="s">
        <v>40</v>
      </c>
      <c r="D5" s="22">
        <v>15.44</v>
      </c>
      <c r="E5" s="22">
        <v>2070</v>
      </c>
      <c r="F5" s="22" t="s">
        <v>37</v>
      </c>
      <c r="G5" s="22">
        <v>160</v>
      </c>
      <c r="H5" s="21">
        <v>140</v>
      </c>
      <c r="I5" s="21">
        <v>3</v>
      </c>
      <c r="J5" s="22">
        <f>(POWER(((1743.811*(POWER(D5,1.852))*E5)/(POWER(H5,1.852)*(I5))),(1/4.87)))</f>
        <v>7.6632604840620333</v>
      </c>
      <c r="K5" s="30">
        <v>8</v>
      </c>
      <c r="L5" s="22">
        <f>((1743.811*(POWER(D5,1.852))*E5)/(POWER(H5,1.852)*(POWER(K5,4.87))))</f>
        <v>2.433140523029905</v>
      </c>
      <c r="M5" s="22">
        <v>1907.67</v>
      </c>
      <c r="N5" s="22" t="e">
        <f>+#REF!-L5</f>
        <v>#REF!</v>
      </c>
      <c r="O5" s="22" t="e">
        <f>+N5-M5</f>
        <v>#REF!</v>
      </c>
      <c r="P5" s="22">
        <f>(D5/1000)/((3.1416/4)*((K5*0.0254)*(K5*0.0254)))</f>
        <v>0.47611185112871879</v>
      </c>
    </row>
    <row r="6" spans="2:16" ht="20.399999999999999" x14ac:dyDescent="0.3">
      <c r="B6" s="29" t="s">
        <v>40</v>
      </c>
      <c r="C6" s="29" t="s">
        <v>46</v>
      </c>
      <c r="D6" s="22">
        <v>5.08</v>
      </c>
      <c r="E6" s="22">
        <f>1250/2</f>
        <v>625</v>
      </c>
      <c r="F6" s="22" t="s">
        <v>37</v>
      </c>
      <c r="G6" s="22">
        <v>160</v>
      </c>
      <c r="H6" s="21">
        <v>140</v>
      </c>
      <c r="I6" s="21">
        <v>3</v>
      </c>
      <c r="J6" s="22">
        <f>(POWER(((1743.811*(POWER(D6,1.852))*E6)/(POWER(H6,1.852)*(I6))),(1/4.87)))</f>
        <v>3.9266510614337258</v>
      </c>
      <c r="K6" s="30">
        <v>4</v>
      </c>
      <c r="L6" s="22">
        <f>((1743.811*(POWER(D6,1.852))*E6)/(POWER(H6,1.852)*(POWER(K6,4.87))))</f>
        <v>2.7414336895376104</v>
      </c>
      <c r="M6" s="22">
        <v>999.2</v>
      </c>
      <c r="N6" s="22" t="e">
        <f>+N5-#REF!</f>
        <v>#REF!</v>
      </c>
      <c r="O6" s="22" t="e">
        <f>+#REF!-M6</f>
        <v>#REF!</v>
      </c>
      <c r="P6" s="22">
        <f>(D6/1000)/((3.1416/4)*((K6*0.0254)*(K6*0.0254)))</f>
        <v>0.62659279889479058</v>
      </c>
    </row>
    <row r="7" spans="2:16" ht="20.399999999999999" x14ac:dyDescent="0.3">
      <c r="B7" s="29" t="s">
        <v>46</v>
      </c>
      <c r="C7" s="29" t="s">
        <v>27</v>
      </c>
      <c r="D7" s="22">
        <v>5.08</v>
      </c>
      <c r="E7" s="22">
        <f>1250/2</f>
        <v>625</v>
      </c>
      <c r="F7" s="22" t="s">
        <v>37</v>
      </c>
      <c r="G7" s="22">
        <v>160</v>
      </c>
      <c r="H7" s="21">
        <v>140</v>
      </c>
      <c r="I7" s="21">
        <v>3</v>
      </c>
      <c r="J7" s="22">
        <f>(POWER(((1743.811*(POWER(D7,1.852))*E7)/(POWER(H7,1.852)*(I7))),(1/4.87)))</f>
        <v>3.9266510614337258</v>
      </c>
      <c r="K7" s="30">
        <v>4</v>
      </c>
      <c r="L7" s="22">
        <f>((1743.811*(POWER(D7,1.852))*E7)/(POWER(H7,1.852)*(POWER(K7,4.87))))</f>
        <v>2.7414336895376104</v>
      </c>
      <c r="M7" s="22"/>
      <c r="N7" s="22"/>
      <c r="O7" s="22"/>
      <c r="P7" s="22">
        <f>(D7/1000)/((3.1416/4)*((K7*0.0254)*(K7*0.0254)))</f>
        <v>0.62659279889479058</v>
      </c>
    </row>
    <row r="8" spans="2:16" ht="20.399999999999999" x14ac:dyDescent="0.3">
      <c r="B8" s="29" t="s">
        <v>27</v>
      </c>
      <c r="C8" s="29" t="s">
        <v>41</v>
      </c>
      <c r="D8" s="22">
        <v>2.04</v>
      </c>
      <c r="E8" s="22">
        <v>570</v>
      </c>
      <c r="F8" s="22" t="s">
        <v>37</v>
      </c>
      <c r="G8" s="22">
        <v>160</v>
      </c>
      <c r="H8" s="21">
        <v>140</v>
      </c>
      <c r="I8" s="21">
        <v>3</v>
      </c>
      <c r="J8" s="22">
        <f>(POWER(((1743.811*(POWER(D8,1.852))*E8)/(POWER(H8,1.852)*(I8))),(1/4.87)))</f>
        <v>2.7234853500620697</v>
      </c>
      <c r="K8" s="30">
        <v>3</v>
      </c>
      <c r="L8" s="22">
        <f>((1743.811*(POWER(D8,1.852))*E8)/(POWER(H8,1.852)*(POWER(K8,4.87))))</f>
        <v>1.8732671014763447</v>
      </c>
      <c r="M8" s="22">
        <v>996.29</v>
      </c>
      <c r="N8" s="22" t="e">
        <f>+N5-#REF!</f>
        <v>#REF!</v>
      </c>
      <c r="O8" s="22" t="e">
        <f>+#REF!-M8</f>
        <v>#REF!</v>
      </c>
      <c r="P8" s="22">
        <f>(D8/1000)/((3.1416/4)*((K8*0.0254)*(K8*0.0254)))</f>
        <v>0.44733134199313146</v>
      </c>
    </row>
    <row r="9" spans="2:16" ht="20.399999999999999" x14ac:dyDescent="0.3">
      <c r="B9" s="29" t="s">
        <v>27</v>
      </c>
      <c r="C9" s="29" t="s">
        <v>42</v>
      </c>
      <c r="D9" s="22">
        <v>1.62</v>
      </c>
      <c r="E9" s="22">
        <v>1510</v>
      </c>
      <c r="F9" s="22" t="s">
        <v>37</v>
      </c>
      <c r="G9" s="22">
        <v>160</v>
      </c>
      <c r="H9" s="21">
        <v>140</v>
      </c>
      <c r="I9" s="21">
        <v>3</v>
      </c>
      <c r="J9" s="22">
        <f>(POWER(((1743.811*(POWER(D9,1.852))*E9)/(POWER(H9,1.852)*(I9))),(1/4.87)))</f>
        <v>3.0474162879815614</v>
      </c>
      <c r="K9" s="30">
        <v>3</v>
      </c>
      <c r="L9" s="22">
        <f>((1743.811*(POWER(D9,1.852))*E9)/(POWER(H9,1.852)*(POWER(K9,4.87))))</f>
        <v>3.2380871600526313</v>
      </c>
      <c r="M9" s="22">
        <v>980.26</v>
      </c>
      <c r="N9" s="22" t="e">
        <f>+N6-#REF!</f>
        <v>#REF!</v>
      </c>
      <c r="O9" s="22" t="e">
        <f>+#REF!-M9</f>
        <v>#REF!</v>
      </c>
      <c r="P9" s="22">
        <f>(D9/1000)/((3.1416/4)*((K9*0.0254)*(K9*0.0254)))</f>
        <v>0.35523371275925147</v>
      </c>
    </row>
    <row r="10" spans="2:16" ht="20.399999999999999" x14ac:dyDescent="0.3">
      <c r="B10" s="29" t="s">
        <v>40</v>
      </c>
      <c r="C10" s="29" t="s">
        <v>43</v>
      </c>
      <c r="D10" s="22">
        <v>7.13</v>
      </c>
      <c r="E10" s="22">
        <v>1220</v>
      </c>
      <c r="F10" s="22" t="s">
        <v>37</v>
      </c>
      <c r="G10" s="22">
        <v>160</v>
      </c>
      <c r="H10" s="21">
        <v>140</v>
      </c>
      <c r="I10" s="21">
        <v>3</v>
      </c>
      <c r="J10" s="22">
        <f t="shared" ref="J10:J13" si="0">(POWER(((1743.811*(POWER(D10,1.852))*E10)/(POWER(H10,1.852)*(I10))),(1/4.87)))</f>
        <v>5.1245675594973195</v>
      </c>
      <c r="K10" s="30">
        <v>6</v>
      </c>
      <c r="L10" s="22">
        <f t="shared" ref="L10:L13" si="1">((1743.811*(POWER(D10,1.852))*E10)/(POWER(H10,1.852)*(POWER(K10,4.87))))</f>
        <v>1.3917311294269306</v>
      </c>
      <c r="M10" s="22">
        <v>981.26</v>
      </c>
      <c r="N10" s="22" t="e">
        <f>+N8-#REF!</f>
        <v>#REF!</v>
      </c>
      <c r="O10" s="22" t="e">
        <f>+#REF!-M10</f>
        <v>#REF!</v>
      </c>
      <c r="P10" s="22">
        <f t="shared" ref="P10:P13" si="2">(D10/1000)/((3.1416/4)*((K10*0.0254)*(K10*0.0254)))</f>
        <v>0.3908667240699788</v>
      </c>
    </row>
    <row r="11" spans="2:16" ht="20.399999999999999" x14ac:dyDescent="0.3">
      <c r="B11" s="29" t="s">
        <v>43</v>
      </c>
      <c r="C11" s="29" t="s">
        <v>47</v>
      </c>
      <c r="D11" s="22">
        <v>3.43</v>
      </c>
      <c r="E11" s="22">
        <f>1550/2</f>
        <v>775</v>
      </c>
      <c r="F11" s="22" t="s">
        <v>37</v>
      </c>
      <c r="G11" s="22">
        <v>160</v>
      </c>
      <c r="H11" s="21">
        <v>140</v>
      </c>
      <c r="I11" s="21">
        <v>3</v>
      </c>
      <c r="J11" s="22">
        <f t="shared" si="0"/>
        <v>3.534597190410441</v>
      </c>
      <c r="K11" s="30">
        <v>4</v>
      </c>
      <c r="L11" s="22">
        <f t="shared" si="1"/>
        <v>1.6424968519685699</v>
      </c>
      <c r="M11" s="22">
        <v>982.26</v>
      </c>
      <c r="N11" s="22" t="e">
        <f>+N9-#REF!</f>
        <v>#REF!</v>
      </c>
      <c r="O11" s="22" t="e">
        <f>+#REF!-M11</f>
        <v>#REF!</v>
      </c>
      <c r="P11" s="22">
        <f>(D11/1000)/((3.1416/4)*((K11*0.0254)*(K11*0.0254)))</f>
        <v>0.42307348429313618</v>
      </c>
    </row>
    <row r="12" spans="2:16" ht="20.399999999999999" x14ac:dyDescent="0.3">
      <c r="B12" s="29" t="s">
        <v>47</v>
      </c>
      <c r="C12" s="29" t="s">
        <v>44</v>
      </c>
      <c r="D12" s="22">
        <v>3.43</v>
      </c>
      <c r="E12" s="22">
        <f>1550/2</f>
        <v>775</v>
      </c>
      <c r="F12" s="22" t="s">
        <v>37</v>
      </c>
      <c r="G12" s="22">
        <v>160</v>
      </c>
      <c r="H12" s="21">
        <v>140</v>
      </c>
      <c r="I12" s="21">
        <v>3</v>
      </c>
      <c r="J12" s="22">
        <f t="shared" si="0"/>
        <v>3.534597190410441</v>
      </c>
      <c r="K12" s="30">
        <v>4</v>
      </c>
      <c r="L12" s="22">
        <f t="shared" si="1"/>
        <v>1.6424968519685699</v>
      </c>
      <c r="M12" s="22"/>
      <c r="N12" s="22"/>
      <c r="O12" s="22"/>
      <c r="P12" s="22">
        <f>(D12/1000)/((3.1416/4)*((K12*0.0254)*(K12*0.0254)))</f>
        <v>0.42307348429313618</v>
      </c>
    </row>
    <row r="13" spans="2:16" ht="20.399999999999999" x14ac:dyDescent="0.3">
      <c r="B13" s="29" t="s">
        <v>43</v>
      </c>
      <c r="C13" s="29" t="s">
        <v>48</v>
      </c>
      <c r="D13" s="22">
        <v>1.6</v>
      </c>
      <c r="E13" s="22">
        <f>880/2</f>
        <v>440</v>
      </c>
      <c r="F13" s="22" t="s">
        <v>37</v>
      </c>
      <c r="G13" s="22">
        <v>160</v>
      </c>
      <c r="H13" s="21">
        <v>140</v>
      </c>
      <c r="I13" s="21">
        <v>3</v>
      </c>
      <c r="J13" s="22">
        <f t="shared" si="0"/>
        <v>2.3545949348004664</v>
      </c>
      <c r="K13" s="30">
        <v>3</v>
      </c>
      <c r="L13" s="22">
        <f t="shared" si="1"/>
        <v>0.92208862528706437</v>
      </c>
      <c r="M13" s="22">
        <v>983.26</v>
      </c>
      <c r="N13" s="22" t="e">
        <f>+N10-#REF!</f>
        <v>#REF!</v>
      </c>
      <c r="O13" s="22" t="e">
        <f>+#REF!-M13</f>
        <v>#REF!</v>
      </c>
      <c r="P13" s="22">
        <f t="shared" si="2"/>
        <v>0.35084811136716193</v>
      </c>
    </row>
    <row r="14" spans="2:16" ht="20.399999999999999" x14ac:dyDescent="0.3">
      <c r="B14" s="29" t="s">
        <v>48</v>
      </c>
      <c r="C14" s="29" t="s">
        <v>45</v>
      </c>
      <c r="D14" s="22">
        <v>1.6</v>
      </c>
      <c r="E14" s="22">
        <f>880/2</f>
        <v>440</v>
      </c>
      <c r="F14" s="22" t="s">
        <v>37</v>
      </c>
      <c r="G14" s="22">
        <v>160</v>
      </c>
      <c r="H14" s="21">
        <v>140</v>
      </c>
      <c r="I14" s="21">
        <v>3</v>
      </c>
      <c r="J14" s="22">
        <f t="shared" ref="J14" si="3">(POWER(((1743.811*(POWER(D14,1.852))*E14)/(POWER(H14,1.852)*(I14))),(1/4.87)))</f>
        <v>2.3545949348004664</v>
      </c>
      <c r="K14" s="30">
        <v>3</v>
      </c>
      <c r="L14" s="22">
        <f t="shared" ref="L14" si="4">((1743.811*(POWER(D14,1.852))*E14)/(POWER(H14,1.852)*(POWER(K14,4.87))))</f>
        <v>0.92208862528706437</v>
      </c>
      <c r="M14" s="22">
        <v>983.26</v>
      </c>
      <c r="N14" s="22" t="e">
        <f>+N11-#REF!</f>
        <v>#REF!</v>
      </c>
      <c r="O14" s="22" t="e">
        <f>+#REF!-M14</f>
        <v>#REF!</v>
      </c>
      <c r="P14" s="22">
        <f t="shared" ref="P14" si="5">(D14/1000)/((3.1416/4)*((K14*0.0254)*(K14*0.0254)))</f>
        <v>0.35084811136716193</v>
      </c>
    </row>
  </sheetData>
  <mergeCells count="8">
    <mergeCell ref="J3:J4"/>
    <mergeCell ref="K3:P3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POBLACION FUTURA</vt:lpstr>
      <vt:lpstr>PSI A MCA</vt:lpstr>
      <vt:lpstr>LINEA DE COND DIAM TEORI 1 Y 2</vt:lpstr>
      <vt:lpstr>LINEA DE CONDU TIPO DE TUBERIA</vt:lpstr>
      <vt:lpstr>Hoja 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Enrique Gonzales</cp:lastModifiedBy>
  <cp:lastPrinted>2023-09-08T21:43:38Z</cp:lastPrinted>
  <dcterms:created xsi:type="dcterms:W3CDTF">2020-08-29T02:41:36Z</dcterms:created>
  <dcterms:modified xsi:type="dcterms:W3CDTF">2023-10-25T19:32:49Z</dcterms:modified>
</cp:coreProperties>
</file>