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INGENIERIA SANITARIA 1\"/>
    </mc:Choice>
  </mc:AlternateContent>
  <xr:revisionPtr revIDLastSave="0" documentId="13_ncr:1_{C1E813EA-146D-43EE-BBEC-8EBF75E47C19}" xr6:coauthVersionLast="47" xr6:coauthVersionMax="47" xr10:uidLastSave="{00000000-0000-0000-0000-000000000000}"/>
  <bookViews>
    <workbookView xWindow="-108" yWindow="-108" windowWidth="23256" windowHeight="13176" activeTab="5" xr2:uid="{556F97C6-06E3-444E-AC60-0CFFDD299A1D}"/>
  </bookViews>
  <sheets>
    <sheet name="POBLACION FUTURA " sheetId="1" r:id="rId1"/>
    <sheet name="PSI A MCA" sheetId="2" r:id="rId2"/>
    <sheet name="LINEADECONDUCCION DIAMTEORI 1Y2" sheetId="3" r:id="rId3"/>
    <sheet name="LDC CON TIPO DE TUBERIA" sheetId="5" r:id="rId4"/>
    <sheet name="CAUDAL MEDIO" sheetId="4" r:id="rId5"/>
    <sheet name="RED DE DISTRIBUCION" sheetId="6" r:id="rId6"/>
  </sheets>
  <definedNames>
    <definedName name="_xlnm.Print_Area" localSheetId="2">'LINEADECONDUCCION DIAMTEORI 1Y2'!$D$76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2" i="6" l="1"/>
  <c r="I21" i="6"/>
  <c r="G15" i="6"/>
  <c r="I18" i="6"/>
  <c r="I17" i="6"/>
  <c r="I16" i="6"/>
  <c r="B19" i="4"/>
  <c r="E8" i="6"/>
  <c r="E9" i="6"/>
  <c r="E10" i="6"/>
  <c r="E11" i="6"/>
  <c r="E12" i="6"/>
  <c r="E13" i="6"/>
  <c r="E14" i="6"/>
  <c r="C22" i="6"/>
  <c r="F12" i="6" s="1"/>
  <c r="G14" i="6" l="1"/>
  <c r="I14" i="6" s="1"/>
  <c r="G8" i="6"/>
  <c r="I8" i="6" s="1"/>
  <c r="G13" i="6"/>
  <c r="I13" i="6" s="1"/>
  <c r="G12" i="6"/>
  <c r="I12" i="6" s="1"/>
  <c r="G11" i="6"/>
  <c r="I11" i="6" s="1"/>
  <c r="G9" i="6"/>
  <c r="I9" i="6" s="1"/>
  <c r="F11" i="6"/>
  <c r="G10" i="6"/>
  <c r="I10" i="6" s="1"/>
  <c r="F10" i="6"/>
  <c r="F9" i="6"/>
  <c r="F8" i="6"/>
  <c r="F14" i="6"/>
  <c r="F13" i="6"/>
  <c r="I15" i="6" l="1"/>
  <c r="D21" i="1" l="1"/>
  <c r="C35" i="1"/>
  <c r="B47" i="4"/>
  <c r="B46" i="4"/>
  <c r="B41" i="4"/>
  <c r="B40" i="4"/>
  <c r="B33" i="4"/>
  <c r="B31" i="4"/>
  <c r="B13" i="4"/>
  <c r="B22" i="4" s="1"/>
  <c r="B23" i="4" s="1"/>
  <c r="B26" i="4" s="1"/>
  <c r="B28" i="4" s="1"/>
  <c r="C39" i="1"/>
  <c r="E18" i="5"/>
  <c r="C37" i="5"/>
  <c r="D7" i="5"/>
  <c r="C26" i="5"/>
  <c r="C24" i="5"/>
  <c r="C25" i="5"/>
  <c r="B26" i="5"/>
  <c r="B25" i="5"/>
  <c r="B24" i="5"/>
  <c r="B23" i="5"/>
  <c r="B22" i="5"/>
  <c r="C17" i="5"/>
  <c r="A19" i="5"/>
  <c r="C19" i="5" s="1"/>
  <c r="A18" i="5"/>
  <c r="C18" i="5" s="1"/>
  <c r="A17" i="5"/>
  <c r="C8" i="5"/>
  <c r="D8" i="5" s="1"/>
  <c r="A16" i="5" s="1"/>
  <c r="C16" i="5" s="1"/>
  <c r="G6" i="2"/>
  <c r="C7" i="5"/>
  <c r="A15" i="5" s="1"/>
  <c r="C15" i="5" s="1"/>
  <c r="D6" i="2"/>
  <c r="D48" i="3"/>
  <c r="D47" i="3"/>
  <c r="D10" i="3"/>
  <c r="D37" i="3" s="1"/>
  <c r="D7" i="3"/>
  <c r="D5" i="3"/>
  <c r="C38" i="1"/>
  <c r="C34" i="1"/>
  <c r="C33" i="1"/>
  <c r="C28" i="1"/>
  <c r="C30" i="1" s="1"/>
  <c r="C26" i="1"/>
  <c r="D20" i="1"/>
  <c r="E15" i="5" l="1"/>
  <c r="C22" i="5" s="1"/>
  <c r="E16" i="5"/>
  <c r="C23" i="5" s="1"/>
  <c r="C27" i="1"/>
  <c r="C31" i="1" s="1"/>
  <c r="D13" i="3"/>
  <c r="D38" i="3" s="1"/>
  <c r="C27" i="5" l="1"/>
  <c r="C32" i="5" s="1"/>
  <c r="C40" i="5" s="1"/>
  <c r="C41" i="5" s="1"/>
  <c r="C18" i="3"/>
  <c r="F32" i="3"/>
  <c r="C31" i="5" l="1"/>
  <c r="D20" i="3"/>
  <c r="D19" i="3"/>
  <c r="F68" i="3" s="1"/>
  <c r="D32" i="3"/>
  <c r="F59" i="3" l="1"/>
  <c r="D52" i="3"/>
  <c r="F60" i="3"/>
  <c r="F69" i="3"/>
  <c r="D25" i="3"/>
  <c r="D28" i="3" s="1"/>
  <c r="D49" i="3"/>
  <c r="D31" i="3"/>
  <c r="D33" i="3"/>
  <c r="D26" i="3"/>
  <c r="D29" i="3" s="1"/>
  <c r="F31" i="3" l="1"/>
  <c r="D39" i="3"/>
  <c r="F33" i="3"/>
  <c r="D40" i="3"/>
  <c r="D41" i="3" l="1"/>
  <c r="D53" i="3" l="1"/>
  <c r="D42" i="3"/>
  <c r="D50" i="3" s="1"/>
  <c r="D59" i="3" l="1"/>
  <c r="E59" i="3" s="1"/>
  <c r="C68" i="3" s="1"/>
  <c r="D51" i="3"/>
  <c r="C72" i="3" s="1"/>
  <c r="C73" i="3" s="1"/>
  <c r="D60" i="3"/>
  <c r="E60" i="3" s="1"/>
  <c r="C69" i="3" s="1"/>
  <c r="D54" i="3"/>
</calcChain>
</file>

<file path=xl/sharedStrings.xml><?xml version="1.0" encoding="utf-8"?>
<sst xmlns="http://schemas.openxmlformats.org/spreadsheetml/2006/main" count="193" uniqueCount="141">
  <si>
    <t>R</t>
  </si>
  <si>
    <t>n</t>
  </si>
  <si>
    <t>Para poder calcular taza de crecimiento ("R)</t>
  </si>
  <si>
    <t xml:space="preserve">Poblacion Inicial </t>
  </si>
  <si>
    <t xml:space="preserve">Poblacion Final </t>
  </si>
  <si>
    <t>R=</t>
  </si>
  <si>
    <t xml:space="preserve">Periodo de años </t>
  </si>
  <si>
    <t>PF</t>
  </si>
  <si>
    <t>PO</t>
  </si>
  <si>
    <t>Calcular Nuestra Poblacion Futura</t>
  </si>
  <si>
    <t>Año Inicial</t>
  </si>
  <si>
    <t xml:space="preserve">Año Actual </t>
  </si>
  <si>
    <t xml:space="preserve">Poblacion Actual </t>
  </si>
  <si>
    <t xml:space="preserve">Año Futuro </t>
  </si>
  <si>
    <t>Poblacion Futura</t>
  </si>
  <si>
    <t xml:space="preserve">Poblacion Futura </t>
  </si>
  <si>
    <t>Poblacion Futura  Año</t>
  </si>
  <si>
    <t>PSI</t>
  </si>
  <si>
    <t>MCA</t>
  </si>
  <si>
    <t>PSI/1.422</t>
  </si>
  <si>
    <t xml:space="preserve">Recomendable usar </t>
  </si>
  <si>
    <t xml:space="preserve">COTA MAYOR </t>
  </si>
  <si>
    <t>COTA MENOR</t>
  </si>
  <si>
    <t xml:space="preserve">LONGITUD L </t>
  </si>
  <si>
    <t xml:space="preserve">Se le resta 1 metro </t>
  </si>
  <si>
    <t xml:space="preserve">COTA DE LLEGADA </t>
  </si>
  <si>
    <t xml:space="preserve">Se le suman 10 metros </t>
  </si>
  <si>
    <t>CUADAL Q (Lts/s)</t>
  </si>
  <si>
    <t xml:space="preserve">El inge lo da </t>
  </si>
  <si>
    <t>El inge lo da X2</t>
  </si>
  <si>
    <t>LONGITUD L*1.03</t>
  </si>
  <si>
    <t>COEFICIENTE PARA HW</t>
  </si>
  <si>
    <t xml:space="preserve">140 va ser para tuberia nueva </t>
  </si>
  <si>
    <t xml:space="preserve">Cambia depende que nos vayan a dar </t>
  </si>
  <si>
    <t>COTA SALIDA</t>
  </si>
  <si>
    <t>PERDIDA DE CARGA (HF)</t>
  </si>
  <si>
    <t xml:space="preserve">LONGITUD DE DISEÑO </t>
  </si>
  <si>
    <t>Calculo del Diametro Teorico</t>
  </si>
  <si>
    <t>D1</t>
  </si>
  <si>
    <t>D2</t>
  </si>
  <si>
    <t>"</t>
  </si>
  <si>
    <t>diametro mayor (D1)</t>
  </si>
  <si>
    <t>diametro menor (D2)</t>
  </si>
  <si>
    <t xml:space="preserve">CALCULADO DE HF CON LOS DIAMETROS ENCONTRADOS POSTERIORMENTE </t>
  </si>
  <si>
    <t xml:space="preserve">Con diametro mayor </t>
  </si>
  <si>
    <t xml:space="preserve">Con diametro menor </t>
  </si>
  <si>
    <t>Hf1</t>
  </si>
  <si>
    <t>Hf2</t>
  </si>
  <si>
    <t>DT</t>
  </si>
  <si>
    <t xml:space="preserve">CALCULO DE L1 Y L2 </t>
  </si>
  <si>
    <t>LD</t>
  </si>
  <si>
    <t>Hfo</t>
  </si>
  <si>
    <t>L2</t>
  </si>
  <si>
    <t>L1</t>
  </si>
  <si>
    <t xml:space="preserve">CALCULO DE PERDIDA DE CARGA CON D1 Y L1 </t>
  </si>
  <si>
    <t xml:space="preserve">TAMBIEN CON D2 Y L2 </t>
  </si>
  <si>
    <t>Q</t>
  </si>
  <si>
    <t>C</t>
  </si>
  <si>
    <t>HF,D1;L1</t>
  </si>
  <si>
    <t>HF,D2;L2</t>
  </si>
  <si>
    <t xml:space="preserve">CALCULO DE LA CANTIDAD DE TUBOS QUE SE VA A UTILIZAR </t>
  </si>
  <si>
    <t>TUBO L1</t>
  </si>
  <si>
    <t>TUBO L2</t>
  </si>
  <si>
    <t xml:space="preserve">CALCULO DE DISTANCIA EN TUBERIA </t>
  </si>
  <si>
    <t>DIAMETRO PVC</t>
  </si>
  <si>
    <t>metros</t>
  </si>
  <si>
    <t xml:space="preserve">TUBOS DE PVC </t>
  </si>
  <si>
    <t>COTA MAYIOR - HF,D1;L1</t>
  </si>
  <si>
    <t>COMPROBANDO COTA DE LLEGADA</t>
  </si>
  <si>
    <t xml:space="preserve">FACTOR DE CRECIMIENTO PARA SANITARIA 2 </t>
  </si>
  <si>
    <t xml:space="preserve">COTA DE CAPTACION </t>
  </si>
  <si>
    <t xml:space="preserve">COTA MÁS BAJA </t>
  </si>
  <si>
    <t>COTA DE TANQUE</t>
  </si>
  <si>
    <t xml:space="preserve">TUBERIA DE 160 PSI </t>
  </si>
  <si>
    <t xml:space="preserve">TUBERIA DE 250 PSI </t>
  </si>
  <si>
    <t>TUBERIA DE PVC</t>
  </si>
  <si>
    <t>TUBERIA DE HG</t>
  </si>
  <si>
    <t xml:space="preserve">CALCULO DE TIPOS DE TUBERIA A UTILIZAR </t>
  </si>
  <si>
    <t xml:space="preserve">Tuberia a Usar </t>
  </si>
  <si>
    <t xml:space="preserve"> HG LIVIANO</t>
  </si>
  <si>
    <t xml:space="preserve">HG MEDIO </t>
  </si>
  <si>
    <t>HG PESADO</t>
  </si>
  <si>
    <t xml:space="preserve">SI </t>
  </si>
  <si>
    <t>SI (DEPENDE)</t>
  </si>
  <si>
    <t>NO (DEPENDE SI ES COTA BAJA)</t>
  </si>
  <si>
    <t>TOTAL LONGITUD TUBERIA</t>
  </si>
  <si>
    <t xml:space="preserve">CALCULO % DE TUBERIA </t>
  </si>
  <si>
    <t>PVC</t>
  </si>
  <si>
    <t>HG</t>
  </si>
  <si>
    <t>%</t>
  </si>
  <si>
    <t>COEFICIENTE HW PARA PVC</t>
  </si>
  <si>
    <t>COEFICIENTE HW PARA HG</t>
  </si>
  <si>
    <t>DIFERENCIA DE COE HW</t>
  </si>
  <si>
    <t>CALCULO HW PROMEDIO</t>
  </si>
  <si>
    <t>HW</t>
  </si>
  <si>
    <t>Se toma % mayor ese se toma</t>
  </si>
  <si>
    <t xml:space="preserve">VOLUMEN 25% - 40%  del caudal medio </t>
  </si>
  <si>
    <t>Po</t>
  </si>
  <si>
    <t xml:space="preserve">habitantes </t>
  </si>
  <si>
    <t xml:space="preserve">años </t>
  </si>
  <si>
    <t xml:space="preserve">Dotación </t>
  </si>
  <si>
    <t>Lt/h/dia</t>
  </si>
  <si>
    <t>Pf</t>
  </si>
  <si>
    <t xml:space="preserve">CALCULO DE CAUDAL MEDIO </t>
  </si>
  <si>
    <t>L/s</t>
  </si>
  <si>
    <t>CONVERSION DE L/s a m^3/día</t>
  </si>
  <si>
    <t>m^3/día</t>
  </si>
  <si>
    <t xml:space="preserve">TOMAMOS EL VOLUMEN DEL 25% DEL CAUDAL MEDIO </t>
  </si>
  <si>
    <t>m^3</t>
  </si>
  <si>
    <t>Q25%</t>
  </si>
  <si>
    <t xml:space="preserve">TOMAMOS EL VOLUMEN DEL 40% DEL CAUDAL MEDIO </t>
  </si>
  <si>
    <t>Q40%</t>
  </si>
  <si>
    <t>El 40%, utilizamos (Área Rural)</t>
  </si>
  <si>
    <t>El 25%, utilizamos (Área Urbana)</t>
  </si>
  <si>
    <t>Si es área urbana se le aumenta +200m^3</t>
  </si>
  <si>
    <t xml:space="preserve">CALCULAMOS POBLACION FUTURA </t>
  </si>
  <si>
    <t>Por un mg/L                     1 parte por millón</t>
  </si>
  <si>
    <t xml:space="preserve">Dividirlo por un millón </t>
  </si>
  <si>
    <t>L/día</t>
  </si>
  <si>
    <t>Nidia Mishell Rodas Alonzo 202031748</t>
  </si>
  <si>
    <t xml:space="preserve">Punto de Consumo </t>
  </si>
  <si>
    <t xml:space="preserve">Viviendas Actuales </t>
  </si>
  <si>
    <t xml:space="preserve">Habitantes Actuales </t>
  </si>
  <si>
    <t xml:space="preserve">Viviendas Futuras </t>
  </si>
  <si>
    <t xml:space="preserve">Habitantes Futuros </t>
  </si>
  <si>
    <t>Dotacion</t>
  </si>
  <si>
    <t>Lit/hab/día</t>
  </si>
  <si>
    <t>Litros/segundo</t>
  </si>
  <si>
    <t xml:space="preserve">CRITERIOS DE DISEÑO </t>
  </si>
  <si>
    <t xml:space="preserve">DENSIDAD DE VIVIENDA </t>
  </si>
  <si>
    <t>Habitantes/vivienda</t>
  </si>
  <si>
    <t>TASA DE CRECIMIENTO GEOMETRICO</t>
  </si>
  <si>
    <t xml:space="preserve">PERIDO DE DISEÑO </t>
  </si>
  <si>
    <t xml:space="preserve">FACTOR DE CRECIMIENTO </t>
  </si>
  <si>
    <t xml:space="preserve">Periodo de vida Util </t>
  </si>
  <si>
    <t xml:space="preserve">20 años </t>
  </si>
  <si>
    <t>Periodo de diseño</t>
  </si>
  <si>
    <t>22-23 años</t>
  </si>
  <si>
    <t>años</t>
  </si>
  <si>
    <t xml:space="preserve">Caudal Medio </t>
  </si>
  <si>
    <t xml:space="preserve">Q medio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</si>
</sst>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b/>
      <sz val="11"/>
      <color rgb="FFFF0000"/>
      <name val="Calibri"/>
      <family val="2"/>
      <scheme val="minor"/>
    </font>
    <font>
      <b/>
      <sz val="12"/>
      <color rgb="FFFF0000"/>
      <name val="Arial"/>
      <family val="2"/>
    </font>
    <font>
      <b/>
      <sz val="16"/>
      <color theme="1"/>
      <name val="Arial"/>
      <family val="2"/>
    </font>
    <font>
      <b/>
      <sz val="18"/>
      <color theme="1"/>
      <name val="Arial"/>
      <family val="2"/>
    </font>
    <font>
      <sz val="12"/>
      <name val="Arial"/>
      <family val="2"/>
    </font>
    <font>
      <b/>
      <sz val="12"/>
      <color rgb="FFC00000"/>
      <name val="Arial"/>
      <family val="2"/>
    </font>
    <font>
      <sz val="12"/>
      <color theme="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C009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74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0" fontId="5" fillId="0" borderId="0" xfId="0" applyFont="1"/>
    <xf numFmtId="0" fontId="6" fillId="2" borderId="0" xfId="0" applyFont="1" applyFill="1"/>
    <xf numFmtId="9" fontId="6" fillId="2" borderId="0" xfId="0" applyNumberFormat="1" applyFont="1" applyFill="1"/>
    <xf numFmtId="0" fontId="5" fillId="0" borderId="0" xfId="0" applyFont="1" applyAlignment="1">
      <alignment horizontal="center"/>
    </xf>
    <xf numFmtId="0" fontId="7" fillId="0" borderId="0" xfId="0" applyFont="1"/>
    <xf numFmtId="0" fontId="2" fillId="0" borderId="0" xfId="0" applyFont="1"/>
    <xf numFmtId="0" fontId="2" fillId="0" borderId="7" xfId="0" applyFont="1" applyBorder="1"/>
    <xf numFmtId="0" fontId="3" fillId="0" borderId="1" xfId="0" applyFont="1" applyBorder="1"/>
    <xf numFmtId="1" fontId="3" fillId="0" borderId="1" xfId="0" applyNumberFormat="1" applyFont="1" applyBorder="1"/>
    <xf numFmtId="2" fontId="3" fillId="0" borderId="1" xfId="0" applyNumberFormat="1" applyFont="1" applyBorder="1"/>
    <xf numFmtId="0" fontId="4" fillId="0" borderId="0" xfId="0" applyFont="1"/>
    <xf numFmtId="0" fontId="4" fillId="3" borderId="3" xfId="0" applyFont="1" applyFill="1" applyBorder="1"/>
    <xf numFmtId="0" fontId="4" fillId="3" borderId="5" xfId="0" applyFont="1" applyFill="1" applyBorder="1"/>
    <xf numFmtId="0" fontId="4" fillId="3" borderId="7" xfId="0" applyFont="1" applyFill="1" applyBorder="1"/>
    <xf numFmtId="0" fontId="4" fillId="0" borderId="2" xfId="0" applyFont="1" applyBorder="1"/>
    <xf numFmtId="0" fontId="4" fillId="0" borderId="5" xfId="0" applyFont="1" applyBorder="1" applyAlignment="1">
      <alignment horizontal="right"/>
    </xf>
    <xf numFmtId="0" fontId="4" fillId="0" borderId="6" xfId="0" applyFont="1" applyBorder="1"/>
    <xf numFmtId="0" fontId="4" fillId="0" borderId="7" xfId="0" applyFont="1" applyBorder="1" applyAlignment="1">
      <alignment horizontal="right"/>
    </xf>
    <xf numFmtId="0" fontId="4" fillId="0" borderId="8" xfId="0" applyFont="1" applyBorder="1"/>
    <xf numFmtId="0" fontId="4" fillId="0" borderId="3" xfId="0" applyFont="1" applyBorder="1"/>
    <xf numFmtId="0" fontId="4" fillId="0" borderId="11" xfId="0" applyFont="1" applyBorder="1"/>
    <xf numFmtId="0" fontId="4" fillId="0" borderId="4" xfId="0" applyFont="1" applyBorder="1"/>
    <xf numFmtId="0" fontId="4" fillId="0" borderId="7" xfId="0" applyFont="1" applyBorder="1"/>
    <xf numFmtId="0" fontId="4" fillId="0" borderId="12" xfId="0" applyFont="1" applyBorder="1"/>
    <xf numFmtId="0" fontId="4" fillId="0" borderId="5" xfId="0" applyFont="1" applyBorder="1"/>
    <xf numFmtId="0" fontId="4" fillId="0" borderId="1" xfId="0" applyFont="1" applyBorder="1"/>
    <xf numFmtId="0" fontId="8" fillId="0" borderId="5" xfId="0" applyFont="1" applyBorder="1"/>
    <xf numFmtId="0" fontId="8" fillId="0" borderId="7" xfId="0" applyFont="1" applyBorder="1"/>
    <xf numFmtId="0" fontId="4" fillId="0" borderId="19" xfId="0" applyFont="1" applyBorder="1"/>
    <xf numFmtId="0" fontId="4" fillId="0" borderId="0" xfId="0" applyFont="1" applyAlignment="1">
      <alignment horizontal="center"/>
    </xf>
    <xf numFmtId="0" fontId="4" fillId="6" borderId="14" xfId="0" applyFont="1" applyFill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2" fontId="4" fillId="0" borderId="11" xfId="0" applyNumberFormat="1" applyFont="1" applyBorder="1" applyAlignment="1">
      <alignment horizontal="center"/>
    </xf>
    <xf numFmtId="2" fontId="4" fillId="0" borderId="17" xfId="0" applyNumberFormat="1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2" fontId="4" fillId="0" borderId="12" xfId="0" applyNumberFormat="1" applyFont="1" applyBorder="1" applyAlignment="1">
      <alignment horizontal="center"/>
    </xf>
    <xf numFmtId="2" fontId="4" fillId="0" borderId="18" xfId="0" applyNumberFormat="1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4" fillId="6" borderId="13" xfId="0" applyFont="1" applyFill="1" applyBorder="1"/>
    <xf numFmtId="0" fontId="8" fillId="0" borderId="2" xfId="0" applyFont="1" applyBorder="1"/>
    <xf numFmtId="0" fontId="10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/>
    <xf numFmtId="2" fontId="6" fillId="0" borderId="2" xfId="0" applyNumberFormat="1" applyFont="1" applyBorder="1"/>
    <xf numFmtId="0" fontId="6" fillId="0" borderId="2" xfId="0" applyFont="1" applyBorder="1"/>
    <xf numFmtId="0" fontId="0" fillId="0" borderId="11" xfId="0" applyBorder="1"/>
    <xf numFmtId="0" fontId="0" fillId="0" borderId="4" xfId="0" applyBorder="1"/>
    <xf numFmtId="0" fontId="0" fillId="0" borderId="12" xfId="0" applyBorder="1"/>
    <xf numFmtId="0" fontId="0" fillId="0" borderId="8" xfId="0" applyBorder="1"/>
    <xf numFmtId="0" fontId="0" fillId="0" borderId="10" xfId="0" applyBorder="1"/>
    <xf numFmtId="0" fontId="0" fillId="0" borderId="6" xfId="0" applyBorder="1"/>
    <xf numFmtId="0" fontId="0" fillId="0" borderId="2" xfId="0" applyBorder="1"/>
    <xf numFmtId="0" fontId="0" fillId="0" borderId="22" xfId="0" applyBorder="1"/>
    <xf numFmtId="0" fontId="0" fillId="0" borderId="23" xfId="0" applyBorder="1"/>
    <xf numFmtId="0" fontId="0" fillId="0" borderId="3" xfId="0" applyBorder="1"/>
    <xf numFmtId="0" fontId="0" fillId="0" borderId="5" xfId="0" applyBorder="1"/>
    <xf numFmtId="0" fontId="0" fillId="0" borderId="7" xfId="0" applyBorder="1"/>
    <xf numFmtId="0" fontId="0" fillId="0" borderId="9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6" borderId="2" xfId="0" applyFill="1" applyBorder="1"/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14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3" fillId="0" borderId="29" xfId="0" applyFont="1" applyBorder="1" applyAlignment="1">
      <alignment horizontal="center"/>
    </xf>
    <xf numFmtId="0" fontId="3" fillId="0" borderId="3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1" xfId="0" applyFont="1" applyBorder="1" applyAlignment="1">
      <alignment horizontal="center"/>
    </xf>
    <xf numFmtId="0" fontId="3" fillId="0" borderId="32" xfId="0" applyFont="1" applyBorder="1" applyAlignment="1">
      <alignment horizontal="center"/>
    </xf>
    <xf numFmtId="0" fontId="3" fillId="0" borderId="33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3" fillId="5" borderId="0" xfId="0" applyFont="1" applyFill="1" applyAlignment="1">
      <alignment horizontal="center"/>
    </xf>
    <xf numFmtId="0" fontId="3" fillId="5" borderId="16" xfId="0" applyFont="1" applyFill="1" applyBorder="1" applyAlignment="1">
      <alignment horizontal="center"/>
    </xf>
    <xf numFmtId="0" fontId="6" fillId="5" borderId="13" xfId="0" applyFont="1" applyFill="1" applyBorder="1" applyAlignment="1">
      <alignment horizontal="center"/>
    </xf>
    <xf numFmtId="0" fontId="6" fillId="5" borderId="14" xfId="0" applyFont="1" applyFill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4" fillId="6" borderId="13" xfId="0" applyFont="1" applyFill="1" applyBorder="1" applyAlignment="1">
      <alignment horizontal="center"/>
    </xf>
    <xf numFmtId="0" fontId="4" fillId="6" borderId="14" xfId="0" applyFont="1" applyFill="1" applyBorder="1" applyAlignment="1">
      <alignment horizontal="center"/>
    </xf>
    <xf numFmtId="0" fontId="10" fillId="5" borderId="0" xfId="0" applyFont="1" applyFill="1" applyAlignment="1">
      <alignment horizontal="center"/>
    </xf>
    <xf numFmtId="0" fontId="9" fillId="5" borderId="13" xfId="0" applyFont="1" applyFill="1" applyBorder="1" applyAlignment="1">
      <alignment horizontal="center"/>
    </xf>
    <xf numFmtId="0" fontId="9" fillId="5" borderId="15" xfId="0" applyFont="1" applyFill="1" applyBorder="1" applyAlignment="1">
      <alignment horizontal="center"/>
    </xf>
    <xf numFmtId="0" fontId="9" fillId="5" borderId="14" xfId="0" applyFont="1" applyFill="1" applyBorder="1" applyAlignment="1">
      <alignment horizontal="center"/>
    </xf>
    <xf numFmtId="0" fontId="0" fillId="5" borderId="0" xfId="0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0" borderId="19" xfId="0" applyBorder="1" applyAlignment="1">
      <alignment vertical="center"/>
    </xf>
    <xf numFmtId="0" fontId="0" fillId="0" borderId="21" xfId="0" applyBorder="1" applyAlignment="1">
      <alignment vertic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 applyAlignment="1">
      <alignment horizontal="center"/>
    </xf>
    <xf numFmtId="0" fontId="3" fillId="0" borderId="0" xfId="0" applyFont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3" fillId="5" borderId="11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5" borderId="13" xfId="0" applyFont="1" applyFill="1" applyBorder="1" applyAlignment="1">
      <alignment horizontal="center"/>
    </xf>
    <xf numFmtId="0" fontId="3" fillId="5" borderId="15" xfId="0" applyFont="1" applyFill="1" applyBorder="1" applyAlignment="1">
      <alignment horizontal="center"/>
    </xf>
    <xf numFmtId="0" fontId="3" fillId="5" borderId="14" xfId="0" applyFont="1" applyFill="1" applyBorder="1" applyAlignment="1">
      <alignment horizontal="center"/>
    </xf>
    <xf numFmtId="0" fontId="3" fillId="0" borderId="19" xfId="0" applyFont="1" applyBorder="1" applyAlignment="1">
      <alignment horizontal="left"/>
    </xf>
    <xf numFmtId="0" fontId="3" fillId="0" borderId="20" xfId="0" applyFont="1" applyBorder="1" applyAlignment="1">
      <alignment horizontal="center"/>
    </xf>
    <xf numFmtId="0" fontId="11" fillId="0" borderId="21" xfId="0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0" fontId="3" fillId="0" borderId="24" xfId="0" applyFont="1" applyBorder="1"/>
    <xf numFmtId="0" fontId="3" fillId="0" borderId="34" xfId="0" applyFont="1" applyBorder="1" applyAlignment="1">
      <alignment horizontal="center"/>
    </xf>
    <xf numFmtId="0" fontId="3" fillId="0" borderId="35" xfId="0" applyFont="1" applyBorder="1" applyAlignment="1">
      <alignment horizontal="center"/>
    </xf>
    <xf numFmtId="0" fontId="3" fillId="0" borderId="3" xfId="0" applyFont="1" applyBorder="1"/>
    <xf numFmtId="0" fontId="3" fillId="0" borderId="5" xfId="0" applyFont="1" applyBorder="1"/>
    <xf numFmtId="0" fontId="3" fillId="0" borderId="7" xfId="0" applyFont="1" applyBorder="1"/>
    <xf numFmtId="0" fontId="3" fillId="0" borderId="2" xfId="0" applyFont="1" applyBorder="1"/>
    <xf numFmtId="9" fontId="3" fillId="0" borderId="22" xfId="0" applyNumberFormat="1" applyFont="1" applyBorder="1"/>
    <xf numFmtId="9" fontId="3" fillId="0" borderId="23" xfId="0" applyNumberFormat="1" applyFont="1" applyBorder="1"/>
    <xf numFmtId="0" fontId="3" fillId="0" borderId="19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5" borderId="27" xfId="0" applyFont="1" applyFill="1" applyBorder="1" applyAlignment="1">
      <alignment horizontal="center" vertical="center"/>
    </xf>
    <xf numFmtId="0" fontId="3" fillId="5" borderId="28" xfId="0" applyFont="1" applyFill="1" applyBorder="1" applyAlignment="1">
      <alignment horizontal="center" vertical="center"/>
    </xf>
    <xf numFmtId="0" fontId="3" fillId="7" borderId="27" xfId="0" applyFont="1" applyFill="1" applyBorder="1" applyAlignment="1">
      <alignment horizontal="center" vertical="center"/>
    </xf>
    <xf numFmtId="0" fontId="3" fillId="7" borderId="28" xfId="0" applyFont="1" applyFill="1" applyBorder="1" applyAlignment="1">
      <alignment horizontal="center" vertical="center"/>
    </xf>
    <xf numFmtId="0" fontId="3" fillId="7" borderId="27" xfId="0" applyFont="1" applyFill="1" applyBorder="1" applyAlignment="1">
      <alignment horizontal="center"/>
    </xf>
    <xf numFmtId="0" fontId="3" fillId="7" borderId="28" xfId="0" applyFont="1" applyFill="1" applyBorder="1" applyAlignment="1">
      <alignment horizontal="center"/>
    </xf>
    <xf numFmtId="0" fontId="3" fillId="5" borderId="27" xfId="0" applyFont="1" applyFill="1" applyBorder="1" applyAlignment="1">
      <alignment horizontal="center"/>
    </xf>
    <xf numFmtId="0" fontId="3" fillId="5" borderId="28" xfId="0" applyFont="1" applyFill="1" applyBorder="1" applyAlignment="1">
      <alignment horizontal="center"/>
    </xf>
    <xf numFmtId="2" fontId="3" fillId="0" borderId="36" xfId="0" applyNumberFormat="1" applyFont="1" applyBorder="1" applyAlignment="1">
      <alignment horizontal="center"/>
    </xf>
    <xf numFmtId="2" fontId="12" fillId="0" borderId="4" xfId="0" applyNumberFormat="1" applyFont="1" applyBorder="1" applyAlignment="1">
      <alignment horizontal="center"/>
    </xf>
    <xf numFmtId="2" fontId="12" fillId="0" borderId="8" xfId="0" applyNumberFormat="1" applyFont="1" applyBorder="1" applyAlignment="1">
      <alignment horizontal="center"/>
    </xf>
    <xf numFmtId="1" fontId="8" fillId="2" borderId="28" xfId="0" applyNumberFormat="1" applyFont="1" applyFill="1" applyBorder="1" applyAlignment="1">
      <alignment horizontal="center"/>
    </xf>
    <xf numFmtId="2" fontId="8" fillId="2" borderId="37" xfId="0" applyNumberFormat="1" applyFont="1" applyFill="1" applyBorder="1" applyAlignment="1">
      <alignment horizontal="center"/>
    </xf>
    <xf numFmtId="1" fontId="3" fillId="0" borderId="11" xfId="0" applyNumberFormat="1" applyFont="1" applyBorder="1" applyAlignment="1">
      <alignment horizontal="center"/>
    </xf>
    <xf numFmtId="2" fontId="3" fillId="0" borderId="4" xfId="0" applyNumberFormat="1" applyFont="1" applyBorder="1" applyAlignment="1">
      <alignment horizontal="center"/>
    </xf>
    <xf numFmtId="2" fontId="3" fillId="0" borderId="6" xfId="0" applyNumberFormat="1" applyFont="1" applyBorder="1" applyAlignment="1">
      <alignment horizontal="center"/>
    </xf>
    <xf numFmtId="1" fontId="3" fillId="0" borderId="12" xfId="0" applyNumberFormat="1" applyFont="1" applyBorder="1" applyAlignment="1">
      <alignment horizontal="center"/>
    </xf>
    <xf numFmtId="2" fontId="3" fillId="0" borderId="8" xfId="0" applyNumberFormat="1" applyFont="1" applyBorder="1" applyAlignment="1">
      <alignment horizontal="center"/>
    </xf>
    <xf numFmtId="0" fontId="13" fillId="0" borderId="0" xfId="0" applyFont="1"/>
    <xf numFmtId="0" fontId="12" fillId="0" borderId="14" xfId="0" applyFont="1" applyBorder="1" applyAlignment="1">
      <alignment horizontal="center"/>
    </xf>
    <xf numFmtId="9" fontId="3" fillId="0" borderId="0" xfId="0" applyNumberFormat="1" applyFont="1" applyAlignment="1">
      <alignment horizontal="center"/>
    </xf>
    <xf numFmtId="9" fontId="12" fillId="8" borderId="13" xfId="0" applyNumberFormat="1" applyFont="1" applyFill="1" applyBorder="1" applyAlignment="1">
      <alignment horizontal="center"/>
    </xf>
    <xf numFmtId="0" fontId="12" fillId="8" borderId="14" xfId="0" applyFont="1" applyFill="1" applyBorder="1" applyAlignment="1">
      <alignment horizontal="center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99D28440-DBF3-487A-AC0A-223E2459AB46}"/>
  </tableStyles>
  <colors>
    <mruColors>
      <color rgb="FFFFFFFF"/>
      <color rgb="FFCC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.png"/><Relationship Id="rId3" Type="http://schemas.openxmlformats.org/officeDocument/2006/relationships/image" Target="../media/image7.png"/><Relationship Id="rId7" Type="http://schemas.openxmlformats.org/officeDocument/2006/relationships/image" Target="../media/image11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6" Type="http://schemas.openxmlformats.org/officeDocument/2006/relationships/image" Target="../media/image10.pn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6.png"/><Relationship Id="rId2" Type="http://schemas.openxmlformats.org/officeDocument/2006/relationships/image" Target="../media/image15.png"/><Relationship Id="rId1" Type="http://schemas.openxmlformats.org/officeDocument/2006/relationships/image" Target="../media/image14.png"/><Relationship Id="rId6" Type="http://schemas.openxmlformats.org/officeDocument/2006/relationships/image" Target="../media/image19.png"/><Relationship Id="rId5" Type="http://schemas.openxmlformats.org/officeDocument/2006/relationships/image" Target="../media/image18.png"/><Relationship Id="rId4" Type="http://schemas.openxmlformats.org/officeDocument/2006/relationships/image" Target="../media/image1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450850</xdr:colOff>
      <xdr:row>15</xdr:row>
      <xdr:rowOff>57149</xdr:rowOff>
    </xdr:from>
    <xdr:to>
      <xdr:col>7</xdr:col>
      <xdr:colOff>500628</xdr:colOff>
      <xdr:row>19</xdr:row>
      <xdr:rowOff>157162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E809557-9E81-48C9-2453-C8ADAC95255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6407" t="12010" r="6482" b="13447"/>
        <a:stretch/>
      </xdr:blipFill>
      <xdr:spPr>
        <a:xfrm>
          <a:off x="3848100" y="609599"/>
          <a:ext cx="2431028" cy="869951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7</xdr:col>
      <xdr:colOff>654051</xdr:colOff>
      <xdr:row>15</xdr:row>
      <xdr:rowOff>107951</xdr:rowOff>
    </xdr:from>
    <xdr:to>
      <xdr:col>10</xdr:col>
      <xdr:colOff>140683</xdr:colOff>
      <xdr:row>19</xdr:row>
      <xdr:rowOff>63500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AD57B134-2FF5-2793-98E7-E3584DBE64F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4589" t="8668" b="1"/>
        <a:stretch/>
      </xdr:blipFill>
      <xdr:spPr>
        <a:xfrm>
          <a:off x="6432551" y="660401"/>
          <a:ext cx="1867882" cy="723899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4</xdr:col>
      <xdr:colOff>69850</xdr:colOff>
      <xdr:row>25</xdr:row>
      <xdr:rowOff>63500</xdr:rowOff>
    </xdr:from>
    <xdr:to>
      <xdr:col>7</xdr:col>
      <xdr:colOff>469552</xdr:colOff>
      <xdr:row>30</xdr:row>
      <xdr:rowOff>36395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D9B6EE0C-828B-9F24-99D1-F23385C9A6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467100" y="2457450"/>
          <a:ext cx="2780952" cy="933333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4</xdr:col>
      <xdr:colOff>69850</xdr:colOff>
      <xdr:row>32</xdr:row>
      <xdr:rowOff>63501</xdr:rowOff>
    </xdr:from>
    <xdr:to>
      <xdr:col>8</xdr:col>
      <xdr:colOff>476250</xdr:colOff>
      <xdr:row>37</xdr:row>
      <xdr:rowOff>112714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1DE2ABCD-E8F8-BF50-EE37-9F96CFC24A8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2184" t="12124" r="3095" b="7563"/>
        <a:stretch/>
      </xdr:blipFill>
      <xdr:spPr>
        <a:xfrm>
          <a:off x="3467100" y="3746501"/>
          <a:ext cx="3581400" cy="1009650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>
    <xdr:from>
      <xdr:col>0</xdr:col>
      <xdr:colOff>673100</xdr:colOff>
      <xdr:row>2</xdr:row>
      <xdr:rowOff>101600</xdr:rowOff>
    </xdr:from>
    <xdr:to>
      <xdr:col>9</xdr:col>
      <xdr:colOff>304800</xdr:colOff>
      <xdr:row>9</xdr:row>
      <xdr:rowOff>50800</xdr:rowOff>
    </xdr:to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EFFEAD13-B0D7-64F8-8433-803FE12989F5}"/>
            </a:ext>
          </a:extLst>
        </xdr:cNvPr>
        <xdr:cNvSpPr txBox="1"/>
      </xdr:nvSpPr>
      <xdr:spPr>
        <a:xfrm>
          <a:off x="673100" y="482600"/>
          <a:ext cx="8521700" cy="1282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GT" sz="2000">
              <a:latin typeface="Arial" panose="020B0604020202020204" pitchFamily="34" charset="0"/>
              <a:cs typeface="Arial" panose="020B0604020202020204" pitchFamily="34" charset="0"/>
            </a:rPr>
            <a:t>CALCULAR</a:t>
          </a:r>
          <a:r>
            <a:rPr lang="es-GT" sz="2000" baseline="0">
              <a:latin typeface="Arial" panose="020B0604020202020204" pitchFamily="34" charset="0"/>
              <a:cs typeface="Arial" panose="020B0604020202020204" pitchFamily="34" charset="0"/>
            </a:rPr>
            <a:t> (PARA COLOCAR EL PROBLEMA QUE VAYA A DEJAR EL INGE)</a:t>
          </a:r>
        </a:p>
        <a:p>
          <a:endParaRPr lang="es-GT" sz="1100"/>
        </a:p>
      </xdr:txBody>
    </xdr:sp>
    <xdr:clientData/>
  </xdr:twoCellAnchor>
  <xdr:twoCellAnchor editAs="oneCell">
    <xdr:from>
      <xdr:col>0</xdr:col>
      <xdr:colOff>698500</xdr:colOff>
      <xdr:row>43</xdr:row>
      <xdr:rowOff>63500</xdr:rowOff>
    </xdr:from>
    <xdr:to>
      <xdr:col>1</xdr:col>
      <xdr:colOff>1600200</xdr:colOff>
      <xdr:row>48</xdr:row>
      <xdr:rowOff>36395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4C956A63-3BE1-4FC4-B9B5-11CD5121B2D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29166"/>
        <a:stretch/>
      </xdr:blipFill>
      <xdr:spPr>
        <a:xfrm>
          <a:off x="698500" y="8255000"/>
          <a:ext cx="1727200" cy="925395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778812</xdr:colOff>
      <xdr:row>15</xdr:row>
      <xdr:rowOff>127484</xdr:rowOff>
    </xdr:from>
    <xdr:to>
      <xdr:col>1</xdr:col>
      <xdr:colOff>2584994</xdr:colOff>
      <xdr:row>18</xdr:row>
      <xdr:rowOff>110316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68BA040-F162-B1FB-1A4D-26702AFBC00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4870" t="27297" r="7169" b="20931"/>
        <a:stretch/>
      </xdr:blipFill>
      <xdr:spPr>
        <a:xfrm>
          <a:off x="778812" y="2776341"/>
          <a:ext cx="2598420" cy="602108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>
    <xdr:from>
      <xdr:col>4</xdr:col>
      <xdr:colOff>1579837</xdr:colOff>
      <xdr:row>15</xdr:row>
      <xdr:rowOff>3284</xdr:rowOff>
    </xdr:from>
    <xdr:to>
      <xdr:col>4</xdr:col>
      <xdr:colOff>1583121</xdr:colOff>
      <xdr:row>15</xdr:row>
      <xdr:rowOff>154370</xdr:rowOff>
    </xdr:to>
    <xdr:cxnSp macro="">
      <xdr:nvCxnSpPr>
        <xdr:cNvPr id="4" name="Conector recto de flecha 3">
          <a:extLst>
            <a:ext uri="{FF2B5EF4-FFF2-40B4-BE49-F238E27FC236}">
              <a16:creationId xmlns:a16="http://schemas.microsoft.com/office/drawing/2014/main" id="{E2672496-7E73-D107-1FE2-9B1BA61A72F1}"/>
            </a:ext>
          </a:extLst>
        </xdr:cNvPr>
        <xdr:cNvCxnSpPr/>
      </xdr:nvCxnSpPr>
      <xdr:spPr>
        <a:xfrm flipV="1">
          <a:off x="7895897" y="2634155"/>
          <a:ext cx="3284" cy="15108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1599543</xdr:colOff>
      <xdr:row>17</xdr:row>
      <xdr:rowOff>6569</xdr:rowOff>
    </xdr:from>
    <xdr:to>
      <xdr:col>4</xdr:col>
      <xdr:colOff>1602828</xdr:colOff>
      <xdr:row>18</xdr:row>
      <xdr:rowOff>9854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D168D91C-12F4-F3BB-4248-4CA40D493A8A}"/>
            </a:ext>
          </a:extLst>
        </xdr:cNvPr>
        <xdr:cNvCxnSpPr/>
      </xdr:nvCxnSpPr>
      <xdr:spPr>
        <a:xfrm>
          <a:off x="7771086" y="3018440"/>
          <a:ext cx="3285" cy="17736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4838</xdr:colOff>
      <xdr:row>24</xdr:row>
      <xdr:rowOff>168124</xdr:rowOff>
    </xdr:from>
    <xdr:to>
      <xdr:col>1</xdr:col>
      <xdr:colOff>2583031</xdr:colOff>
      <xdr:row>28</xdr:row>
      <xdr:rowOff>95553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45E066D3-DA94-3896-2573-D3478C30078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838" t="19707" r="5567" b="21960"/>
        <a:stretch/>
      </xdr:blipFill>
      <xdr:spPr>
        <a:xfrm>
          <a:off x="797076" y="4449838"/>
          <a:ext cx="2578193" cy="746276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>
    <xdr:from>
      <xdr:col>4</xdr:col>
      <xdr:colOff>152400</xdr:colOff>
      <xdr:row>30</xdr:row>
      <xdr:rowOff>76200</xdr:rowOff>
    </xdr:from>
    <xdr:to>
      <xdr:col>4</xdr:col>
      <xdr:colOff>1545771</xdr:colOff>
      <xdr:row>30</xdr:row>
      <xdr:rowOff>97972</xdr:rowOff>
    </xdr:to>
    <xdr:cxnSp macro="">
      <xdr:nvCxnSpPr>
        <xdr:cNvPr id="11" name="Conector recto de flecha 10">
          <a:extLst>
            <a:ext uri="{FF2B5EF4-FFF2-40B4-BE49-F238E27FC236}">
              <a16:creationId xmlns:a16="http://schemas.microsoft.com/office/drawing/2014/main" id="{1B2FAEC8-0586-58EE-A157-3E8C86660D5E}"/>
            </a:ext>
          </a:extLst>
        </xdr:cNvPr>
        <xdr:cNvCxnSpPr/>
      </xdr:nvCxnSpPr>
      <xdr:spPr>
        <a:xfrm flipV="1">
          <a:off x="6477000" y="5900057"/>
          <a:ext cx="1393371" cy="2177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130628</xdr:colOff>
      <xdr:row>31</xdr:row>
      <xdr:rowOff>65314</xdr:rowOff>
    </xdr:from>
    <xdr:to>
      <xdr:col>4</xdr:col>
      <xdr:colOff>1523999</xdr:colOff>
      <xdr:row>31</xdr:row>
      <xdr:rowOff>87086</xdr:rowOff>
    </xdr:to>
    <xdr:cxnSp macro="">
      <xdr:nvCxnSpPr>
        <xdr:cNvPr id="12" name="Conector recto de flecha 11">
          <a:extLst>
            <a:ext uri="{FF2B5EF4-FFF2-40B4-BE49-F238E27FC236}">
              <a16:creationId xmlns:a16="http://schemas.microsoft.com/office/drawing/2014/main" id="{73AEAA34-D2DD-4DEA-9A07-0CDFB6E9EF83}"/>
            </a:ext>
          </a:extLst>
        </xdr:cNvPr>
        <xdr:cNvCxnSpPr/>
      </xdr:nvCxnSpPr>
      <xdr:spPr>
        <a:xfrm flipV="1">
          <a:off x="6455228" y="6063343"/>
          <a:ext cx="1393371" cy="2177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163285</xdr:colOff>
      <xdr:row>32</xdr:row>
      <xdr:rowOff>54429</xdr:rowOff>
    </xdr:from>
    <xdr:to>
      <xdr:col>4</xdr:col>
      <xdr:colOff>1556656</xdr:colOff>
      <xdr:row>32</xdr:row>
      <xdr:rowOff>76201</xdr:rowOff>
    </xdr:to>
    <xdr:cxnSp macro="">
      <xdr:nvCxnSpPr>
        <xdr:cNvPr id="13" name="Conector recto de flecha 12">
          <a:extLst>
            <a:ext uri="{FF2B5EF4-FFF2-40B4-BE49-F238E27FC236}">
              <a16:creationId xmlns:a16="http://schemas.microsoft.com/office/drawing/2014/main" id="{D9DCF353-F032-4C4E-9667-51D81B276C8C}"/>
            </a:ext>
          </a:extLst>
        </xdr:cNvPr>
        <xdr:cNvCxnSpPr/>
      </xdr:nvCxnSpPr>
      <xdr:spPr>
        <a:xfrm flipV="1">
          <a:off x="6487885" y="6226629"/>
          <a:ext cx="1393371" cy="2177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53220</xdr:colOff>
      <xdr:row>36</xdr:row>
      <xdr:rowOff>61685</xdr:rowOff>
    </xdr:from>
    <xdr:to>
      <xdr:col>1</xdr:col>
      <xdr:colOff>2559217</xdr:colOff>
      <xdr:row>40</xdr:row>
      <xdr:rowOff>165706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42EF404A-BE39-AC5E-D030-ED7B32D9A9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45458" y="6490304"/>
          <a:ext cx="2505997" cy="904725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4</xdr:col>
      <xdr:colOff>141514</xdr:colOff>
      <xdr:row>37</xdr:row>
      <xdr:rowOff>108858</xdr:rowOff>
    </xdr:from>
    <xdr:to>
      <xdr:col>4</xdr:col>
      <xdr:colOff>2074330</xdr:colOff>
      <xdr:row>40</xdr:row>
      <xdr:rowOff>65315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A18D53AC-5A2A-B60F-2446-01E5EF8621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466114" y="6672944"/>
          <a:ext cx="1932816" cy="555171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1</xdr:col>
      <xdr:colOff>299720</xdr:colOff>
      <xdr:row>47</xdr:row>
      <xdr:rowOff>66040</xdr:rowOff>
    </xdr:from>
    <xdr:to>
      <xdr:col>1</xdr:col>
      <xdr:colOff>3509280</xdr:colOff>
      <xdr:row>52</xdr:row>
      <xdr:rowOff>0</xdr:rowOff>
    </xdr:to>
    <xdr:pic>
      <xdr:nvPicPr>
        <xdr:cNvPr id="21" name="Imagen 20">
          <a:extLst>
            <a:ext uri="{FF2B5EF4-FFF2-40B4-BE49-F238E27FC236}">
              <a16:creationId xmlns:a16="http://schemas.microsoft.com/office/drawing/2014/main" id="{EB373A18-7A39-454D-8F19-1AF7EB23F32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838" t="19707" r="5567" b="21960"/>
        <a:stretch/>
      </xdr:blipFill>
      <xdr:spPr>
        <a:xfrm>
          <a:off x="1125220" y="9616440"/>
          <a:ext cx="3209560" cy="949960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1</xdr:col>
      <xdr:colOff>266700</xdr:colOff>
      <xdr:row>56</xdr:row>
      <xdr:rowOff>114300</xdr:rowOff>
    </xdr:from>
    <xdr:to>
      <xdr:col>1</xdr:col>
      <xdr:colOff>3619500</xdr:colOff>
      <xdr:row>60</xdr:row>
      <xdr:rowOff>91407</xdr:rowOff>
    </xdr:to>
    <xdr:pic>
      <xdr:nvPicPr>
        <xdr:cNvPr id="22" name="Imagen 21">
          <a:extLst>
            <a:ext uri="{FF2B5EF4-FFF2-40B4-BE49-F238E27FC236}">
              <a16:creationId xmlns:a16="http://schemas.microsoft.com/office/drawing/2014/main" id="{737476BF-DC59-9B89-41FF-A8D523A3970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l="3112" t="22933" r="4716" b="10817"/>
        <a:stretch/>
      </xdr:blipFill>
      <xdr:spPr>
        <a:xfrm>
          <a:off x="1092200" y="11722100"/>
          <a:ext cx="3352800" cy="789907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1</xdr:col>
      <xdr:colOff>342900</xdr:colOff>
      <xdr:row>65</xdr:row>
      <xdr:rowOff>228600</xdr:rowOff>
    </xdr:from>
    <xdr:to>
      <xdr:col>1</xdr:col>
      <xdr:colOff>3467100</xdr:colOff>
      <xdr:row>68</xdr:row>
      <xdr:rowOff>142795</xdr:rowOff>
    </xdr:to>
    <xdr:pic>
      <xdr:nvPicPr>
        <xdr:cNvPr id="25" name="Imagen 24">
          <a:extLst>
            <a:ext uri="{FF2B5EF4-FFF2-40B4-BE49-F238E27FC236}">
              <a16:creationId xmlns:a16="http://schemas.microsoft.com/office/drawing/2014/main" id="{F81B1D6A-DFC3-0039-E5F1-993103D26C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68400" y="13754100"/>
          <a:ext cx="3124200" cy="638095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3</xdr:col>
      <xdr:colOff>508001</xdr:colOff>
      <xdr:row>69</xdr:row>
      <xdr:rowOff>177800</xdr:rowOff>
    </xdr:from>
    <xdr:to>
      <xdr:col>5</xdr:col>
      <xdr:colOff>368300</xdr:colOff>
      <xdr:row>72</xdr:row>
      <xdr:rowOff>155495</xdr:rowOff>
    </xdr:to>
    <xdr:pic>
      <xdr:nvPicPr>
        <xdr:cNvPr id="26" name="Imagen 25">
          <a:extLst>
            <a:ext uri="{FF2B5EF4-FFF2-40B4-BE49-F238E27FC236}">
              <a16:creationId xmlns:a16="http://schemas.microsoft.com/office/drawing/2014/main" id="{D0DB1B30-2EF3-2EDD-6EFF-7D4DAE0D47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162801" y="14630400"/>
          <a:ext cx="3365499" cy="638095"/>
        </a:xfrm>
        <a:prstGeom prst="rect">
          <a:avLst/>
        </a:prstGeom>
      </xdr:spPr>
    </xdr:pic>
    <xdr:clientData/>
  </xdr:twoCellAnchor>
  <xdr:twoCellAnchor editAs="oneCell">
    <xdr:from>
      <xdr:col>3</xdr:col>
      <xdr:colOff>342900</xdr:colOff>
      <xdr:row>72</xdr:row>
      <xdr:rowOff>152401</xdr:rowOff>
    </xdr:from>
    <xdr:to>
      <xdr:col>5</xdr:col>
      <xdr:colOff>110287</xdr:colOff>
      <xdr:row>73</xdr:row>
      <xdr:rowOff>76201</xdr:rowOff>
    </xdr:to>
    <xdr:pic>
      <xdr:nvPicPr>
        <xdr:cNvPr id="28" name="Imagen 27">
          <a:extLst>
            <a:ext uri="{FF2B5EF4-FFF2-40B4-BE49-F238E27FC236}">
              <a16:creationId xmlns:a16="http://schemas.microsoft.com/office/drawing/2014/main" id="{8099D299-D83A-D9DB-4521-B13DD71A80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997700" y="15265401"/>
          <a:ext cx="3272587" cy="1524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213360</xdr:colOff>
      <xdr:row>20</xdr:row>
      <xdr:rowOff>137161</xdr:rowOff>
    </xdr:from>
    <xdr:to>
      <xdr:col>4</xdr:col>
      <xdr:colOff>182880</xdr:colOff>
      <xdr:row>27</xdr:row>
      <xdr:rowOff>175260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73058BE-41BC-5A01-FE9A-8DDA5726643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5492"/>
        <a:stretch/>
      </xdr:blipFill>
      <xdr:spPr>
        <a:xfrm>
          <a:off x="4213860" y="3840481"/>
          <a:ext cx="1905000" cy="131825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91441</xdr:colOff>
      <xdr:row>6</xdr:row>
      <xdr:rowOff>30480</xdr:rowOff>
    </xdr:from>
    <xdr:to>
      <xdr:col>4</xdr:col>
      <xdr:colOff>695960</xdr:colOff>
      <xdr:row>10</xdr:row>
      <xdr:rowOff>22860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B748FEC-353B-818C-A820-7861115C68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01541" y="1181100"/>
          <a:ext cx="1435099" cy="762000"/>
        </a:xfrm>
        <a:prstGeom prst="rect">
          <a:avLst/>
        </a:prstGeom>
      </xdr:spPr>
    </xdr:pic>
    <xdr:clientData/>
  </xdr:twoCellAnchor>
  <xdr:twoCellAnchor editAs="oneCell">
    <xdr:from>
      <xdr:col>3</xdr:col>
      <xdr:colOff>60961</xdr:colOff>
      <xdr:row>11</xdr:row>
      <xdr:rowOff>60960</xdr:rowOff>
    </xdr:from>
    <xdr:to>
      <xdr:col>4</xdr:col>
      <xdr:colOff>743709</xdr:colOff>
      <xdr:row>13</xdr:row>
      <xdr:rowOff>190500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5C254238-DA33-6018-28FF-FD82878CA4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671061" y="2179320"/>
          <a:ext cx="1513328" cy="51816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18</xdr:row>
      <xdr:rowOff>0</xdr:rowOff>
    </xdr:from>
    <xdr:to>
      <xdr:col>0</xdr:col>
      <xdr:colOff>0</xdr:colOff>
      <xdr:row>19</xdr:row>
      <xdr:rowOff>7620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9C275143-64EA-1C47-5996-BBE833ED8B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" y="2926080"/>
          <a:ext cx="10668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167639</xdr:colOff>
      <xdr:row>15</xdr:row>
      <xdr:rowOff>76200</xdr:rowOff>
    </xdr:from>
    <xdr:to>
      <xdr:col>1</xdr:col>
      <xdr:colOff>2804160</xdr:colOff>
      <xdr:row>17</xdr:row>
      <xdr:rowOff>109125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51A60296-11A6-38A7-2DF1-E04D92A39CA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4958" t="23672" r="25862" b="38781"/>
        <a:stretch/>
      </xdr:blipFill>
      <xdr:spPr>
        <a:xfrm>
          <a:off x="1661159" y="2971800"/>
          <a:ext cx="2636521" cy="413925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2</xdr:col>
      <xdr:colOff>44824</xdr:colOff>
      <xdr:row>25</xdr:row>
      <xdr:rowOff>57376</xdr:rowOff>
    </xdr:from>
    <xdr:to>
      <xdr:col>3</xdr:col>
      <xdr:colOff>567276</xdr:colOff>
      <xdr:row>26</xdr:row>
      <xdr:rowOff>148816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FC86FD81-82AB-FB3B-4BD8-5A641495333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l="5119" t="17499" r="6834" b="13758"/>
        <a:stretch/>
      </xdr:blipFill>
      <xdr:spPr>
        <a:xfrm>
          <a:off x="3814483" y="4938658"/>
          <a:ext cx="1360652" cy="284182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2</xdr:col>
      <xdr:colOff>15240</xdr:colOff>
      <xdr:row>30</xdr:row>
      <xdr:rowOff>60961</xdr:rowOff>
    </xdr:from>
    <xdr:to>
      <xdr:col>3</xdr:col>
      <xdr:colOff>586740</xdr:colOff>
      <xdr:row>31</xdr:row>
      <xdr:rowOff>141503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9A0B991-C34D-779B-0181-2D493740F25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l="7241" t="34373" r="3802" b="12507"/>
        <a:stretch/>
      </xdr:blipFill>
      <xdr:spPr>
        <a:xfrm>
          <a:off x="3787140" y="5913121"/>
          <a:ext cx="1409700" cy="278662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oneCellAnchor>
    <xdr:from>
      <xdr:col>1</xdr:col>
      <xdr:colOff>1945340</xdr:colOff>
      <xdr:row>21</xdr:row>
      <xdr:rowOff>56029</xdr:rowOff>
    </xdr:from>
    <xdr:ext cx="268215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E288EB6B-D67F-A1F5-0BCD-8A19F50A0B3B}"/>
                </a:ext>
              </a:extLst>
            </xdr:cNvPr>
            <xdr:cNvSpPr txBox="1"/>
          </xdr:nvSpPr>
          <xdr:spPr>
            <a:xfrm>
              <a:off x="2675964" y="4139453"/>
              <a:ext cx="26821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GT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→→</m:t>
                    </m:r>
                  </m:oMath>
                </m:oMathPara>
              </a14:m>
              <a:endParaRPr lang="es-GT" sz="1100"/>
            </a:p>
          </xdr:txBody>
        </xdr:sp>
      </mc:Choice>
      <mc:Fallback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E288EB6B-D67F-A1F5-0BCD-8A19F50A0B3B}"/>
                </a:ext>
              </a:extLst>
            </xdr:cNvPr>
            <xdr:cNvSpPr txBox="1"/>
          </xdr:nvSpPr>
          <xdr:spPr>
            <a:xfrm>
              <a:off x="2675964" y="4139453"/>
              <a:ext cx="26821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GT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→→</a:t>
              </a:r>
              <a:endParaRPr lang="es-GT" sz="1100"/>
            </a:p>
          </xdr:txBody>
        </xdr:sp>
      </mc:Fallback>
    </mc:AlternateContent>
    <xdr:clientData/>
  </xdr:oneCellAnchor>
  <xdr:twoCellAnchor>
    <xdr:from>
      <xdr:col>1</xdr:col>
      <xdr:colOff>900953</xdr:colOff>
      <xdr:row>42</xdr:row>
      <xdr:rowOff>98611</xdr:rowOff>
    </xdr:from>
    <xdr:to>
      <xdr:col>1</xdr:col>
      <xdr:colOff>1595717</xdr:colOff>
      <xdr:row>42</xdr:row>
      <xdr:rowOff>98612</xdr:rowOff>
    </xdr:to>
    <xdr:cxnSp macro="">
      <xdr:nvCxnSpPr>
        <xdr:cNvPr id="10" name="Conector recto de flecha 9">
          <a:extLst>
            <a:ext uri="{FF2B5EF4-FFF2-40B4-BE49-F238E27FC236}">
              <a16:creationId xmlns:a16="http://schemas.microsoft.com/office/drawing/2014/main" id="{1FDD215D-187B-F4B6-EFB8-43C87499A040}"/>
            </a:ext>
          </a:extLst>
        </xdr:cNvPr>
        <xdr:cNvCxnSpPr/>
      </xdr:nvCxnSpPr>
      <xdr:spPr>
        <a:xfrm>
          <a:off x="1634378" y="8328211"/>
          <a:ext cx="694764" cy="1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9EEFA-463C-465B-8FE1-E4038CB6F95D}">
  <sheetPr codeName="Hoja1">
    <pageSetUpPr fitToPage="1"/>
  </sheetPr>
  <dimension ref="B15:D45"/>
  <sheetViews>
    <sheetView showWhiteSpace="0" view="pageLayout" topLeftCell="A15" zoomScale="96" zoomScaleNormal="96" zoomScalePageLayoutView="96" workbookViewId="0">
      <selection activeCell="D22" sqref="D22"/>
    </sheetView>
  </sheetViews>
  <sheetFormatPr baseColWidth="10" defaultRowHeight="15" x14ac:dyDescent="0.25"/>
  <cols>
    <col min="1" max="1" width="11.5546875" style="2"/>
    <col min="2" max="2" width="23.77734375" style="2" bestFit="1" customWidth="1"/>
    <col min="3" max="3" width="51.6640625" style="2" bestFit="1" customWidth="1"/>
    <col min="4" max="4" width="15.5546875" style="2" bestFit="1" customWidth="1"/>
    <col min="5" max="16384" width="11.5546875" style="2"/>
  </cols>
  <sheetData>
    <row r="15" spans="2:4" x14ac:dyDescent="0.25">
      <c r="B15" s="98" t="s">
        <v>2</v>
      </c>
      <c r="C15" s="98"/>
      <c r="D15" s="98"/>
    </row>
    <row r="16" spans="2:4" x14ac:dyDescent="0.25">
      <c r="B16" s="10" t="s">
        <v>3</v>
      </c>
      <c r="C16" s="10" t="s">
        <v>7</v>
      </c>
      <c r="D16" s="10">
        <v>300</v>
      </c>
    </row>
    <row r="17" spans="2:4" x14ac:dyDescent="0.25">
      <c r="B17" s="10" t="s">
        <v>4</v>
      </c>
      <c r="C17" s="10" t="s">
        <v>8</v>
      </c>
      <c r="D17" s="10">
        <v>585</v>
      </c>
    </row>
    <row r="18" spans="2:4" x14ac:dyDescent="0.25">
      <c r="C18" s="10" t="s">
        <v>10</v>
      </c>
      <c r="D18" s="10">
        <v>2000</v>
      </c>
    </row>
    <row r="19" spans="2:4" x14ac:dyDescent="0.25">
      <c r="C19" s="10" t="s">
        <v>11</v>
      </c>
      <c r="D19" s="10">
        <v>2023</v>
      </c>
    </row>
    <row r="20" spans="2:4" x14ac:dyDescent="0.25">
      <c r="B20" s="10" t="s">
        <v>6</v>
      </c>
      <c r="C20" s="10" t="s">
        <v>1</v>
      </c>
      <c r="D20" s="10">
        <f>D19-D18</f>
        <v>23</v>
      </c>
    </row>
    <row r="21" spans="2:4" x14ac:dyDescent="0.25">
      <c r="C21" s="10" t="s">
        <v>5</v>
      </c>
      <c r="D21" s="10">
        <f>(((D17/D16)^(1/D20))-1)*100</f>
        <v>2.9461715863000393</v>
      </c>
    </row>
    <row r="24" spans="2:4" x14ac:dyDescent="0.25">
      <c r="B24" s="99" t="s">
        <v>9</v>
      </c>
      <c r="C24" s="99"/>
    </row>
    <row r="25" spans="2:4" x14ac:dyDescent="0.25">
      <c r="B25" s="10" t="s">
        <v>16</v>
      </c>
      <c r="C25" s="10">
        <v>2046</v>
      </c>
    </row>
    <row r="26" spans="2:4" x14ac:dyDescent="0.25">
      <c r="B26" s="10" t="s">
        <v>12</v>
      </c>
      <c r="C26" s="10">
        <f>D17</f>
        <v>585</v>
      </c>
    </row>
    <row r="27" spans="2:4" x14ac:dyDescent="0.25">
      <c r="B27" s="10" t="s">
        <v>0</v>
      </c>
      <c r="C27" s="10">
        <f>D21</f>
        <v>2.9461715863000393</v>
      </c>
    </row>
    <row r="28" spans="2:4" x14ac:dyDescent="0.25">
      <c r="B28" s="10" t="s">
        <v>11</v>
      </c>
      <c r="C28" s="10">
        <f>D19</f>
        <v>2023</v>
      </c>
    </row>
    <row r="29" spans="2:4" x14ac:dyDescent="0.25">
      <c r="B29" s="10" t="s">
        <v>13</v>
      </c>
      <c r="C29" s="10">
        <v>2046</v>
      </c>
    </row>
    <row r="30" spans="2:4" x14ac:dyDescent="0.25">
      <c r="B30" s="10" t="s">
        <v>1</v>
      </c>
      <c r="C30" s="10">
        <f>C29-C28</f>
        <v>23</v>
      </c>
    </row>
    <row r="31" spans="2:4" x14ac:dyDescent="0.25">
      <c r="B31" s="10" t="s">
        <v>14</v>
      </c>
      <c r="C31" s="11">
        <f>C26*(((C27/100)+1)^(C30))</f>
        <v>1140.7499999999998</v>
      </c>
    </row>
    <row r="33" spans="2:3" x14ac:dyDescent="0.25">
      <c r="B33" s="10" t="s">
        <v>15</v>
      </c>
      <c r="C33" s="10">
        <f>D19</f>
        <v>2023</v>
      </c>
    </row>
    <row r="34" spans="2:3" x14ac:dyDescent="0.25">
      <c r="B34" s="10" t="s">
        <v>12</v>
      </c>
      <c r="C34" s="10">
        <f>D16</f>
        <v>300</v>
      </c>
    </row>
    <row r="35" spans="2:3" x14ac:dyDescent="0.25">
      <c r="B35" s="10" t="s">
        <v>0</v>
      </c>
      <c r="C35" s="12">
        <f>D21</f>
        <v>2.9461715863000393</v>
      </c>
    </row>
    <row r="36" spans="2:3" x14ac:dyDescent="0.25">
      <c r="B36" s="10" t="s">
        <v>11</v>
      </c>
      <c r="C36" s="10">
        <v>2000</v>
      </c>
    </row>
    <row r="37" spans="2:3" x14ac:dyDescent="0.25">
      <c r="B37" s="10" t="s">
        <v>13</v>
      </c>
      <c r="C37" s="10">
        <v>2046</v>
      </c>
    </row>
    <row r="38" spans="2:3" x14ac:dyDescent="0.25">
      <c r="B38" s="10" t="s">
        <v>1</v>
      </c>
      <c r="C38" s="10">
        <f>C37-C36</f>
        <v>46</v>
      </c>
    </row>
    <row r="39" spans="2:3" x14ac:dyDescent="0.25">
      <c r="B39" s="10" t="s">
        <v>15</v>
      </c>
      <c r="C39" s="11">
        <f>C34*(((C35/100)+1)^(C38))</f>
        <v>1140.7499999999998</v>
      </c>
    </row>
    <row r="45" spans="2:3" x14ac:dyDescent="0.25">
      <c r="C45" s="2" t="s">
        <v>69</v>
      </c>
    </row>
  </sheetData>
  <mergeCells count="2">
    <mergeCell ref="B15:D15"/>
    <mergeCell ref="B24:C24"/>
  </mergeCells>
  <pageMargins left="0.7" right="0.7" top="0.75" bottom="0.75" header="0.3" footer="0.3"/>
  <pageSetup paperSize="9" scale="47" orientation="portrait" r:id="rId1"/>
  <ignoredErrors>
    <ignoredError sqref="C26:C27 C34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58940A-E533-4881-8098-70E076B69439}">
  <sheetPr codeName="Hoja2"/>
  <dimension ref="B4:H6"/>
  <sheetViews>
    <sheetView workbookViewId="0">
      <selection activeCell="E26" sqref="E26"/>
    </sheetView>
  </sheetViews>
  <sheetFormatPr baseColWidth="10" defaultRowHeight="17.399999999999999" x14ac:dyDescent="0.3"/>
  <cols>
    <col min="1" max="1" width="11.5546875" style="3"/>
    <col min="2" max="2" width="6.88671875" style="3" bestFit="1" customWidth="1"/>
    <col min="3" max="3" width="8.44140625" style="3" bestFit="1" customWidth="1"/>
    <col min="4" max="4" width="17.21875" style="3" bestFit="1" customWidth="1"/>
    <col min="5" max="5" width="11.5546875" style="3"/>
    <col min="6" max="6" width="24.6640625" style="3" bestFit="1" customWidth="1"/>
    <col min="7" max="7" width="6.109375" style="3" bestFit="1" customWidth="1"/>
    <col min="8" max="8" width="6.88671875" style="3" bestFit="1" customWidth="1"/>
    <col min="9" max="16384" width="11.5546875" style="3"/>
  </cols>
  <sheetData>
    <row r="4" spans="2:8" x14ac:dyDescent="0.3">
      <c r="D4" s="4" t="s">
        <v>19</v>
      </c>
    </row>
    <row r="5" spans="2:8" x14ac:dyDescent="0.3">
      <c r="B5" s="3" t="s">
        <v>17</v>
      </c>
      <c r="C5" s="3">
        <v>160</v>
      </c>
      <c r="G5" s="5">
        <v>0.8</v>
      </c>
    </row>
    <row r="6" spans="2:8" x14ac:dyDescent="0.3">
      <c r="B6" s="3" t="s">
        <v>18</v>
      </c>
      <c r="C6" s="3">
        <v>1.4219999999999999</v>
      </c>
      <c r="D6" s="3">
        <f>C5/C6</f>
        <v>112.51758087201125</v>
      </c>
      <c r="F6" s="3" t="s">
        <v>20</v>
      </c>
      <c r="G6" s="6">
        <f>ROUNDDOWN(D6*0.8,0)</f>
        <v>90</v>
      </c>
      <c r="H6" s="3" t="s">
        <v>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9141C-A340-4606-A83B-850709654609}">
  <sheetPr codeName="Hoja3">
    <pageSetUpPr fitToPage="1"/>
  </sheetPr>
  <dimension ref="A1:F104"/>
  <sheetViews>
    <sheetView view="pageLayout" topLeftCell="A45" zoomScale="60" zoomScaleNormal="100" zoomScalePageLayoutView="60" workbookViewId="0">
      <selection activeCell="F78" sqref="F78"/>
    </sheetView>
  </sheetViews>
  <sheetFormatPr baseColWidth="10" defaultRowHeight="13.8" x14ac:dyDescent="0.25"/>
  <cols>
    <col min="1" max="1" width="11.5546875" style="8"/>
    <col min="2" max="2" width="53.44140625" style="8" bestFit="1" customWidth="1"/>
    <col min="3" max="3" width="28.109375" style="8" bestFit="1" customWidth="1"/>
    <col min="4" max="4" width="15.5546875" style="8" bestFit="1" customWidth="1"/>
    <col min="5" max="5" width="33.44140625" style="8" bestFit="1" customWidth="1"/>
    <col min="6" max="6" width="17.88671875" style="8" bestFit="1" customWidth="1"/>
    <col min="7" max="7" width="3.6640625" style="8" bestFit="1" customWidth="1"/>
    <col min="8" max="16384" width="11.5546875" style="8"/>
  </cols>
  <sheetData>
    <row r="1" spans="1:6" ht="15.6" x14ac:dyDescent="0.3">
      <c r="A1" s="13"/>
      <c r="B1" s="13"/>
      <c r="C1" s="13"/>
      <c r="D1" s="13"/>
      <c r="E1" s="13"/>
      <c r="F1" s="13"/>
    </row>
    <row r="2" spans="1:6" ht="15.6" x14ac:dyDescent="0.3">
      <c r="A2" s="13"/>
      <c r="B2" s="13"/>
      <c r="C2" s="13"/>
      <c r="D2" s="13"/>
      <c r="E2" s="13"/>
      <c r="F2" s="13"/>
    </row>
    <row r="3" spans="1:6" ht="16.2" thickBot="1" x14ac:dyDescent="0.35">
      <c r="A3" s="13"/>
      <c r="B3" s="13"/>
      <c r="C3" s="13"/>
      <c r="D3" s="13"/>
      <c r="E3" s="13"/>
      <c r="F3" s="13"/>
    </row>
    <row r="4" spans="1:6" ht="15.6" x14ac:dyDescent="0.3">
      <c r="A4" s="13"/>
      <c r="B4" s="13"/>
      <c r="C4" s="14" t="s">
        <v>34</v>
      </c>
      <c r="D4" s="49">
        <v>1000</v>
      </c>
      <c r="E4" s="13"/>
      <c r="F4" s="13"/>
    </row>
    <row r="5" spans="1:6" ht="15.6" x14ac:dyDescent="0.3">
      <c r="A5" s="13"/>
      <c r="B5" s="13" t="s">
        <v>24</v>
      </c>
      <c r="C5" s="15" t="s">
        <v>21</v>
      </c>
      <c r="D5" s="50">
        <f>D4-1</f>
        <v>999</v>
      </c>
      <c r="E5" s="13"/>
      <c r="F5" s="13"/>
    </row>
    <row r="6" spans="1:6" ht="15.6" x14ac:dyDescent="0.3">
      <c r="A6" s="13"/>
      <c r="B6" s="13"/>
      <c r="C6" s="15" t="s">
        <v>22</v>
      </c>
      <c r="D6" s="50">
        <v>920</v>
      </c>
      <c r="E6" s="13"/>
      <c r="F6" s="13"/>
    </row>
    <row r="7" spans="1:6" ht="15.6" x14ac:dyDescent="0.3">
      <c r="A7" s="13"/>
      <c r="B7" s="13" t="s">
        <v>26</v>
      </c>
      <c r="C7" s="15" t="s">
        <v>25</v>
      </c>
      <c r="D7" s="50">
        <f>D6+10</f>
        <v>930</v>
      </c>
      <c r="E7" s="13"/>
      <c r="F7" s="13"/>
    </row>
    <row r="8" spans="1:6" ht="15.6" x14ac:dyDescent="0.3">
      <c r="A8" s="13"/>
      <c r="B8" s="13" t="s">
        <v>28</v>
      </c>
      <c r="C8" s="15" t="s">
        <v>27</v>
      </c>
      <c r="D8" s="50">
        <v>7</v>
      </c>
      <c r="E8" s="13"/>
      <c r="F8" s="13"/>
    </row>
    <row r="9" spans="1:6" ht="15.6" x14ac:dyDescent="0.3">
      <c r="A9" s="13"/>
      <c r="B9" s="13" t="s">
        <v>29</v>
      </c>
      <c r="C9" s="15" t="s">
        <v>23</v>
      </c>
      <c r="D9" s="50">
        <v>810</v>
      </c>
      <c r="E9" s="13"/>
      <c r="F9" s="13"/>
    </row>
    <row r="10" spans="1:6" ht="16.2" thickBot="1" x14ac:dyDescent="0.35">
      <c r="A10" s="13"/>
      <c r="B10" s="13" t="s">
        <v>30</v>
      </c>
      <c r="C10" s="15" t="s">
        <v>36</v>
      </c>
      <c r="D10" s="50">
        <f>D9*1.03</f>
        <v>834.30000000000007</v>
      </c>
      <c r="E10" s="13"/>
      <c r="F10" s="13"/>
    </row>
    <row r="11" spans="1:6" ht="16.2" thickBot="1" x14ac:dyDescent="0.35">
      <c r="A11" s="13"/>
      <c r="B11" s="13" t="s">
        <v>33</v>
      </c>
      <c r="C11" s="16" t="s">
        <v>31</v>
      </c>
      <c r="D11" s="51">
        <v>140</v>
      </c>
      <c r="E11" s="53" t="s">
        <v>32</v>
      </c>
      <c r="F11" s="13"/>
    </row>
    <row r="12" spans="1:6" ht="16.2" thickBot="1" x14ac:dyDescent="0.35">
      <c r="A12" s="13"/>
      <c r="B12" s="13"/>
      <c r="C12" s="13"/>
      <c r="D12" s="32"/>
      <c r="E12" s="13"/>
      <c r="F12" s="13"/>
    </row>
    <row r="13" spans="1:6" ht="16.2" thickBot="1" x14ac:dyDescent="0.35">
      <c r="A13" s="13"/>
      <c r="B13" s="13"/>
      <c r="C13" s="52" t="s">
        <v>35</v>
      </c>
      <c r="D13" s="33">
        <f>D5-D7</f>
        <v>69</v>
      </c>
      <c r="E13" s="13"/>
      <c r="F13" s="13"/>
    </row>
    <row r="14" spans="1:6" ht="15.6" x14ac:dyDescent="0.3">
      <c r="A14" s="13"/>
      <c r="B14" s="13"/>
      <c r="C14" s="13"/>
      <c r="D14" s="32"/>
      <c r="E14" s="13"/>
      <c r="F14" s="13"/>
    </row>
    <row r="15" spans="1:6" ht="16.2" thickBot="1" x14ac:dyDescent="0.35">
      <c r="A15" s="13"/>
      <c r="B15" s="13"/>
      <c r="C15" s="13"/>
      <c r="D15" s="13"/>
      <c r="E15" s="13"/>
      <c r="F15" s="13"/>
    </row>
    <row r="16" spans="1:6" ht="16.2" thickBot="1" x14ac:dyDescent="0.35">
      <c r="A16" s="13"/>
      <c r="B16" s="13"/>
      <c r="C16" s="13"/>
      <c r="D16" s="13"/>
      <c r="E16" s="17" t="s">
        <v>41</v>
      </c>
      <c r="F16" s="13"/>
    </row>
    <row r="17" spans="1:6" ht="16.2" customHeight="1" thickBot="1" x14ac:dyDescent="0.35">
      <c r="A17" s="13"/>
      <c r="B17" s="13"/>
      <c r="C17" s="100" t="s">
        <v>37</v>
      </c>
      <c r="D17" s="101"/>
      <c r="E17" s="13"/>
      <c r="F17" s="13"/>
    </row>
    <row r="18" spans="1:6" ht="16.2" thickBot="1" x14ac:dyDescent="0.35">
      <c r="A18" s="13"/>
      <c r="B18" s="13"/>
      <c r="C18" s="102">
        <f>(((1743.811*((D8)^1.852)*D10)/(((D11)^1.852)*D13))^(1/4.87))</f>
        <v>2.4723728503311801</v>
      </c>
      <c r="D18" s="103"/>
      <c r="E18" s="17" t="s">
        <v>42</v>
      </c>
      <c r="F18" s="13"/>
    </row>
    <row r="19" spans="1:6" ht="15.6" x14ac:dyDescent="0.3">
      <c r="A19" s="13"/>
      <c r="B19" s="13"/>
      <c r="C19" s="18" t="s">
        <v>38</v>
      </c>
      <c r="D19" s="19">
        <f>ROUNDUP(C18,0)</f>
        <v>3</v>
      </c>
      <c r="E19" s="13" t="s">
        <v>40</v>
      </c>
      <c r="F19" s="13"/>
    </row>
    <row r="20" spans="1:6" ht="16.2" thickBot="1" x14ac:dyDescent="0.35">
      <c r="A20" s="13"/>
      <c r="B20" s="13"/>
      <c r="C20" s="20" t="s">
        <v>39</v>
      </c>
      <c r="D20" s="21">
        <f>ROUNDDOWN(C18,0)</f>
        <v>2</v>
      </c>
      <c r="E20" s="13" t="s">
        <v>40</v>
      </c>
      <c r="F20" s="13"/>
    </row>
    <row r="21" spans="1:6" ht="15.6" x14ac:dyDescent="0.3">
      <c r="A21" s="13"/>
      <c r="B21" s="13"/>
      <c r="C21" s="13"/>
      <c r="D21" s="13"/>
      <c r="E21" s="13"/>
      <c r="F21" s="13"/>
    </row>
    <row r="22" spans="1:6" ht="16.2" thickBot="1" x14ac:dyDescent="0.35">
      <c r="A22" s="13"/>
      <c r="B22" s="13"/>
      <c r="C22" s="13"/>
      <c r="D22" s="13"/>
      <c r="E22" s="13"/>
      <c r="F22" s="13"/>
    </row>
    <row r="23" spans="1:6" ht="21.6" thickBot="1" x14ac:dyDescent="0.45">
      <c r="A23" s="13"/>
      <c r="B23" s="107" t="s">
        <v>43</v>
      </c>
      <c r="C23" s="108"/>
      <c r="D23" s="108"/>
      <c r="E23" s="108"/>
      <c r="F23" s="109"/>
    </row>
    <row r="24" spans="1:6" ht="16.2" thickBot="1" x14ac:dyDescent="0.35">
      <c r="A24" s="13"/>
      <c r="B24" s="13"/>
      <c r="C24" s="13"/>
      <c r="D24" s="13"/>
      <c r="E24" s="13"/>
      <c r="F24" s="13"/>
    </row>
    <row r="25" spans="1:6" ht="15.6" x14ac:dyDescent="0.3">
      <c r="A25" s="13"/>
      <c r="B25" s="13"/>
      <c r="C25" s="22" t="s">
        <v>44</v>
      </c>
      <c r="D25" s="35">
        <f>(((1743.811*(($D$8)^1.852)*$D$10)/((($D$11)^1.852)*(D19)^4.87)))</f>
        <v>26.89884262284167</v>
      </c>
      <c r="E25" s="24" t="s">
        <v>46</v>
      </c>
      <c r="F25" s="13"/>
    </row>
    <row r="26" spans="1:6" ht="16.2" thickBot="1" x14ac:dyDescent="0.35">
      <c r="A26" s="13"/>
      <c r="B26" s="13"/>
      <c r="C26" s="25" t="s">
        <v>45</v>
      </c>
      <c r="D26" s="38">
        <f>(((1743.811*(($D$8)^1.852)*$D$10)/((($D$11)^1.852)*(D20)^4.87)))</f>
        <v>193.77512495162441</v>
      </c>
      <c r="E26" s="21" t="s">
        <v>47</v>
      </c>
      <c r="F26" s="13"/>
    </row>
    <row r="27" spans="1:6" ht="16.2" thickBot="1" x14ac:dyDescent="0.35">
      <c r="A27" s="13"/>
      <c r="B27" s="13"/>
      <c r="C27" s="13"/>
      <c r="D27" s="32"/>
      <c r="E27" s="13"/>
      <c r="F27" s="13"/>
    </row>
    <row r="28" spans="1:6" ht="15.6" x14ac:dyDescent="0.3">
      <c r="A28" s="13"/>
      <c r="B28" s="13"/>
      <c r="C28" s="22" t="s">
        <v>46</v>
      </c>
      <c r="D28" s="36">
        <f>D25</f>
        <v>26.89884262284167</v>
      </c>
      <c r="E28" s="13"/>
      <c r="F28" s="13"/>
    </row>
    <row r="29" spans="1:6" ht="16.2" thickBot="1" x14ac:dyDescent="0.35">
      <c r="A29" s="13"/>
      <c r="B29" s="13"/>
      <c r="C29" s="25" t="s">
        <v>47</v>
      </c>
      <c r="D29" s="39">
        <f>D26</f>
        <v>193.77512495162441</v>
      </c>
      <c r="E29" s="13"/>
      <c r="F29" s="13"/>
    </row>
    <row r="30" spans="1:6" ht="16.2" thickBot="1" x14ac:dyDescent="0.35">
      <c r="A30" s="13"/>
      <c r="B30" s="13"/>
      <c r="C30" s="13"/>
      <c r="D30" s="13"/>
      <c r="E30" s="13"/>
      <c r="F30" s="13"/>
    </row>
    <row r="31" spans="1:6" ht="16.2" thickBot="1" x14ac:dyDescent="0.35">
      <c r="A31" s="13"/>
      <c r="B31" s="13"/>
      <c r="C31" s="17" t="s">
        <v>48</v>
      </c>
      <c r="D31" s="22">
        <f>D19</f>
        <v>3</v>
      </c>
      <c r="E31" s="23"/>
      <c r="F31" s="36">
        <f>D28</f>
        <v>26.89884262284167</v>
      </c>
    </row>
    <row r="32" spans="1:6" ht="15.6" x14ac:dyDescent="0.3">
      <c r="A32" s="13"/>
      <c r="B32" s="13"/>
      <c r="C32" s="13"/>
      <c r="D32" s="27">
        <f>C18</f>
        <v>2.4723728503311801</v>
      </c>
      <c r="E32" s="28"/>
      <c r="F32" s="46">
        <f>D13</f>
        <v>69</v>
      </c>
    </row>
    <row r="33" spans="1:6" ht="16.2" thickBot="1" x14ac:dyDescent="0.35">
      <c r="A33" s="13"/>
      <c r="B33" s="13"/>
      <c r="C33" s="13"/>
      <c r="D33" s="25">
        <f>D20</f>
        <v>2</v>
      </c>
      <c r="E33" s="26"/>
      <c r="F33" s="39">
        <f>D29</f>
        <v>193.77512495162441</v>
      </c>
    </row>
    <row r="34" spans="1:6" ht="16.2" thickBot="1" x14ac:dyDescent="0.35">
      <c r="A34" s="13"/>
      <c r="B34" s="13"/>
      <c r="C34" s="13"/>
      <c r="D34" s="13"/>
      <c r="E34" s="13"/>
      <c r="F34" s="13"/>
    </row>
    <row r="35" spans="1:6" ht="21.6" thickBot="1" x14ac:dyDescent="0.45">
      <c r="A35" s="13"/>
      <c r="B35" s="107" t="s">
        <v>49</v>
      </c>
      <c r="C35" s="108"/>
      <c r="D35" s="108"/>
      <c r="E35" s="109"/>
      <c r="F35" s="13"/>
    </row>
    <row r="36" spans="1:6" ht="16.2" thickBot="1" x14ac:dyDescent="0.35">
      <c r="A36" s="13"/>
      <c r="B36" s="13"/>
      <c r="C36" s="13"/>
      <c r="D36" s="13"/>
      <c r="E36" s="13"/>
      <c r="F36" s="13"/>
    </row>
    <row r="37" spans="1:6" ht="15.6" x14ac:dyDescent="0.3">
      <c r="A37" s="13"/>
      <c r="B37" s="13"/>
      <c r="C37" s="22" t="s">
        <v>50</v>
      </c>
      <c r="D37" s="36">
        <f>D10</f>
        <v>834.30000000000007</v>
      </c>
      <c r="E37" s="13"/>
      <c r="F37" s="13"/>
    </row>
    <row r="38" spans="1:6" ht="15.6" x14ac:dyDescent="0.3">
      <c r="A38" s="13"/>
      <c r="B38" s="13"/>
      <c r="C38" s="27" t="s">
        <v>51</v>
      </c>
      <c r="D38" s="46">
        <f>D13</f>
        <v>69</v>
      </c>
      <c r="E38" s="13"/>
      <c r="F38" s="13"/>
    </row>
    <row r="39" spans="1:6" ht="15.6" x14ac:dyDescent="0.3">
      <c r="A39" s="13"/>
      <c r="B39" s="13"/>
      <c r="C39" s="27" t="s">
        <v>46</v>
      </c>
      <c r="D39" s="46">
        <f>D28</f>
        <v>26.89884262284167</v>
      </c>
      <c r="E39" s="13"/>
      <c r="F39" s="13"/>
    </row>
    <row r="40" spans="1:6" ht="15.6" x14ac:dyDescent="0.3">
      <c r="A40" s="13"/>
      <c r="B40" s="13"/>
      <c r="C40" s="27" t="s">
        <v>47</v>
      </c>
      <c r="D40" s="46">
        <f>D29</f>
        <v>193.77512495162441</v>
      </c>
      <c r="E40" s="13"/>
      <c r="F40" s="13"/>
    </row>
    <row r="41" spans="1:6" ht="15.6" x14ac:dyDescent="0.3">
      <c r="A41" s="13"/>
      <c r="B41" s="13"/>
      <c r="C41" s="29" t="s">
        <v>52</v>
      </c>
      <c r="D41" s="47">
        <f>D37*((D38-D39)/(D40-D39))</f>
        <v>210.48524757136715</v>
      </c>
      <c r="E41" s="13"/>
      <c r="F41" s="13"/>
    </row>
    <row r="42" spans="1:6" ht="16.2" thickBot="1" x14ac:dyDescent="0.35">
      <c r="A42" s="13"/>
      <c r="B42" s="13"/>
      <c r="C42" s="30" t="s">
        <v>53</v>
      </c>
      <c r="D42" s="48">
        <f>D37-D41</f>
        <v>623.81475242863291</v>
      </c>
      <c r="E42" s="13"/>
      <c r="F42" s="13"/>
    </row>
    <row r="43" spans="1:6" ht="15.6" x14ac:dyDescent="0.3">
      <c r="A43" s="13"/>
      <c r="B43" s="13"/>
      <c r="C43" s="13"/>
      <c r="D43" s="13"/>
      <c r="E43" s="13"/>
      <c r="F43" s="13"/>
    </row>
    <row r="44" spans="1:6" ht="15.6" x14ac:dyDescent="0.3">
      <c r="A44" s="13"/>
      <c r="B44" s="13"/>
      <c r="C44" s="13"/>
      <c r="D44" s="13"/>
      <c r="E44" s="13"/>
      <c r="F44" s="13"/>
    </row>
    <row r="45" spans="1:6" ht="15.6" x14ac:dyDescent="0.3">
      <c r="A45" s="13"/>
      <c r="B45" s="13" t="s">
        <v>54</v>
      </c>
      <c r="C45" s="13" t="s">
        <v>55</v>
      </c>
      <c r="D45" s="13"/>
      <c r="E45" s="13"/>
      <c r="F45" s="13"/>
    </row>
    <row r="46" spans="1:6" ht="16.2" thickBot="1" x14ac:dyDescent="0.35">
      <c r="A46" s="13"/>
      <c r="B46" s="13"/>
      <c r="C46" s="13"/>
      <c r="D46" s="13"/>
      <c r="E46" s="13"/>
      <c r="F46" s="13"/>
    </row>
    <row r="47" spans="1:6" ht="15.6" x14ac:dyDescent="0.3">
      <c r="A47" s="13"/>
      <c r="B47" s="13"/>
      <c r="C47" s="22" t="s">
        <v>56</v>
      </c>
      <c r="D47" s="36">
        <f>D8</f>
        <v>7</v>
      </c>
      <c r="E47" s="13"/>
      <c r="F47" s="13"/>
    </row>
    <row r="48" spans="1:6" ht="15.6" x14ac:dyDescent="0.3">
      <c r="A48" s="13"/>
      <c r="B48" s="13"/>
      <c r="C48" s="27" t="s">
        <v>57</v>
      </c>
      <c r="D48" s="46">
        <f>D11</f>
        <v>140</v>
      </c>
      <c r="E48" s="13"/>
      <c r="F48" s="13"/>
    </row>
    <row r="49" spans="1:6" ht="15.6" x14ac:dyDescent="0.3">
      <c r="A49" s="13"/>
      <c r="B49" s="13"/>
      <c r="C49" s="27" t="s">
        <v>38</v>
      </c>
      <c r="D49" s="46">
        <f>D19</f>
        <v>3</v>
      </c>
      <c r="E49" s="13"/>
      <c r="F49" s="13"/>
    </row>
    <row r="50" spans="1:6" ht="15.6" x14ac:dyDescent="0.3">
      <c r="A50" s="13"/>
      <c r="B50" s="13"/>
      <c r="C50" s="27" t="s">
        <v>53</v>
      </c>
      <c r="D50" s="46">
        <f>D42</f>
        <v>623.81475242863291</v>
      </c>
      <c r="E50" s="13"/>
      <c r="F50" s="13"/>
    </row>
    <row r="51" spans="1:6" ht="15.6" x14ac:dyDescent="0.3">
      <c r="A51" s="13"/>
      <c r="B51" s="13"/>
      <c r="C51" s="29" t="s">
        <v>58</v>
      </c>
      <c r="D51" s="47">
        <f>(((1743.811*((D47)^1.852)*D50)/(((D11)^1.852)*(D49)^4.87)))</f>
        <v>20.11254327146678</v>
      </c>
      <c r="E51" s="13"/>
      <c r="F51" s="13"/>
    </row>
    <row r="52" spans="1:6" ht="15.6" x14ac:dyDescent="0.3">
      <c r="A52" s="13"/>
      <c r="B52" s="13"/>
      <c r="C52" s="27" t="s">
        <v>39</v>
      </c>
      <c r="D52" s="46">
        <f>D20</f>
        <v>2</v>
      </c>
      <c r="E52" s="13"/>
      <c r="F52" s="13"/>
    </row>
    <row r="53" spans="1:6" ht="15.6" x14ac:dyDescent="0.3">
      <c r="A53" s="13"/>
      <c r="B53" s="13"/>
      <c r="C53" s="27" t="s">
        <v>52</v>
      </c>
      <c r="D53" s="46">
        <f>D41</f>
        <v>210.48524757136715</v>
      </c>
      <c r="E53" s="13"/>
      <c r="F53" s="13"/>
    </row>
    <row r="54" spans="1:6" ht="16.2" thickBot="1" x14ac:dyDescent="0.35">
      <c r="A54" s="13"/>
      <c r="B54" s="13"/>
      <c r="C54" s="30" t="s">
        <v>59</v>
      </c>
      <c r="D54" s="48">
        <f>(((1743.811*((D47)^1.852)*D53)/(((D11)^1.852)*(D52)^4.87)))</f>
        <v>48.887456728533216</v>
      </c>
      <c r="E54" s="13"/>
      <c r="F54" s="13"/>
    </row>
    <row r="55" spans="1:6" ht="16.2" thickBot="1" x14ac:dyDescent="0.35">
      <c r="A55" s="13"/>
      <c r="B55" s="13"/>
      <c r="C55" s="13"/>
      <c r="D55" s="13"/>
      <c r="E55" s="13"/>
      <c r="F55" s="13"/>
    </row>
    <row r="56" spans="1:6" ht="21.6" thickBot="1" x14ac:dyDescent="0.45">
      <c r="A56" s="13"/>
      <c r="B56" s="107" t="s">
        <v>60</v>
      </c>
      <c r="C56" s="108"/>
      <c r="D56" s="108"/>
      <c r="E56" s="108"/>
      <c r="F56" s="109"/>
    </row>
    <row r="57" spans="1:6" ht="16.2" thickBot="1" x14ac:dyDescent="0.35">
      <c r="A57" s="13"/>
      <c r="B57" s="13"/>
      <c r="C57" s="13"/>
      <c r="D57" s="13"/>
      <c r="E57" s="13"/>
      <c r="F57" s="13"/>
    </row>
    <row r="58" spans="1:6" ht="16.2" thickBot="1" x14ac:dyDescent="0.35">
      <c r="A58" s="13"/>
      <c r="B58" s="13"/>
      <c r="C58" s="13"/>
      <c r="D58" s="13"/>
      <c r="E58" s="13"/>
      <c r="F58" s="31" t="s">
        <v>64</v>
      </c>
    </row>
    <row r="59" spans="1:6" ht="15.6" x14ac:dyDescent="0.3">
      <c r="A59" s="13"/>
      <c r="B59" s="13"/>
      <c r="C59" s="22" t="s">
        <v>61</v>
      </c>
      <c r="D59" s="40">
        <f>D50/6</f>
        <v>103.96912540477216</v>
      </c>
      <c r="E59" s="41">
        <f>ROUND(D59,0)</f>
        <v>104</v>
      </c>
      <c r="F59" s="42">
        <f>D19</f>
        <v>3</v>
      </c>
    </row>
    <row r="60" spans="1:6" ht="16.2" thickBot="1" x14ac:dyDescent="0.35">
      <c r="A60" s="13"/>
      <c r="B60" s="13"/>
      <c r="C60" s="9" t="s">
        <v>62</v>
      </c>
      <c r="D60" s="43">
        <f>D53/6</f>
        <v>35.080874595227861</v>
      </c>
      <c r="E60" s="44">
        <f>ROUND(D60,0)</f>
        <v>35</v>
      </c>
      <c r="F60" s="45">
        <f>D20</f>
        <v>2</v>
      </c>
    </row>
    <row r="61" spans="1:6" ht="15.6" x14ac:dyDescent="0.3">
      <c r="A61" s="13"/>
      <c r="B61" s="13"/>
      <c r="C61" s="13"/>
      <c r="D61" s="13"/>
      <c r="E61" s="13"/>
      <c r="F61" s="13"/>
    </row>
    <row r="62" spans="1:6" ht="15.6" x14ac:dyDescent="0.3">
      <c r="A62" s="13"/>
      <c r="B62" s="13"/>
      <c r="C62" s="13"/>
      <c r="D62" s="13"/>
      <c r="E62" s="13"/>
      <c r="F62" s="13"/>
    </row>
    <row r="63" spans="1:6" ht="15.6" x14ac:dyDescent="0.3">
      <c r="A63" s="13"/>
      <c r="B63" s="13"/>
      <c r="C63" s="13"/>
      <c r="D63" s="13"/>
      <c r="E63" s="13"/>
      <c r="F63" s="13"/>
    </row>
    <row r="64" spans="1:6" ht="15.6" x14ac:dyDescent="0.3">
      <c r="A64" s="13"/>
      <c r="B64" s="13"/>
      <c r="C64" s="13"/>
      <c r="D64" s="13"/>
      <c r="E64" s="13"/>
      <c r="F64" s="13"/>
    </row>
    <row r="65" spans="1:6" ht="22.8" x14ac:dyDescent="0.4">
      <c r="A65" s="13"/>
      <c r="B65" s="106" t="s">
        <v>63</v>
      </c>
      <c r="C65" s="106"/>
      <c r="D65" s="106"/>
      <c r="E65" s="106"/>
      <c r="F65" s="106"/>
    </row>
    <row r="66" spans="1:6" ht="23.4" thickBot="1" x14ac:dyDescent="0.45">
      <c r="A66" s="13"/>
      <c r="B66" s="54"/>
      <c r="C66" s="54"/>
      <c r="D66" s="54"/>
      <c r="E66" s="54"/>
      <c r="F66" s="54"/>
    </row>
    <row r="67" spans="1:6" ht="18" customHeight="1" thickBot="1" x14ac:dyDescent="0.35">
      <c r="A67" s="13"/>
      <c r="C67" s="104" t="s">
        <v>66</v>
      </c>
      <c r="D67" s="105"/>
      <c r="E67" s="32"/>
      <c r="F67" s="32"/>
    </row>
    <row r="68" spans="1:6" ht="15.6" x14ac:dyDescent="0.3">
      <c r="A68" s="13"/>
      <c r="B68" s="13"/>
      <c r="C68" s="34">
        <f>E59*6</f>
        <v>624</v>
      </c>
      <c r="D68" s="35" t="s">
        <v>65</v>
      </c>
      <c r="E68" s="35" t="s">
        <v>64</v>
      </c>
      <c r="F68" s="36">
        <f>D19</f>
        <v>3</v>
      </c>
    </row>
    <row r="69" spans="1:6" ht="16.2" thickBot="1" x14ac:dyDescent="0.35">
      <c r="A69" s="13"/>
      <c r="B69" s="13"/>
      <c r="C69" s="37">
        <f>E60*6</f>
        <v>210</v>
      </c>
      <c r="D69" s="38" t="s">
        <v>65</v>
      </c>
      <c r="E69" s="38" t="s">
        <v>64</v>
      </c>
      <c r="F69" s="39">
        <f>D20</f>
        <v>2</v>
      </c>
    </row>
    <row r="70" spans="1:6" ht="16.2" thickBot="1" x14ac:dyDescent="0.35">
      <c r="A70" s="13"/>
      <c r="B70" s="13"/>
      <c r="C70" s="55"/>
      <c r="D70" s="32"/>
      <c r="E70" s="32"/>
      <c r="F70" s="32"/>
    </row>
    <row r="71" spans="1:6" ht="18" thickBot="1" x14ac:dyDescent="0.35">
      <c r="A71" s="13"/>
      <c r="B71" s="100" t="s">
        <v>68</v>
      </c>
      <c r="C71" s="101"/>
      <c r="D71" s="13"/>
      <c r="E71" s="13"/>
      <c r="F71" s="13"/>
    </row>
    <row r="72" spans="1:6" ht="18" thickBot="1" x14ac:dyDescent="0.35">
      <c r="A72" s="13"/>
      <c r="B72" s="58" t="s">
        <v>67</v>
      </c>
      <c r="C72" s="58">
        <f>D5-D51</f>
        <v>978.88745672853327</v>
      </c>
      <c r="D72" s="13"/>
      <c r="E72" s="13"/>
      <c r="F72" s="13"/>
    </row>
    <row r="73" spans="1:6" ht="18" thickBot="1" x14ac:dyDescent="0.35">
      <c r="A73" s="13"/>
      <c r="B73" s="56"/>
      <c r="C73" s="57">
        <f>C72-D54</f>
        <v>930</v>
      </c>
      <c r="D73" s="13"/>
      <c r="E73" s="13"/>
      <c r="F73" s="13"/>
    </row>
    <row r="74" spans="1:6" ht="15.6" x14ac:dyDescent="0.3">
      <c r="A74" s="13"/>
      <c r="B74" s="13"/>
      <c r="C74" s="13"/>
      <c r="D74" s="13"/>
      <c r="E74" s="13"/>
      <c r="F74" s="13"/>
    </row>
    <row r="75" spans="1:6" ht="15.6" x14ac:dyDescent="0.3">
      <c r="A75" s="13"/>
      <c r="B75" s="13"/>
      <c r="C75" s="13"/>
      <c r="D75" s="13"/>
      <c r="E75" s="13"/>
      <c r="F75" s="13"/>
    </row>
    <row r="76" spans="1:6" ht="15.6" x14ac:dyDescent="0.3">
      <c r="A76" s="13"/>
      <c r="B76" s="13"/>
      <c r="C76" s="13"/>
      <c r="D76" s="13"/>
      <c r="E76" s="13"/>
      <c r="F76" s="13"/>
    </row>
    <row r="77" spans="1:6" ht="15.6" x14ac:dyDescent="0.3">
      <c r="A77" s="13"/>
      <c r="B77" s="13"/>
      <c r="C77" s="13"/>
      <c r="D77" s="13"/>
      <c r="E77" s="13"/>
      <c r="F77" s="13"/>
    </row>
    <row r="78" spans="1:6" ht="15.6" x14ac:dyDescent="0.3">
      <c r="A78" s="13"/>
      <c r="B78" s="13"/>
      <c r="C78" s="13"/>
      <c r="D78" s="13"/>
      <c r="E78" s="13"/>
      <c r="F78" s="13"/>
    </row>
    <row r="79" spans="1:6" ht="15.6" x14ac:dyDescent="0.3">
      <c r="A79" s="13"/>
      <c r="B79" s="13"/>
      <c r="C79" s="13"/>
      <c r="D79" s="13"/>
      <c r="E79" s="13"/>
      <c r="F79" s="13"/>
    </row>
    <row r="80" spans="1:6" ht="15.6" x14ac:dyDescent="0.3">
      <c r="A80" s="13"/>
      <c r="B80" s="13"/>
      <c r="C80" s="13"/>
      <c r="D80" s="13"/>
      <c r="E80" s="13"/>
      <c r="F80" s="13"/>
    </row>
    <row r="81" spans="1:6" ht="15.6" x14ac:dyDescent="0.3">
      <c r="A81" s="13"/>
      <c r="B81" s="13"/>
      <c r="C81" s="13"/>
      <c r="D81" s="13"/>
      <c r="E81" s="13"/>
      <c r="F81" s="13"/>
    </row>
    <row r="82" spans="1:6" ht="15.6" x14ac:dyDescent="0.3">
      <c r="A82" s="13"/>
      <c r="B82" s="13"/>
      <c r="C82" s="13"/>
      <c r="D82" s="13"/>
      <c r="E82" s="13"/>
      <c r="F82" s="13"/>
    </row>
    <row r="83" spans="1:6" ht="15.6" x14ac:dyDescent="0.3">
      <c r="A83" s="13"/>
      <c r="B83" s="13"/>
      <c r="C83" s="13"/>
      <c r="D83" s="13"/>
      <c r="E83" s="13"/>
      <c r="F83" s="13"/>
    </row>
    <row r="84" spans="1:6" ht="15.6" x14ac:dyDescent="0.3">
      <c r="A84" s="13"/>
      <c r="B84" s="13"/>
      <c r="C84" s="13"/>
      <c r="D84" s="13"/>
      <c r="E84" s="13"/>
      <c r="F84" s="13"/>
    </row>
    <row r="85" spans="1:6" ht="15.6" x14ac:dyDescent="0.3">
      <c r="A85" s="13"/>
      <c r="B85" s="13"/>
      <c r="C85" s="13"/>
      <c r="D85" s="13"/>
      <c r="E85" s="13"/>
      <c r="F85" s="13"/>
    </row>
    <row r="86" spans="1:6" ht="15.6" x14ac:dyDescent="0.3">
      <c r="A86" s="13"/>
      <c r="B86" s="13"/>
      <c r="C86" s="13"/>
      <c r="D86" s="13"/>
      <c r="E86" s="13"/>
      <c r="F86" s="13"/>
    </row>
    <row r="87" spans="1:6" ht="15.6" x14ac:dyDescent="0.3">
      <c r="A87" s="13"/>
      <c r="B87" s="13"/>
      <c r="C87" s="13"/>
      <c r="D87" s="13"/>
      <c r="E87" s="13"/>
      <c r="F87" s="13"/>
    </row>
    <row r="88" spans="1:6" ht="15.6" x14ac:dyDescent="0.3">
      <c r="A88" s="13"/>
      <c r="B88" s="13"/>
      <c r="C88" s="13"/>
      <c r="D88" s="13"/>
      <c r="E88" s="13"/>
      <c r="F88" s="13"/>
    </row>
    <row r="89" spans="1:6" ht="15.6" x14ac:dyDescent="0.3">
      <c r="A89" s="13"/>
      <c r="B89" s="13"/>
      <c r="C89" s="13"/>
      <c r="D89" s="13"/>
      <c r="E89" s="13"/>
      <c r="F89" s="13"/>
    </row>
    <row r="90" spans="1:6" ht="15.6" x14ac:dyDescent="0.3">
      <c r="A90" s="13"/>
      <c r="B90" s="13"/>
      <c r="C90" s="13"/>
      <c r="D90" s="13"/>
      <c r="E90" s="13"/>
      <c r="F90" s="13"/>
    </row>
    <row r="91" spans="1:6" ht="15.6" x14ac:dyDescent="0.3">
      <c r="A91" s="13"/>
      <c r="B91" s="13"/>
      <c r="C91" s="13"/>
      <c r="D91" s="13"/>
      <c r="E91" s="13"/>
      <c r="F91" s="13"/>
    </row>
    <row r="92" spans="1:6" ht="15.6" x14ac:dyDescent="0.3">
      <c r="A92" s="13"/>
      <c r="B92" s="13"/>
      <c r="C92" s="13"/>
      <c r="D92" s="13"/>
      <c r="E92" s="13"/>
      <c r="F92" s="13"/>
    </row>
    <row r="93" spans="1:6" ht="15.6" x14ac:dyDescent="0.3">
      <c r="A93" s="13"/>
      <c r="B93" s="13"/>
      <c r="C93" s="13"/>
      <c r="D93" s="13"/>
      <c r="E93" s="13"/>
      <c r="F93" s="13"/>
    </row>
    <row r="94" spans="1:6" ht="15.6" x14ac:dyDescent="0.3">
      <c r="A94" s="13"/>
      <c r="B94" s="13"/>
      <c r="C94" s="13"/>
      <c r="D94" s="13"/>
      <c r="E94" s="13"/>
      <c r="F94" s="13"/>
    </row>
    <row r="95" spans="1:6" ht="15.6" x14ac:dyDescent="0.3">
      <c r="A95" s="13"/>
      <c r="B95" s="13"/>
      <c r="C95" s="13"/>
      <c r="D95" s="13"/>
      <c r="E95" s="13"/>
      <c r="F95" s="13"/>
    </row>
    <row r="96" spans="1:6" ht="15.6" x14ac:dyDescent="0.3">
      <c r="A96" s="13"/>
      <c r="B96" s="13"/>
      <c r="C96" s="13"/>
      <c r="D96" s="13"/>
      <c r="E96" s="13"/>
      <c r="F96" s="13"/>
    </row>
    <row r="97" spans="1:6" ht="15.6" x14ac:dyDescent="0.3">
      <c r="A97" s="13"/>
      <c r="B97" s="13"/>
      <c r="C97" s="13"/>
      <c r="D97" s="13"/>
      <c r="E97" s="13"/>
      <c r="F97" s="13"/>
    </row>
    <row r="98" spans="1:6" ht="15.6" x14ac:dyDescent="0.3">
      <c r="A98" s="13"/>
      <c r="B98" s="13"/>
      <c r="C98" s="13"/>
      <c r="D98" s="13"/>
      <c r="E98" s="13"/>
      <c r="F98" s="13"/>
    </row>
    <row r="99" spans="1:6" ht="15.6" x14ac:dyDescent="0.3">
      <c r="A99" s="13"/>
      <c r="B99" s="13"/>
      <c r="C99" s="13"/>
      <c r="D99" s="13"/>
      <c r="E99" s="13"/>
      <c r="F99" s="13"/>
    </row>
    <row r="100" spans="1:6" ht="15.6" x14ac:dyDescent="0.3">
      <c r="A100" s="13"/>
      <c r="B100" s="13"/>
      <c r="C100" s="13"/>
      <c r="D100" s="13"/>
      <c r="E100" s="13"/>
      <c r="F100" s="13"/>
    </row>
    <row r="101" spans="1:6" ht="15.6" x14ac:dyDescent="0.3">
      <c r="A101" s="13"/>
      <c r="B101" s="13"/>
      <c r="C101" s="13"/>
      <c r="D101" s="13"/>
      <c r="E101" s="13"/>
      <c r="F101" s="13"/>
    </row>
    <row r="102" spans="1:6" ht="15.6" x14ac:dyDescent="0.3">
      <c r="A102" s="13"/>
      <c r="B102" s="13"/>
      <c r="C102" s="13"/>
      <c r="D102" s="13"/>
      <c r="E102" s="13"/>
      <c r="F102" s="13"/>
    </row>
    <row r="103" spans="1:6" ht="15.6" x14ac:dyDescent="0.3">
      <c r="A103" s="13"/>
      <c r="B103" s="13"/>
      <c r="C103" s="13"/>
      <c r="D103" s="13"/>
      <c r="E103" s="13"/>
      <c r="F103" s="13"/>
    </row>
    <row r="104" spans="1:6" ht="15.6" x14ac:dyDescent="0.3">
      <c r="A104" s="13"/>
      <c r="B104" s="13"/>
      <c r="C104" s="13"/>
      <c r="D104" s="13"/>
      <c r="E104" s="13"/>
      <c r="F104" s="13"/>
    </row>
  </sheetData>
  <mergeCells count="8">
    <mergeCell ref="B71:C71"/>
    <mergeCell ref="C17:D17"/>
    <mergeCell ref="C18:D18"/>
    <mergeCell ref="C67:D67"/>
    <mergeCell ref="B65:F65"/>
    <mergeCell ref="B56:F56"/>
    <mergeCell ref="B35:E35"/>
    <mergeCell ref="B23:F23"/>
  </mergeCells>
  <pageMargins left="0.7" right="0.7" top="0.75" bottom="0.75" header="0.3" footer="0.3"/>
  <pageSetup paperSize="9" scale="54" orientation="portrait" r:id="rId1"/>
  <headerFooter>
    <oddHeader xml:space="preserve">&amp;C&amp;"ADLaM Display,Normal"&amp;16CALCULO DE LINEA DE CONDUCCICON </oddHead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65285-E11F-4DE4-AE30-16BC886A295A}">
  <sheetPr codeName="Hoja5"/>
  <dimension ref="A1:E41"/>
  <sheetViews>
    <sheetView view="pageLayout" topLeftCell="A26" zoomScale="106" zoomScaleNormal="100" zoomScalePageLayoutView="106" workbookViewId="0">
      <selection activeCell="E38" sqref="E38"/>
    </sheetView>
  </sheetViews>
  <sheetFormatPr baseColWidth="10" defaultRowHeight="14.4" x14ac:dyDescent="0.3"/>
  <cols>
    <col min="1" max="1" width="14.5546875" bestFit="1" customWidth="1"/>
    <col min="2" max="2" width="24" bestFit="1" customWidth="1"/>
    <col min="3" max="3" width="17.77734375" bestFit="1" customWidth="1"/>
    <col min="4" max="4" width="27" bestFit="1" customWidth="1"/>
    <col min="5" max="5" width="4.109375" bestFit="1" customWidth="1"/>
    <col min="6" max="7" width="4" customWidth="1"/>
    <col min="8" max="8" width="4" bestFit="1" customWidth="1"/>
  </cols>
  <sheetData>
    <row r="1" spans="1:5" ht="15" thickBot="1" x14ac:dyDescent="0.35"/>
    <row r="2" spans="1:5" x14ac:dyDescent="0.3">
      <c r="B2" s="68" t="s">
        <v>70</v>
      </c>
      <c r="C2" s="60">
        <v>1000</v>
      </c>
    </row>
    <row r="3" spans="1:5" x14ac:dyDescent="0.3">
      <c r="B3" s="69" t="s">
        <v>71</v>
      </c>
      <c r="C3" s="64">
        <v>420</v>
      </c>
    </row>
    <row r="4" spans="1:5" ht="15" thickBot="1" x14ac:dyDescent="0.35">
      <c r="B4" s="70" t="s">
        <v>72</v>
      </c>
      <c r="C4" s="62">
        <v>940</v>
      </c>
    </row>
    <row r="5" spans="1:5" ht="15" thickBot="1" x14ac:dyDescent="0.35"/>
    <row r="6" spans="1:5" ht="15" thickBot="1" x14ac:dyDescent="0.35">
      <c r="D6" s="65" t="s">
        <v>18</v>
      </c>
    </row>
    <row r="7" spans="1:5" x14ac:dyDescent="0.3">
      <c r="A7" s="112" t="s">
        <v>75</v>
      </c>
      <c r="B7" s="66" t="s">
        <v>73</v>
      </c>
      <c r="C7" s="59">
        <f>160/1.422</f>
        <v>112.51758087201125</v>
      </c>
      <c r="D7" s="60">
        <f>ROUNDDOWN($C$7*0.8,0)</f>
        <v>90</v>
      </c>
    </row>
    <row r="8" spans="1:5" ht="15" thickBot="1" x14ac:dyDescent="0.35">
      <c r="A8" s="113"/>
      <c r="B8" s="67" t="s">
        <v>74</v>
      </c>
      <c r="C8" s="61">
        <f>250/1.422</f>
        <v>175.80872011251759</v>
      </c>
      <c r="D8" s="62">
        <f>ROUNDDOWN($C$8*0.8,0)</f>
        <v>140</v>
      </c>
    </row>
    <row r="9" spans="1:5" x14ac:dyDescent="0.3">
      <c r="A9" s="114" t="s">
        <v>76</v>
      </c>
      <c r="B9" s="117" t="s">
        <v>79</v>
      </c>
      <c r="C9" s="118"/>
      <c r="D9" s="60">
        <v>400</v>
      </c>
    </row>
    <row r="10" spans="1:5" x14ac:dyDescent="0.3">
      <c r="A10" s="115"/>
      <c r="B10" s="119" t="s">
        <v>80</v>
      </c>
      <c r="C10" s="120"/>
      <c r="D10" s="64">
        <v>700</v>
      </c>
    </row>
    <row r="11" spans="1:5" ht="15" thickBot="1" x14ac:dyDescent="0.35">
      <c r="A11" s="116"/>
      <c r="B11" s="121" t="s">
        <v>81</v>
      </c>
      <c r="C11" s="122"/>
      <c r="D11" s="62">
        <v>900</v>
      </c>
    </row>
    <row r="13" spans="1:5" x14ac:dyDescent="0.3">
      <c r="A13" s="110" t="s">
        <v>77</v>
      </c>
      <c r="B13" s="110"/>
      <c r="C13" s="110"/>
      <c r="D13" s="110"/>
    </row>
    <row r="15" spans="1:5" x14ac:dyDescent="0.3">
      <c r="A15" s="1">
        <f>$C$2-D7</f>
        <v>910</v>
      </c>
      <c r="B15" s="1" t="s">
        <v>78</v>
      </c>
      <c r="C15" s="1" t="str">
        <f>IF($C$3&lt;A15,B7)</f>
        <v xml:space="preserve">TUBERIA DE 160 PSI </v>
      </c>
      <c r="D15" t="s">
        <v>82</v>
      </c>
      <c r="E15">
        <f>C2-A15</f>
        <v>90</v>
      </c>
    </row>
    <row r="16" spans="1:5" x14ac:dyDescent="0.3">
      <c r="A16" s="1">
        <f>$C$2-D8</f>
        <v>860</v>
      </c>
      <c r="B16" s="1" t="s">
        <v>78</v>
      </c>
      <c r="C16" s="1" t="str">
        <f>IF($C$3&lt;A16,B8)</f>
        <v xml:space="preserve">TUBERIA DE 250 PSI </v>
      </c>
      <c r="D16" t="s">
        <v>82</v>
      </c>
      <c r="E16">
        <f>A15-A16</f>
        <v>50</v>
      </c>
    </row>
    <row r="17" spans="1:5" x14ac:dyDescent="0.3">
      <c r="A17" s="1">
        <f>$C$2-D9</f>
        <v>600</v>
      </c>
      <c r="B17" s="1" t="s">
        <v>78</v>
      </c>
      <c r="C17" s="1" t="str">
        <f>IF($C$3&lt;A17,B9)</f>
        <v xml:space="preserve"> HG LIVIANO</v>
      </c>
      <c r="D17" t="s">
        <v>82</v>
      </c>
      <c r="E17">
        <v>0</v>
      </c>
    </row>
    <row r="18" spans="1:5" x14ac:dyDescent="0.3">
      <c r="A18" s="1">
        <f>$C$2-D10</f>
        <v>300</v>
      </c>
      <c r="B18" s="1" t="s">
        <v>78</v>
      </c>
      <c r="C18" s="1" t="str">
        <f>IF($C$3&gt;A18,B10)</f>
        <v xml:space="preserve">HG MEDIO </v>
      </c>
      <c r="D18" t="s">
        <v>83</v>
      </c>
      <c r="E18">
        <f>A16-C3</f>
        <v>440</v>
      </c>
    </row>
    <row r="19" spans="1:5" x14ac:dyDescent="0.3">
      <c r="A19" s="1">
        <f>$C$2-D11</f>
        <v>100</v>
      </c>
      <c r="B19" s="1" t="s">
        <v>78</v>
      </c>
      <c r="C19" s="1" t="str">
        <f>IF($C$3&gt;A19,B11)</f>
        <v>HG PESADO</v>
      </c>
      <c r="D19" t="s">
        <v>84</v>
      </c>
    </row>
    <row r="22" spans="1:5" x14ac:dyDescent="0.3">
      <c r="B22" t="str">
        <f>B7</f>
        <v xml:space="preserve">TUBERIA DE 160 PSI </v>
      </c>
      <c r="C22">
        <f>E15+(C4-A15)</f>
        <v>120</v>
      </c>
    </row>
    <row r="23" spans="1:5" x14ac:dyDescent="0.3">
      <c r="B23" t="str">
        <f>B8</f>
        <v xml:space="preserve">TUBERIA DE 250 PSI </v>
      </c>
      <c r="C23">
        <f>E16*2</f>
        <v>100</v>
      </c>
    </row>
    <row r="24" spans="1:5" x14ac:dyDescent="0.3">
      <c r="B24" t="str">
        <f>B9</f>
        <v xml:space="preserve"> HG LIVIANO</v>
      </c>
      <c r="C24">
        <f>E17*2</f>
        <v>0</v>
      </c>
    </row>
    <row r="25" spans="1:5" x14ac:dyDescent="0.3">
      <c r="B25" t="str">
        <f>B10</f>
        <v xml:space="preserve">HG MEDIO </v>
      </c>
      <c r="C25">
        <f>E18*2</f>
        <v>880</v>
      </c>
    </row>
    <row r="26" spans="1:5" x14ac:dyDescent="0.3">
      <c r="B26" t="str">
        <f>B11</f>
        <v>HG PESADO</v>
      </c>
      <c r="C26">
        <f>E19*2</f>
        <v>0</v>
      </c>
    </row>
    <row r="27" spans="1:5" x14ac:dyDescent="0.3">
      <c r="B27" t="s">
        <v>85</v>
      </c>
      <c r="C27">
        <f>SUM(C22:C26)</f>
        <v>1100</v>
      </c>
    </row>
    <row r="30" spans="1:5" ht="15" thickBot="1" x14ac:dyDescent="0.35">
      <c r="B30" s="110" t="s">
        <v>86</v>
      </c>
      <c r="C30" s="110"/>
      <c r="D30" s="110"/>
    </row>
    <row r="31" spans="1:5" x14ac:dyDescent="0.3">
      <c r="B31" s="72" t="s">
        <v>87</v>
      </c>
      <c r="C31" s="59">
        <f>((C22+C23)/$C$27)*100</f>
        <v>20</v>
      </c>
      <c r="D31" s="60" t="s">
        <v>89</v>
      </c>
    </row>
    <row r="32" spans="1:5" ht="15" thickBot="1" x14ac:dyDescent="0.35">
      <c r="B32" s="73" t="s">
        <v>88</v>
      </c>
      <c r="C32" s="71">
        <f>((C24+C25+C26)/$C$27)*100</f>
        <v>80</v>
      </c>
      <c r="D32" s="63" t="s">
        <v>89</v>
      </c>
    </row>
    <row r="35" spans="2:4" x14ac:dyDescent="0.3">
      <c r="B35" t="s">
        <v>90</v>
      </c>
      <c r="C35">
        <v>140</v>
      </c>
    </row>
    <row r="36" spans="2:4" x14ac:dyDescent="0.3">
      <c r="B36" t="s">
        <v>91</v>
      </c>
      <c r="C36">
        <v>110</v>
      </c>
    </row>
    <row r="37" spans="2:4" x14ac:dyDescent="0.3">
      <c r="B37" t="s">
        <v>92</v>
      </c>
      <c r="C37">
        <f>C35-C36</f>
        <v>30</v>
      </c>
    </row>
    <row r="39" spans="2:4" ht="15" thickBot="1" x14ac:dyDescent="0.35">
      <c r="B39" s="111" t="s">
        <v>93</v>
      </c>
      <c r="C39" s="111"/>
      <c r="D39" s="111"/>
    </row>
    <row r="40" spans="2:4" ht="15" thickBot="1" x14ac:dyDescent="0.35">
      <c r="C40" s="74">
        <f>C37*(C32/100)</f>
        <v>24</v>
      </c>
      <c r="D40" s="7" t="s">
        <v>95</v>
      </c>
    </row>
    <row r="41" spans="2:4" ht="15" thickBot="1" x14ac:dyDescent="0.35">
      <c r="B41" s="76" t="s">
        <v>94</v>
      </c>
      <c r="C41" s="75">
        <f>C35-C40</f>
        <v>116</v>
      </c>
    </row>
  </sheetData>
  <mergeCells count="8">
    <mergeCell ref="B30:D30"/>
    <mergeCell ref="B39:D39"/>
    <mergeCell ref="A7:A8"/>
    <mergeCell ref="A9:A11"/>
    <mergeCell ref="B9:C9"/>
    <mergeCell ref="B10:C10"/>
    <mergeCell ref="B11:C11"/>
    <mergeCell ref="A13:D13"/>
  </mergeCells>
  <pageMargins left="0.7" right="0.7" top="0.75" bottom="0.75" header="0.3" footer="0.3"/>
  <pageSetup paperSize="9" orientation="portrait" r:id="rId1"/>
  <headerFooter>
    <oddHeader xml:space="preserve">&amp;CLINEA DE CONDUCCION CON TIPO DE TUBERIA </oddHead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F2E23-5AE4-484C-8F57-9F588F7A0E51}">
  <sheetPr codeName="Hoja4"/>
  <dimension ref="A5:C47"/>
  <sheetViews>
    <sheetView view="pageLayout" topLeftCell="B13" zoomScale="160" zoomScaleNormal="100" zoomScalePageLayoutView="160" workbookViewId="0">
      <selection activeCell="C22" sqref="C22"/>
    </sheetView>
  </sheetViews>
  <sheetFormatPr baseColWidth="10" defaultRowHeight="15" x14ac:dyDescent="0.25"/>
  <cols>
    <col min="1" max="1" width="10.21875" style="77" bestFit="1" customWidth="1"/>
    <col min="2" max="2" width="42.44140625" style="77" bestFit="1" customWidth="1"/>
    <col min="3" max="3" width="11.6640625" style="77" bestFit="1" customWidth="1"/>
    <col min="4" max="16384" width="11.5546875" style="77"/>
  </cols>
  <sheetData>
    <row r="5" spans="1:3" x14ac:dyDescent="0.25">
      <c r="B5" s="77" t="s">
        <v>96</v>
      </c>
    </row>
    <row r="6" spans="1:3" ht="15.6" thickBot="1" x14ac:dyDescent="0.3"/>
    <row r="7" spans="1:3" x14ac:dyDescent="0.25">
      <c r="A7" s="81" t="s">
        <v>97</v>
      </c>
      <c r="B7" s="88">
        <v>3250</v>
      </c>
      <c r="C7" s="82" t="s">
        <v>98</v>
      </c>
    </row>
    <row r="8" spans="1:3" x14ac:dyDescent="0.25">
      <c r="A8" s="83" t="s">
        <v>0</v>
      </c>
      <c r="B8" s="78">
        <v>2.72</v>
      </c>
      <c r="C8" s="84" t="s">
        <v>89</v>
      </c>
    </row>
    <row r="9" spans="1:3" x14ac:dyDescent="0.25">
      <c r="A9" s="83" t="s">
        <v>1</v>
      </c>
      <c r="B9" s="78">
        <v>22</v>
      </c>
      <c r="C9" s="84" t="s">
        <v>99</v>
      </c>
    </row>
    <row r="10" spans="1:3" ht="15.6" thickBot="1" x14ac:dyDescent="0.3">
      <c r="A10" s="89" t="s">
        <v>100</v>
      </c>
      <c r="B10" s="90">
        <v>120</v>
      </c>
      <c r="C10" s="91" t="s">
        <v>101</v>
      </c>
    </row>
    <row r="11" spans="1:3" ht="15.6" thickBot="1" x14ac:dyDescent="0.3"/>
    <row r="12" spans="1:3" x14ac:dyDescent="0.25">
      <c r="A12" s="124" t="s">
        <v>115</v>
      </c>
      <c r="B12" s="125"/>
      <c r="C12" s="126"/>
    </row>
    <row r="13" spans="1:3" ht="15.6" thickBot="1" x14ac:dyDescent="0.3">
      <c r="A13" s="89" t="s">
        <v>102</v>
      </c>
      <c r="B13" s="90">
        <f>B7*(((B8/100)+1)^(B9))</f>
        <v>5865.3454657972561</v>
      </c>
      <c r="C13" s="91" t="s">
        <v>98</v>
      </c>
    </row>
    <row r="14" spans="1:3" ht="15.6" thickBot="1" x14ac:dyDescent="0.3"/>
    <row r="15" spans="1:3" x14ac:dyDescent="0.25">
      <c r="A15" s="127" t="s">
        <v>103</v>
      </c>
      <c r="B15" s="128"/>
      <c r="C15" s="129"/>
    </row>
    <row r="16" spans="1:3" x14ac:dyDescent="0.25">
      <c r="A16" s="94"/>
      <c r="B16" s="95"/>
      <c r="C16" s="96"/>
    </row>
    <row r="17" spans="1:3" x14ac:dyDescent="0.25">
      <c r="A17" s="94"/>
      <c r="B17" s="95"/>
      <c r="C17" s="96"/>
    </row>
    <row r="18" spans="1:3" x14ac:dyDescent="0.25">
      <c r="A18" s="94"/>
      <c r="B18" s="95"/>
      <c r="C18" s="96"/>
    </row>
    <row r="19" spans="1:3" ht="15.6" thickBot="1" x14ac:dyDescent="0.3">
      <c r="A19" s="89" t="s">
        <v>56</v>
      </c>
      <c r="B19" s="90">
        <f>(B13*B10)/86400</f>
        <v>8.1463131469406331</v>
      </c>
      <c r="C19" s="91" t="s">
        <v>104</v>
      </c>
    </row>
    <row r="20" spans="1:3" ht="15.6" thickBot="1" x14ac:dyDescent="0.3"/>
    <row r="21" spans="1:3" ht="15.6" thickBot="1" x14ac:dyDescent="0.3">
      <c r="A21" s="130" t="s">
        <v>105</v>
      </c>
      <c r="B21" s="131"/>
      <c r="C21" s="132"/>
    </row>
    <row r="22" spans="1:3" ht="15.6" thickBot="1" x14ac:dyDescent="0.3">
      <c r="B22" s="93">
        <f>B19*86.4</f>
        <v>703.84145589567072</v>
      </c>
      <c r="C22" s="93" t="s">
        <v>106</v>
      </c>
    </row>
    <row r="23" spans="1:3" ht="16.2" thickBot="1" x14ac:dyDescent="0.35">
      <c r="A23" s="93" t="s">
        <v>56</v>
      </c>
      <c r="B23" s="79">
        <f>ROUNDUP(B22,0)</f>
        <v>704</v>
      </c>
      <c r="C23" s="93" t="s">
        <v>106</v>
      </c>
    </row>
    <row r="24" spans="1:3" ht="15.6" thickBot="1" x14ac:dyDescent="0.3"/>
    <row r="25" spans="1:3" ht="15.6" thickBot="1" x14ac:dyDescent="0.3">
      <c r="A25" s="133" t="s">
        <v>107</v>
      </c>
      <c r="B25" s="134"/>
      <c r="C25" s="135"/>
    </row>
    <row r="26" spans="1:3" x14ac:dyDescent="0.25">
      <c r="A26" s="86" t="s">
        <v>56</v>
      </c>
      <c r="B26" s="87">
        <f>B23</f>
        <v>704</v>
      </c>
    </row>
    <row r="27" spans="1:3" ht="15.6" thickBot="1" x14ac:dyDescent="0.3">
      <c r="A27" s="83" t="s">
        <v>89</v>
      </c>
      <c r="B27" s="84">
        <v>0.25</v>
      </c>
    </row>
    <row r="28" spans="1:3" ht="16.2" thickBot="1" x14ac:dyDescent="0.35">
      <c r="A28" s="85" t="s">
        <v>109</v>
      </c>
      <c r="B28" s="48">
        <f>B26*B27</f>
        <v>176</v>
      </c>
      <c r="C28" s="80" t="s">
        <v>108</v>
      </c>
    </row>
    <row r="29" spans="1:3" ht="15.6" thickBot="1" x14ac:dyDescent="0.3"/>
    <row r="30" spans="1:3" ht="15.6" thickBot="1" x14ac:dyDescent="0.3">
      <c r="A30" s="133" t="s">
        <v>110</v>
      </c>
      <c r="B30" s="134"/>
      <c r="C30" s="135"/>
    </row>
    <row r="31" spans="1:3" ht="15.6" thickBot="1" x14ac:dyDescent="0.3">
      <c r="A31" s="93" t="s">
        <v>56</v>
      </c>
      <c r="B31" s="93">
        <f>B26</f>
        <v>704</v>
      </c>
    </row>
    <row r="32" spans="1:3" ht="15.6" thickBot="1" x14ac:dyDescent="0.3">
      <c r="A32" s="93" t="s">
        <v>89</v>
      </c>
      <c r="B32" s="93">
        <v>0.4</v>
      </c>
    </row>
    <row r="33" spans="1:3" ht="16.2" thickBot="1" x14ac:dyDescent="0.35">
      <c r="A33" s="79" t="s">
        <v>111</v>
      </c>
      <c r="B33" s="79">
        <f>B31*B32</f>
        <v>281.60000000000002</v>
      </c>
      <c r="C33" s="80" t="s">
        <v>108</v>
      </c>
    </row>
    <row r="35" spans="1:3" x14ac:dyDescent="0.25">
      <c r="A35" s="123" t="s">
        <v>112</v>
      </c>
      <c r="B35" s="123"/>
      <c r="C35" s="123"/>
    </row>
    <row r="36" spans="1:3" x14ac:dyDescent="0.25">
      <c r="A36" s="123" t="s">
        <v>113</v>
      </c>
      <c r="B36" s="123"/>
      <c r="C36" s="123"/>
    </row>
    <row r="37" spans="1:3" x14ac:dyDescent="0.25">
      <c r="A37" s="123" t="s">
        <v>114</v>
      </c>
      <c r="B37" s="123"/>
    </row>
    <row r="38" spans="1:3" ht="15.6" thickBot="1" x14ac:dyDescent="0.3"/>
    <row r="39" spans="1:3" ht="15.6" thickBot="1" x14ac:dyDescent="0.3">
      <c r="B39" s="93">
        <v>200</v>
      </c>
      <c r="C39" s="93" t="s">
        <v>108</v>
      </c>
    </row>
    <row r="40" spans="1:3" x14ac:dyDescent="0.25">
      <c r="A40" s="81" t="s">
        <v>109</v>
      </c>
      <c r="B40" s="88">
        <f>B28</f>
        <v>176</v>
      </c>
      <c r="C40" s="82" t="s">
        <v>108</v>
      </c>
    </row>
    <row r="41" spans="1:3" ht="16.2" thickBot="1" x14ac:dyDescent="0.35">
      <c r="A41" s="85" t="s">
        <v>109</v>
      </c>
      <c r="B41" s="97">
        <f>B40+B39</f>
        <v>376</v>
      </c>
      <c r="C41" s="48" t="s">
        <v>108</v>
      </c>
    </row>
    <row r="42" spans="1:3" ht="15.6" thickBot="1" x14ac:dyDescent="0.3"/>
    <row r="43" spans="1:3" ht="15.6" thickBot="1" x14ac:dyDescent="0.3">
      <c r="B43" s="136" t="s">
        <v>116</v>
      </c>
    </row>
    <row r="44" spans="1:3" ht="15.6" thickBot="1" x14ac:dyDescent="0.3">
      <c r="B44" s="137">
        <v>691.2</v>
      </c>
      <c r="C44" s="92" t="s">
        <v>106</v>
      </c>
    </row>
    <row r="45" spans="1:3" ht="15.6" thickBot="1" x14ac:dyDescent="0.3">
      <c r="B45" s="137" t="s">
        <v>117</v>
      </c>
    </row>
    <row r="46" spans="1:3" ht="15.6" thickBot="1" x14ac:dyDescent="0.3">
      <c r="B46" s="138">
        <f>B44/1000000</f>
        <v>6.912E-4</v>
      </c>
      <c r="C46" s="92" t="s">
        <v>106</v>
      </c>
    </row>
    <row r="47" spans="1:3" ht="16.2" thickBot="1" x14ac:dyDescent="0.35">
      <c r="B47" s="79">
        <f>B46*1000</f>
        <v>0.69120000000000004</v>
      </c>
      <c r="C47" s="79" t="s">
        <v>118</v>
      </c>
    </row>
  </sheetData>
  <mergeCells count="8">
    <mergeCell ref="A35:C35"/>
    <mergeCell ref="A36:C36"/>
    <mergeCell ref="A37:B37"/>
    <mergeCell ref="A12:C12"/>
    <mergeCell ref="A15:C15"/>
    <mergeCell ref="A21:C21"/>
    <mergeCell ref="A25:C25"/>
    <mergeCell ref="A30:C30"/>
  </mergeCells>
  <pageMargins left="0.7" right="0.7" top="0.75" bottom="0.75" header="0.3" footer="0.3"/>
  <pageSetup paperSize="9" orientation="portrait" r:id="rId1"/>
  <headerFooter>
    <oddHeader xml:space="preserve">&amp;C&amp;"Arial,Negrita"&amp;22CAUDAL MEDIO </oddHead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28059-6104-4FD3-8A59-5563D7CBDEC1}">
  <sheetPr codeName="Hoja6"/>
  <dimension ref="B1:J22"/>
  <sheetViews>
    <sheetView tabSelected="1" zoomScaleNormal="100" workbookViewId="0">
      <selection activeCell="J23" sqref="J23"/>
    </sheetView>
  </sheetViews>
  <sheetFormatPr baseColWidth="10" defaultRowHeight="15" x14ac:dyDescent="0.25"/>
  <cols>
    <col min="1" max="1" width="11.5546875" style="2"/>
    <col min="2" max="2" width="42.88671875" style="2" bestFit="1" customWidth="1"/>
    <col min="3" max="3" width="20.6640625" style="2" bestFit="1" customWidth="1"/>
    <col min="4" max="4" width="20" style="2" bestFit="1" customWidth="1"/>
    <col min="5" max="5" width="21.21875" style="2" bestFit="1" customWidth="1"/>
    <col min="6" max="6" width="19" style="2" bestFit="1" customWidth="1"/>
    <col min="7" max="7" width="20.109375" style="2" bestFit="1" customWidth="1"/>
    <col min="8" max="8" width="11.33203125" style="2" bestFit="1" customWidth="1"/>
    <col min="9" max="9" width="15.33203125" style="2" bestFit="1" customWidth="1"/>
    <col min="10" max="10" width="9.33203125" style="2" bestFit="1" customWidth="1"/>
    <col min="11" max="16384" width="11.5546875" style="2"/>
  </cols>
  <sheetData>
    <row r="1" spans="2:10" x14ac:dyDescent="0.25">
      <c r="B1" s="169" t="s">
        <v>119</v>
      </c>
    </row>
    <row r="3" spans="2:10" x14ac:dyDescent="0.25">
      <c r="C3" s="2" t="s">
        <v>134</v>
      </c>
      <c r="D3" s="2" t="s">
        <v>135</v>
      </c>
    </row>
    <row r="4" spans="2:10" x14ac:dyDescent="0.25">
      <c r="C4" s="2" t="s">
        <v>136</v>
      </c>
      <c r="D4" s="2" t="s">
        <v>137</v>
      </c>
    </row>
    <row r="5" spans="2:10" ht="15.6" thickBot="1" x14ac:dyDescent="0.3"/>
    <row r="6" spans="2:10" x14ac:dyDescent="0.25">
      <c r="C6" s="151" t="s">
        <v>120</v>
      </c>
      <c r="D6" s="153" t="s">
        <v>121</v>
      </c>
      <c r="E6" s="151" t="s">
        <v>122</v>
      </c>
      <c r="F6" s="153" t="s">
        <v>123</v>
      </c>
      <c r="G6" s="151" t="s">
        <v>124</v>
      </c>
      <c r="H6" s="155" t="s">
        <v>125</v>
      </c>
      <c r="I6" s="157" t="s">
        <v>140</v>
      </c>
    </row>
    <row r="7" spans="2:10" ht="15.6" thickBot="1" x14ac:dyDescent="0.3">
      <c r="C7" s="152"/>
      <c r="D7" s="154"/>
      <c r="E7" s="152"/>
      <c r="F7" s="154"/>
      <c r="G7" s="152"/>
      <c r="H7" s="156" t="s">
        <v>126</v>
      </c>
      <c r="I7" s="158" t="s">
        <v>127</v>
      </c>
    </row>
    <row r="8" spans="2:10" x14ac:dyDescent="0.25">
      <c r="C8" s="81">
        <v>1</v>
      </c>
      <c r="D8" s="88">
        <v>39</v>
      </c>
      <c r="E8" s="88">
        <f>D8*$C$19</f>
        <v>234</v>
      </c>
      <c r="F8" s="164">
        <f>D8*$C$22</f>
        <v>68.819816618264369</v>
      </c>
      <c r="G8" s="164">
        <f>E8*$C$22</f>
        <v>412.91889970958619</v>
      </c>
      <c r="H8" s="88">
        <v>120</v>
      </c>
      <c r="I8" s="165">
        <f>(G8*H8)/86400</f>
        <v>0.5734984718188697</v>
      </c>
    </row>
    <row r="9" spans="2:10" x14ac:dyDescent="0.25">
      <c r="C9" s="83">
        <v>2</v>
      </c>
      <c r="D9" s="78">
        <v>62</v>
      </c>
      <c r="E9" s="78">
        <f t="shared" ref="E9:E14" si="0">D9*$C$19</f>
        <v>372</v>
      </c>
      <c r="F9" s="139">
        <f t="shared" ref="F9:F14" si="1">D9*$C$22</f>
        <v>109.40586231621515</v>
      </c>
      <c r="G9" s="139">
        <f t="shared" ref="G9:G14" si="2">E9*$C$22</f>
        <v>656.43517389729084</v>
      </c>
      <c r="H9" s="78">
        <v>120</v>
      </c>
      <c r="I9" s="166">
        <f t="shared" ref="I9:I14" si="3">(G9*H9)/86400</f>
        <v>0.91171551930179284</v>
      </c>
    </row>
    <row r="10" spans="2:10" x14ac:dyDescent="0.25">
      <c r="C10" s="83">
        <v>3</v>
      </c>
      <c r="D10" s="78">
        <v>50</v>
      </c>
      <c r="E10" s="78">
        <f t="shared" si="0"/>
        <v>300</v>
      </c>
      <c r="F10" s="139">
        <f t="shared" si="1"/>
        <v>88.230534125979958</v>
      </c>
      <c r="G10" s="139">
        <f t="shared" si="2"/>
        <v>529.38320475587977</v>
      </c>
      <c r="H10" s="78">
        <v>120</v>
      </c>
      <c r="I10" s="166">
        <f t="shared" si="3"/>
        <v>0.735254451049833</v>
      </c>
    </row>
    <row r="11" spans="2:10" x14ac:dyDescent="0.25">
      <c r="C11" s="83">
        <v>4</v>
      </c>
      <c r="D11" s="78">
        <v>121</v>
      </c>
      <c r="E11" s="78">
        <f t="shared" si="0"/>
        <v>726</v>
      </c>
      <c r="F11" s="139">
        <f t="shared" si="1"/>
        <v>213.51789258487148</v>
      </c>
      <c r="G11" s="139">
        <f t="shared" si="2"/>
        <v>1281.1073555092289</v>
      </c>
      <c r="H11" s="78">
        <v>120</v>
      </c>
      <c r="I11" s="166">
        <f t="shared" si="3"/>
        <v>1.7793157715405956</v>
      </c>
    </row>
    <row r="12" spans="2:10" x14ac:dyDescent="0.25">
      <c r="C12" s="83">
        <v>5</v>
      </c>
      <c r="D12" s="78">
        <v>38</v>
      </c>
      <c r="E12" s="78">
        <f t="shared" si="0"/>
        <v>228</v>
      </c>
      <c r="F12" s="139">
        <f t="shared" si="1"/>
        <v>67.055205935744766</v>
      </c>
      <c r="G12" s="139">
        <f t="shared" si="2"/>
        <v>402.3312356144686</v>
      </c>
      <c r="H12" s="78">
        <v>120</v>
      </c>
      <c r="I12" s="166">
        <f t="shared" si="3"/>
        <v>0.55879338279787305</v>
      </c>
    </row>
    <row r="13" spans="2:10" x14ac:dyDescent="0.25">
      <c r="C13" s="83">
        <v>6</v>
      </c>
      <c r="D13" s="78">
        <v>74</v>
      </c>
      <c r="E13" s="78">
        <f t="shared" si="0"/>
        <v>444</v>
      </c>
      <c r="F13" s="139">
        <f t="shared" si="1"/>
        <v>130.58119050645033</v>
      </c>
      <c r="G13" s="139">
        <f t="shared" si="2"/>
        <v>783.48714303870202</v>
      </c>
      <c r="H13" s="78">
        <v>120</v>
      </c>
      <c r="I13" s="166">
        <f t="shared" si="3"/>
        <v>1.0881765875537528</v>
      </c>
    </row>
    <row r="14" spans="2:10" ht="15.6" thickBot="1" x14ac:dyDescent="0.3">
      <c r="C14" s="89">
        <v>7</v>
      </c>
      <c r="D14" s="90">
        <v>117</v>
      </c>
      <c r="E14" s="90">
        <f t="shared" si="0"/>
        <v>702</v>
      </c>
      <c r="F14" s="167">
        <f t="shared" si="1"/>
        <v>206.45944985479309</v>
      </c>
      <c r="G14" s="167">
        <f t="shared" si="2"/>
        <v>1238.7566991287586</v>
      </c>
      <c r="H14" s="90">
        <v>120</v>
      </c>
      <c r="I14" s="168">
        <f>(G14*H14)/86400</f>
        <v>1.720495415456609</v>
      </c>
    </row>
    <row r="15" spans="2:10" ht="16.2" thickBot="1" x14ac:dyDescent="0.35">
      <c r="G15" s="162">
        <f>SUM(G8:G14)</f>
        <v>5304.4197116539153</v>
      </c>
      <c r="I15" s="163">
        <f>SUM(I8:I14)</f>
        <v>7.3672495995193268</v>
      </c>
      <c r="J15" s="146" t="s">
        <v>104</v>
      </c>
    </row>
    <row r="16" spans="2:10" ht="15.6" thickBot="1" x14ac:dyDescent="0.3">
      <c r="I16" s="159">
        <f>I15*86.4</f>
        <v>636.53036539846983</v>
      </c>
    </row>
    <row r="17" spans="2:10" ht="16.2" thickBot="1" x14ac:dyDescent="0.35">
      <c r="G17" s="149" t="s">
        <v>139</v>
      </c>
      <c r="H17" s="147">
        <v>0.25</v>
      </c>
      <c r="I17" s="160">
        <f>I16*0.25</f>
        <v>159.13259134961746</v>
      </c>
      <c r="J17" s="170" t="s">
        <v>106</v>
      </c>
    </row>
    <row r="18" spans="2:10" ht="16.2" thickBot="1" x14ac:dyDescent="0.35">
      <c r="B18" s="141" t="s">
        <v>128</v>
      </c>
      <c r="C18" s="142"/>
      <c r="G18" s="150"/>
      <c r="H18" s="148">
        <v>0.4</v>
      </c>
      <c r="I18" s="161">
        <f>I16*0.4</f>
        <v>254.61214615938795</v>
      </c>
      <c r="J18" s="170" t="s">
        <v>106</v>
      </c>
    </row>
    <row r="19" spans="2:10" x14ac:dyDescent="0.25">
      <c r="B19" s="143" t="s">
        <v>129</v>
      </c>
      <c r="C19" s="82">
        <v>6</v>
      </c>
      <c r="D19" s="140" t="s">
        <v>130</v>
      </c>
    </row>
    <row r="20" spans="2:10" x14ac:dyDescent="0.25">
      <c r="B20" s="144" t="s">
        <v>131</v>
      </c>
      <c r="C20" s="84">
        <v>2.5</v>
      </c>
      <c r="D20" s="140" t="s">
        <v>89</v>
      </c>
    </row>
    <row r="21" spans="2:10" ht="15.6" thickBot="1" x14ac:dyDescent="0.3">
      <c r="B21" s="144" t="s">
        <v>132</v>
      </c>
      <c r="C21" s="84">
        <v>23</v>
      </c>
      <c r="D21" s="140" t="s">
        <v>138</v>
      </c>
      <c r="H21" s="171">
        <v>0.25</v>
      </c>
      <c r="I21" s="77">
        <f>I18*H21</f>
        <v>63.653036539846987</v>
      </c>
    </row>
    <row r="22" spans="2:10" ht="16.2" thickBot="1" x14ac:dyDescent="0.35">
      <c r="B22" s="145" t="s">
        <v>133</v>
      </c>
      <c r="C22" s="91">
        <f>POWER(((C20/100)+1),C21)</f>
        <v>1.7646106825195991</v>
      </c>
      <c r="H22" s="172">
        <v>0.4</v>
      </c>
      <c r="I22" s="173">
        <f>I18*H22</f>
        <v>101.84485846375519</v>
      </c>
    </row>
  </sheetData>
  <mergeCells count="7">
    <mergeCell ref="B18:C18"/>
    <mergeCell ref="G17:G18"/>
    <mergeCell ref="C6:C7"/>
    <mergeCell ref="D6:D7"/>
    <mergeCell ref="E6:E7"/>
    <mergeCell ref="F6:F7"/>
    <mergeCell ref="G6:G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1</vt:i4>
      </vt:variant>
    </vt:vector>
  </HeadingPairs>
  <TitlesOfParts>
    <vt:vector size="7" baseType="lpstr">
      <vt:lpstr>POBLACION FUTURA </vt:lpstr>
      <vt:lpstr>PSI A MCA</vt:lpstr>
      <vt:lpstr>LINEADECONDUCCION DIAMTEORI 1Y2</vt:lpstr>
      <vt:lpstr>LDC CON TIPO DE TUBERIA</vt:lpstr>
      <vt:lpstr>CAUDAL MEDIO</vt:lpstr>
      <vt:lpstr>RED DE DISTRIBUCION</vt:lpstr>
      <vt:lpstr>'LINEADECONDUCCION DIAMTEORI 1Y2'!Área_de_impresión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NMRod</dc:creator>
  <cp:lastModifiedBy>Nidia Alonzo</cp:lastModifiedBy>
  <cp:lastPrinted>2023-09-08T23:36:01Z</cp:lastPrinted>
  <dcterms:created xsi:type="dcterms:W3CDTF">2023-08-26T03:49:44Z</dcterms:created>
  <dcterms:modified xsi:type="dcterms:W3CDTF">2023-09-17T05:09:55Z</dcterms:modified>
</cp:coreProperties>
</file>