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rea\OneDrive\Documentos\INGENIERIA\SANITARIA 2\"/>
    </mc:Choice>
  </mc:AlternateContent>
  <xr:revisionPtr revIDLastSave="0" documentId="13_ncr:1_{338C22DE-0FB2-4E62-AF79-B494594DCB4A}" xr6:coauthVersionLast="47" xr6:coauthVersionMax="47" xr10:uidLastSave="{00000000-0000-0000-0000-000000000000}"/>
  <bookViews>
    <workbookView xWindow="-110" yWindow="-110" windowWidth="25820" windowHeight="15500" firstSheet="2" activeTab="3" xr2:uid="{7187A0D9-7869-4812-AEC0-586B2B4A4C67}"/>
  </bookViews>
  <sheets>
    <sheet name="sanitario" sheetId="7" r:id="rId1"/>
    <sheet name="Condiciones a seccion llena" sheetId="3" r:id="rId2"/>
    <sheet name="Cálculo de caudales" sheetId="1" r:id="rId3"/>
    <sheet name="Diseño de drenaj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1" i="1"/>
  <c r="B25" i="2"/>
  <c r="F25" i="2"/>
  <c r="J25" i="2" s="1"/>
  <c r="B24" i="2"/>
  <c r="F23" i="2"/>
  <c r="B23" i="2"/>
  <c r="D22" i="2"/>
  <c r="C22" i="2" s="1"/>
  <c r="Z22" i="2"/>
  <c r="B22" i="2"/>
  <c r="D21" i="2"/>
  <c r="F21" i="2"/>
  <c r="B21" i="2"/>
  <c r="D20" i="2"/>
  <c r="C20" i="2" s="1"/>
  <c r="Z20" i="2"/>
  <c r="B20" i="2"/>
  <c r="D19" i="2"/>
  <c r="F19" i="2"/>
  <c r="B19" i="2"/>
  <c r="Z18" i="2"/>
  <c r="M18" i="2"/>
  <c r="J18" i="2"/>
  <c r="K18" i="2" s="1"/>
  <c r="R18" i="2"/>
  <c r="W18" i="2"/>
  <c r="B17" i="2"/>
  <c r="D14" i="2"/>
  <c r="F14" i="2"/>
  <c r="B15" i="2" s="1"/>
  <c r="B14" i="2"/>
  <c r="B13" i="2"/>
  <c r="B12" i="2"/>
  <c r="J12" i="2" s="1"/>
  <c r="L18" i="2" l="1"/>
  <c r="S18" i="2"/>
  <c r="Y18" i="2" l="1"/>
  <c r="T18" i="2"/>
  <c r="U18" i="2" s="1"/>
  <c r="M11" i="2" l="1"/>
  <c r="R11" i="2"/>
  <c r="W11" i="2"/>
  <c r="K12" i="2"/>
  <c r="M12" i="2"/>
  <c r="R12" i="2"/>
  <c r="W12" i="2"/>
  <c r="M13" i="2"/>
  <c r="R13" i="2"/>
  <c r="W13" i="2"/>
  <c r="J14" i="2"/>
  <c r="K14" i="2"/>
  <c r="L14" i="2" s="1"/>
  <c r="M14" i="2"/>
  <c r="R14" i="2"/>
  <c r="W14" i="2"/>
  <c r="B16" i="2"/>
  <c r="D16" i="2" s="1"/>
  <c r="J15" i="2"/>
  <c r="K15" i="2" s="1"/>
  <c r="M15" i="2"/>
  <c r="R15" i="2"/>
  <c r="W15" i="2"/>
  <c r="M16" i="2"/>
  <c r="R16" i="2"/>
  <c r="W16" i="2"/>
  <c r="J17" i="2"/>
  <c r="K17" i="2" s="1"/>
  <c r="M17" i="2"/>
  <c r="R17" i="2"/>
  <c r="W17" i="2"/>
  <c r="M19" i="2"/>
  <c r="J19" i="2"/>
  <c r="K19" i="2" s="1"/>
  <c r="S19" i="2" s="1"/>
  <c r="Y19" i="2" s="1"/>
  <c r="R19" i="2"/>
  <c r="W19" i="2"/>
  <c r="M20" i="2"/>
  <c r="J20" i="2"/>
  <c r="K20" i="2" s="1"/>
  <c r="L20" i="2" s="1"/>
  <c r="G20" i="2" s="1"/>
  <c r="R20" i="2"/>
  <c r="W20" i="2"/>
  <c r="J21" i="2"/>
  <c r="K21" i="2" s="1"/>
  <c r="L21" i="2" s="1"/>
  <c r="G21" i="2" s="1"/>
  <c r="M21" i="2"/>
  <c r="R21" i="2"/>
  <c r="W21" i="2"/>
  <c r="J22" i="2"/>
  <c r="K22" i="2" s="1"/>
  <c r="M22" i="2"/>
  <c r="R22" i="2"/>
  <c r="W22" i="2"/>
  <c r="M23" i="2"/>
  <c r="J23" i="2"/>
  <c r="K23" i="2" s="1"/>
  <c r="L23" i="2" s="1"/>
  <c r="R23" i="2"/>
  <c r="W23" i="2"/>
  <c r="M24" i="2"/>
  <c r="J24" i="2"/>
  <c r="L24" i="2" s="1"/>
  <c r="R24" i="2"/>
  <c r="W24" i="2"/>
  <c r="M25" i="2"/>
  <c r="R25" i="2"/>
  <c r="W25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B10" i="2"/>
  <c r="D8" i="2"/>
  <c r="F31" i="1"/>
  <c r="S25" i="2" l="1"/>
  <c r="Y25" i="2" s="1"/>
  <c r="Z25" i="2" s="1"/>
  <c r="J11" i="2"/>
  <c r="K11" i="2" s="1"/>
  <c r="D11" i="2"/>
  <c r="S12" i="2"/>
  <c r="Y12" i="2" s="1"/>
  <c r="Z12" i="2" s="1"/>
  <c r="L19" i="2"/>
  <c r="G19" i="2" s="1"/>
  <c r="H19" i="2" s="1"/>
  <c r="T19" i="2"/>
  <c r="U19" i="2" s="1"/>
  <c r="L25" i="2"/>
  <c r="S22" i="2"/>
  <c r="Y22" i="2" s="1"/>
  <c r="L22" i="2"/>
  <c r="G22" i="2" s="1"/>
  <c r="H22" i="2" s="1"/>
  <c r="L17" i="2"/>
  <c r="S17" i="2"/>
  <c r="Y17" i="2" s="1"/>
  <c r="Z17" i="2" s="1"/>
  <c r="L15" i="2"/>
  <c r="S15" i="2"/>
  <c r="Y15" i="2" s="1"/>
  <c r="J16" i="2"/>
  <c r="K16" i="2" s="1"/>
  <c r="L16" i="2" s="1"/>
  <c r="G16" i="2" s="1"/>
  <c r="L12" i="2"/>
  <c r="S24" i="2"/>
  <c r="S23" i="2"/>
  <c r="H21" i="2"/>
  <c r="S21" i="2"/>
  <c r="T22" i="2"/>
  <c r="U22" i="2" s="1"/>
  <c r="H20" i="2"/>
  <c r="S20" i="2"/>
  <c r="J13" i="2"/>
  <c r="K13" i="2" s="1"/>
  <c r="S14" i="2"/>
  <c r="T12" i="2" l="1"/>
  <c r="U12" i="2" s="1"/>
  <c r="T25" i="2"/>
  <c r="U25" i="2" s="1"/>
  <c r="H16" i="2"/>
  <c r="D17" i="2"/>
  <c r="C17" i="2" s="1"/>
  <c r="S16" i="2"/>
  <c r="Y16" i="2" s="1"/>
  <c r="T15" i="2"/>
  <c r="U15" i="2" s="1"/>
  <c r="S11" i="2"/>
  <c r="L11" i="2"/>
  <c r="G11" i="2" s="1"/>
  <c r="T17" i="2"/>
  <c r="U17" i="2" s="1"/>
  <c r="T14" i="2"/>
  <c r="U14" i="2" s="1"/>
  <c r="Y14" i="2"/>
  <c r="T21" i="2"/>
  <c r="U21" i="2" s="1"/>
  <c r="Y21" i="2"/>
  <c r="L13" i="2"/>
  <c r="S13" i="2"/>
  <c r="T20" i="2"/>
  <c r="U20" i="2" s="1"/>
  <c r="Y20" i="2"/>
  <c r="T23" i="2"/>
  <c r="U23" i="2" s="1"/>
  <c r="Y23" i="2"/>
  <c r="Z23" i="2" s="1"/>
  <c r="Y24" i="2"/>
  <c r="Z24" i="2" s="1"/>
  <c r="T24" i="2"/>
  <c r="U24" i="2" s="1"/>
  <c r="D16" i="3"/>
  <c r="D18" i="3" s="1"/>
  <c r="J10" i="2"/>
  <c r="K10" i="2" s="1"/>
  <c r="L10" i="2" s="1"/>
  <c r="W10" i="2"/>
  <c r="R10" i="2"/>
  <c r="S10" i="2" s="1"/>
  <c r="M10" i="2"/>
  <c r="W9" i="2"/>
  <c r="R9" i="2"/>
  <c r="M9" i="2"/>
  <c r="B9" i="2"/>
  <c r="D9" i="2" s="1"/>
  <c r="W8" i="2"/>
  <c r="R8" i="2"/>
  <c r="M8" i="2"/>
  <c r="J8" i="2"/>
  <c r="K8" i="2" s="1"/>
  <c r="L8" i="2" s="1"/>
  <c r="G8" i="2" s="1"/>
  <c r="D13" i="2" s="1"/>
  <c r="D12" i="2" l="1"/>
  <c r="H11" i="2"/>
  <c r="T11" i="2"/>
  <c r="U11" i="2" s="1"/>
  <c r="Y11" i="2"/>
  <c r="T16" i="2"/>
  <c r="U16" i="2" s="1"/>
  <c r="T13" i="2"/>
  <c r="U13" i="2" s="1"/>
  <c r="Y13" i="2"/>
  <c r="Z13" i="2" s="1"/>
  <c r="S8" i="2"/>
  <c r="T8" i="2" s="1"/>
  <c r="U8" i="2" s="1"/>
  <c r="D21" i="3"/>
  <c r="D22" i="3" s="1"/>
  <c r="D28" i="3" s="1"/>
  <c r="D29" i="3" s="1"/>
  <c r="D46" i="3"/>
  <c r="J9" i="2"/>
  <c r="K9" i="2" s="1"/>
  <c r="L9" i="2" s="1"/>
  <c r="G9" i="2" s="1"/>
  <c r="Z15" i="2"/>
  <c r="Y10" i="2"/>
  <c r="Z10" i="2" s="1"/>
  <c r="T10" i="2"/>
  <c r="U10" i="2" s="1"/>
  <c r="D10" i="2" l="1"/>
  <c r="C10" i="2" s="1"/>
  <c r="C12" i="2"/>
  <c r="G12" i="2"/>
  <c r="H12" i="2" s="1"/>
  <c r="S9" i="2"/>
  <c r="Y8" i="2"/>
  <c r="H8" i="2"/>
  <c r="H9" i="2"/>
  <c r="G10" i="2"/>
  <c r="T9" i="2" l="1"/>
  <c r="U9" i="2" s="1"/>
  <c r="Y9" i="2"/>
  <c r="G17" i="2"/>
  <c r="H17" i="2" s="1"/>
  <c r="H10" i="2"/>
  <c r="E6" i="1"/>
  <c r="N6" i="1" s="1"/>
  <c r="O6" i="1" s="1"/>
  <c r="P6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F4" i="1" s="1"/>
  <c r="F15" i="1" l="1"/>
  <c r="H15" i="1" s="1"/>
  <c r="I15" i="1" s="1"/>
  <c r="F7" i="1"/>
  <c r="H7" i="1" s="1"/>
  <c r="I7" i="1" s="1"/>
  <c r="H4" i="1"/>
  <c r="F6" i="1"/>
  <c r="H6" i="1" s="1"/>
  <c r="I6" i="1" s="1"/>
  <c r="F19" i="1"/>
  <c r="H19" i="1" s="1"/>
  <c r="I19" i="1" s="1"/>
  <c r="F11" i="1"/>
  <c r="H11" i="1" s="1"/>
  <c r="I11" i="1" s="1"/>
  <c r="E21" i="1"/>
  <c r="N21" i="1" s="1"/>
  <c r="O21" i="1" s="1"/>
  <c r="P21" i="1" s="1"/>
  <c r="F20" i="1"/>
  <c r="H20" i="1" s="1"/>
  <c r="I20" i="1" s="1"/>
  <c r="F10" i="1"/>
  <c r="H10" i="1" s="1"/>
  <c r="I10" i="1" s="1"/>
  <c r="E13" i="1"/>
  <c r="N13" i="1" s="1"/>
  <c r="O13" i="1" s="1"/>
  <c r="P13" i="1" s="1"/>
  <c r="F12" i="1"/>
  <c r="H12" i="1" s="1"/>
  <c r="I12" i="1" s="1"/>
  <c r="F17" i="1"/>
  <c r="H17" i="1" s="1"/>
  <c r="I17" i="1" s="1"/>
  <c r="F9" i="1"/>
  <c r="H9" i="1" s="1"/>
  <c r="I9" i="1" s="1"/>
  <c r="E5" i="1"/>
  <c r="N5" i="1" s="1"/>
  <c r="O5" i="1" s="1"/>
  <c r="P5" i="1" s="1"/>
  <c r="F16" i="1"/>
  <c r="H16" i="1" s="1"/>
  <c r="I16" i="1" s="1"/>
  <c r="F8" i="1"/>
  <c r="H8" i="1" s="1"/>
  <c r="I8" i="1" s="1"/>
  <c r="F14" i="1"/>
  <c r="H14" i="1" s="1"/>
  <c r="I14" i="1" s="1"/>
  <c r="F18" i="1"/>
  <c r="H18" i="1" s="1"/>
  <c r="I18" i="1" s="1"/>
  <c r="E20" i="1"/>
  <c r="N20" i="1" s="1"/>
  <c r="O20" i="1" s="1"/>
  <c r="P20" i="1" s="1"/>
  <c r="E12" i="1"/>
  <c r="N12" i="1" s="1"/>
  <c r="O12" i="1" s="1"/>
  <c r="P12" i="1" s="1"/>
  <c r="F13" i="1"/>
  <c r="H13" i="1" s="1"/>
  <c r="I13" i="1" s="1"/>
  <c r="E19" i="1"/>
  <c r="N19" i="1" s="1"/>
  <c r="O19" i="1" s="1"/>
  <c r="P19" i="1" s="1"/>
  <c r="E11" i="1"/>
  <c r="N11" i="1" s="1"/>
  <c r="O11" i="1" s="1"/>
  <c r="P11" i="1" s="1"/>
  <c r="F5" i="1"/>
  <c r="H5" i="1" s="1"/>
  <c r="I5" i="1" s="1"/>
  <c r="E18" i="1"/>
  <c r="N18" i="1" s="1"/>
  <c r="O18" i="1" s="1"/>
  <c r="P18" i="1" s="1"/>
  <c r="E10" i="1"/>
  <c r="N10" i="1" s="1"/>
  <c r="O10" i="1" s="1"/>
  <c r="P10" i="1" s="1"/>
  <c r="E9" i="1"/>
  <c r="N9" i="1" s="1"/>
  <c r="O9" i="1" s="1"/>
  <c r="P9" i="1" s="1"/>
  <c r="F21" i="1"/>
  <c r="H21" i="1" s="1"/>
  <c r="I21" i="1" s="1"/>
  <c r="E17" i="1"/>
  <c r="N17" i="1" s="1"/>
  <c r="O17" i="1" s="1"/>
  <c r="P17" i="1" s="1"/>
  <c r="E16" i="1"/>
  <c r="N16" i="1" s="1"/>
  <c r="O16" i="1" s="1"/>
  <c r="P16" i="1" s="1"/>
  <c r="E8" i="1"/>
  <c r="N8" i="1" s="1"/>
  <c r="O8" i="1" s="1"/>
  <c r="P8" i="1" s="1"/>
  <c r="E15" i="1"/>
  <c r="N15" i="1" s="1"/>
  <c r="O15" i="1" s="1"/>
  <c r="P15" i="1" s="1"/>
  <c r="E7" i="1"/>
  <c r="N7" i="1" s="1"/>
  <c r="O7" i="1" s="1"/>
  <c r="P7" i="1" s="1"/>
  <c r="E4" i="1"/>
  <c r="N4" i="1" s="1"/>
  <c r="O4" i="1" s="1"/>
  <c r="P4" i="1" s="1"/>
  <c r="E14" i="1"/>
  <c r="N14" i="1" s="1"/>
  <c r="O14" i="1" s="1"/>
  <c r="P14" i="1" s="1"/>
  <c r="K20" i="1" l="1"/>
  <c r="K19" i="1"/>
  <c r="R18" i="1"/>
  <c r="K17" i="1"/>
  <c r="K16" i="1"/>
  <c r="R15" i="1"/>
  <c r="R12" i="1"/>
  <c r="K11" i="1"/>
  <c r="K10" i="1"/>
  <c r="K9" i="1"/>
  <c r="R8" i="1"/>
  <c r="R7" i="1"/>
  <c r="K7" i="1"/>
  <c r="T7" i="1" s="1"/>
  <c r="K6" i="1"/>
  <c r="K15" i="1"/>
  <c r="I4" i="1"/>
  <c r="K4" i="1" s="1"/>
  <c r="K12" i="1"/>
  <c r="R17" i="1"/>
  <c r="R6" i="1"/>
  <c r="R16" i="1"/>
  <c r="R9" i="1"/>
  <c r="R20" i="1"/>
  <c r="R19" i="1"/>
  <c r="R11" i="1"/>
  <c r="R10" i="1"/>
  <c r="S10" i="1" s="1"/>
  <c r="K8" i="1"/>
  <c r="K18" i="1"/>
  <c r="K14" i="1"/>
  <c r="R14" i="1"/>
  <c r="K5" i="1"/>
  <c r="R5" i="1"/>
  <c r="T5" i="1" s="1"/>
  <c r="K13" i="1"/>
  <c r="R13" i="1"/>
  <c r="K21" i="1"/>
  <c r="R21" i="1"/>
  <c r="T6" i="1" l="1"/>
  <c r="S16" i="1"/>
  <c r="S15" i="1"/>
  <c r="S18" i="1"/>
  <c r="S17" i="1"/>
  <c r="T19" i="1"/>
  <c r="T14" i="1"/>
  <c r="S7" i="1"/>
  <c r="S11" i="1"/>
  <c r="S20" i="1"/>
  <c r="S9" i="1"/>
  <c r="T21" i="1"/>
  <c r="T13" i="1"/>
  <c r="T20" i="1"/>
  <c r="S19" i="1"/>
  <c r="T18" i="1"/>
  <c r="T17" i="1"/>
  <c r="T16" i="1"/>
  <c r="T15" i="1"/>
  <c r="S12" i="1"/>
  <c r="T12" i="1"/>
  <c r="T11" i="1"/>
  <c r="T10" i="1"/>
  <c r="T9" i="1"/>
  <c r="S8" i="1"/>
  <c r="T8" i="1"/>
  <c r="R4" i="1"/>
  <c r="S4" i="1" s="1"/>
  <c r="S6" i="1"/>
  <c r="S14" i="1"/>
  <c r="S5" i="1"/>
  <c r="S13" i="1"/>
  <c r="S21" i="1"/>
  <c r="T4" i="1" l="1"/>
  <c r="T22" i="1" s="1"/>
  <c r="C13" i="2"/>
  <c r="G13" i="2"/>
  <c r="D18" i="2" s="1"/>
  <c r="C18" i="2" l="1"/>
  <c r="G18" i="2"/>
  <c r="H13" i="2"/>
  <c r="G14" i="2"/>
  <c r="H18" i="2" l="1"/>
  <c r="D23" i="2"/>
  <c r="H14" i="2"/>
  <c r="D15" i="2"/>
  <c r="C23" i="2" l="1"/>
  <c r="G23" i="2"/>
  <c r="C15" i="2"/>
  <c r="G15" i="2"/>
  <c r="H15" i="2" s="1"/>
  <c r="D24" i="2" l="1"/>
  <c r="G24" i="2" s="1"/>
  <c r="H23" i="2"/>
  <c r="H24" i="2" l="1"/>
  <c r="D25" i="2"/>
  <c r="C24" i="2"/>
  <c r="C25" i="2" l="1"/>
  <c r="G25" i="2"/>
  <c r="H25" i="2" s="1"/>
</calcChain>
</file>

<file path=xl/sharedStrings.xml><?xml version="1.0" encoding="utf-8"?>
<sst xmlns="http://schemas.openxmlformats.org/spreadsheetml/2006/main" count="129" uniqueCount="97">
  <si>
    <t>P.D.</t>
  </si>
  <si>
    <t>Viviendas actuales</t>
  </si>
  <si>
    <t>Habitantes actuales</t>
  </si>
  <si>
    <t>Viviendas futuras</t>
  </si>
  <si>
    <t>Habitantes futuras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</si>
  <si>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</si>
  <si>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</si>
  <si>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</si>
  <si>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</si>
  <si>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</si>
  <si>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</si>
  <si>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</si>
  <si>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</si>
  <si>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</si>
  <si>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</si>
  <si>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</si>
  <si>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</si>
  <si>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</si>
  <si>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</si>
  <si>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</si>
  <si>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</si>
  <si>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</si>
  <si>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por cenexión</t>
  </si>
  <si>
    <t>Longitud de tubería central</t>
  </si>
  <si>
    <t>Longitud de conexiones</t>
  </si>
  <si>
    <t>m</t>
  </si>
  <si>
    <t>Factor comercial mas industrial</t>
  </si>
  <si>
    <t>DRENAJE SANITARIO</t>
  </si>
  <si>
    <t>De Pozo</t>
  </si>
  <si>
    <t>A Pozo</t>
  </si>
  <si>
    <t>Caudal  lts./seg.</t>
  </si>
  <si>
    <t>Pendiente de terreno</t>
  </si>
  <si>
    <t>Pendiente de le tubería</t>
  </si>
  <si>
    <t>Diferencia de alturas entre pozos</t>
  </si>
  <si>
    <t>Longitud en planta</t>
  </si>
  <si>
    <t>Longitud de diseño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</si>
  <si>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</si>
  <si>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</si>
  <si>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</si>
  <si>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</si>
  <si>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</si>
  <si>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</si>
  <si>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</si>
  <si>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</si>
  <si>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</si>
  <si>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>Número</t>
  </si>
  <si>
    <t>Cota de terreno</t>
  </si>
  <si>
    <t>Profundidad de pozo 1</t>
  </si>
  <si>
    <t>Cota invertida de salida</t>
  </si>
  <si>
    <t>Cota invertida de llegada</t>
  </si>
  <si>
    <t>Profundidad de tubería de cota invertida de llegada.</t>
  </si>
  <si>
    <t>Radio hidráulico</t>
  </si>
  <si>
    <t>Velocidad</t>
  </si>
  <si>
    <t>PVC</t>
  </si>
  <si>
    <t>Hab/viv</t>
  </si>
  <si>
    <t>Años</t>
  </si>
  <si>
    <t>No.</t>
  </si>
  <si>
    <t>Criterio</t>
  </si>
  <si>
    <t>Cantidad</t>
  </si>
  <si>
    <t>Unidad</t>
  </si>
  <si>
    <t>Dotación de agua potable</t>
  </si>
  <si>
    <t>L/hab/día</t>
  </si>
  <si>
    <t>Coeficiente de manning</t>
  </si>
  <si>
    <t>pendiente</t>
  </si>
  <si>
    <t>V</t>
  </si>
  <si>
    <t>R</t>
  </si>
  <si>
    <t>n</t>
  </si>
  <si>
    <t>s</t>
  </si>
  <si>
    <t>d</t>
  </si>
  <si>
    <t>v</t>
  </si>
  <si>
    <t>CONDICIONES A SECCION LLENA</t>
  </si>
  <si>
    <t>SE HALLA EL CAUDAL</t>
  </si>
  <si>
    <t>Q</t>
  </si>
  <si>
    <t>Caudal (m3/s)</t>
  </si>
  <si>
    <t>Caudal (L/s)</t>
  </si>
  <si>
    <t>SE CALCULA VELOCIDAD A SECCION LLENA</t>
  </si>
  <si>
    <t>DATOS INICIALES DEL PROBLEMA</t>
  </si>
  <si>
    <t>RELACION q/Q</t>
  </si>
  <si>
    <t>q</t>
  </si>
  <si>
    <t>S</t>
  </si>
  <si>
    <t>RELACION d/D (se saca de la grafica de la banana)</t>
  </si>
  <si>
    <t>RELACION v/V (grafica de banana)</t>
  </si>
  <si>
    <t>como arriba tenemos V a seccion llena ahora se despeja para v a seccion parcial</t>
  </si>
  <si>
    <t>CALCULANDO VELOCIDAD A SECCION PARCIAL</t>
  </si>
  <si>
    <t>(VA) (densidad de vivienda)</t>
  </si>
  <si>
    <t>(VA) (factor de crecimiento)</t>
  </si>
  <si>
    <t>(HA)*R</t>
  </si>
  <si>
    <r>
      <t xml:space="preserve">Factor de crecimiento </t>
    </r>
    <r>
      <rPr>
        <sz val="11"/>
        <color rgb="FFFF0000"/>
        <rFont val="Book Antiqua"/>
        <family val="1"/>
      </rPr>
      <t>R</t>
    </r>
  </si>
  <si>
    <t>DATO FIJO SEGÚN NORMA</t>
  </si>
  <si>
    <t>debajo de  V = 1.6 subimos pendiente de tuberia</t>
  </si>
  <si>
    <t xml:space="preserve">si el valor de la velocidad es mayor que 1.6 bajamos valor de pendiente de tuberia </t>
  </si>
  <si>
    <t>es igual a J</t>
  </si>
  <si>
    <t>CRITERIO DE DISEÑO</t>
  </si>
  <si>
    <t>0.02(D)</t>
  </si>
  <si>
    <t>bajarle si sale v grande para bajarle a la pendiente de tuberia</t>
  </si>
  <si>
    <t>valor min 1.35</t>
  </si>
  <si>
    <t>cuando es tub de seguimiento se le resta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</si>
</sst>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0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Batang"/>
      <family val="1"/>
    </font>
    <font>
      <sz val="20"/>
      <color theme="1"/>
      <name val="Calibri"/>
      <family val="2"/>
      <scheme val="minor"/>
    </font>
    <font>
      <sz val="20"/>
      <color rgb="FFFF0000"/>
      <name val="AIGDT"/>
      <charset val="2"/>
    </font>
    <font>
      <sz val="11"/>
      <color rgb="FFFF0000"/>
      <name val="AIGDT"/>
      <charset val="2"/>
    </font>
    <font>
      <b/>
      <sz val="20"/>
      <name val="Arial"/>
      <family val="2"/>
    </font>
    <font>
      <sz val="20"/>
      <name val="Arial"/>
      <family val="2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FF0000"/>
      <name val="Book Antiqua"/>
      <family val="1"/>
    </font>
    <font>
      <b/>
      <sz val="20"/>
      <color rgb="FFFF0000"/>
      <name val="Arial"/>
      <family val="2"/>
    </font>
    <font>
      <sz val="18"/>
      <color rgb="FFFF0000"/>
      <name val="Calibri"/>
      <family val="2"/>
      <scheme val="minor"/>
    </font>
    <font>
      <sz val="14"/>
      <color theme="1"/>
      <name val="Arial"/>
      <family val="2"/>
    </font>
    <font>
      <sz val="18"/>
      <color theme="1"/>
      <name val="Arial"/>
      <family val="2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FC4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0" borderId="0" xfId="0" applyNumberFormat="1"/>
    <xf numFmtId="0" fontId="4" fillId="0" borderId="0" xfId="0" applyFont="1"/>
    <xf numFmtId="0" fontId="7" fillId="3" borderId="1" xfId="0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0" borderId="0" xfId="0" applyFont="1"/>
    <xf numFmtId="1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2" fontId="14" fillId="0" borderId="0" xfId="0" applyNumberFormat="1" applyFont="1" applyAlignment="1">
      <alignment vertical="center"/>
    </xf>
    <xf numFmtId="2" fontId="15" fillId="0" borderId="0" xfId="0" applyNumberFormat="1" applyFont="1" applyAlignment="1">
      <alignment horizontal="center" vertical="center"/>
    </xf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0" fontId="18" fillId="0" borderId="1" xfId="0" applyFont="1" applyBorder="1" applyAlignment="1">
      <alignment horizontal="center"/>
    </xf>
    <xf numFmtId="9" fontId="18" fillId="0" borderId="1" xfId="2" applyFont="1" applyBorder="1" applyAlignment="1">
      <alignment horizontal="center"/>
    </xf>
    <xf numFmtId="43" fontId="18" fillId="0" borderId="1" xfId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9" fontId="0" fillId="0" borderId="0" xfId="2" applyFont="1"/>
    <xf numFmtId="0" fontId="0" fillId="7" borderId="1" xfId="0" applyFill="1" applyBorder="1"/>
    <xf numFmtId="166" fontId="0" fillId="0" borderId="1" xfId="0" applyNumberForma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" fontId="0" fillId="0" borderId="1" xfId="2" applyNumberFormat="1" applyFont="1" applyBorder="1"/>
    <xf numFmtId="2" fontId="0" fillId="0" borderId="0" xfId="0" applyNumberFormat="1" applyAlignment="1">
      <alignment horizontal="center"/>
    </xf>
    <xf numFmtId="9" fontId="0" fillId="0" borderId="0" xfId="2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/>
    </xf>
    <xf numFmtId="164" fontId="5" fillId="9" borderId="0" xfId="0" applyNumberFormat="1" applyFont="1" applyFill="1" applyAlignment="1">
      <alignment horizontal="center"/>
    </xf>
    <xf numFmtId="0" fontId="6" fillId="9" borderId="0" xfId="0" applyFont="1" applyFill="1"/>
    <xf numFmtId="10" fontId="21" fillId="0" borderId="1" xfId="2" applyNumberFormat="1" applyFont="1" applyFill="1" applyBorder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2" fontId="23" fillId="0" borderId="0" xfId="0" applyNumberFormat="1" applyFont="1" applyAlignment="1">
      <alignment vertical="center"/>
    </xf>
    <xf numFmtId="2" fontId="9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7" fillId="9" borderId="1" xfId="0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7" fillId="1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7" fillId="9" borderId="4" xfId="0" applyFont="1" applyFill="1" applyBorder="1" applyAlignment="1">
      <alignment horizontal="center"/>
    </xf>
    <xf numFmtId="0" fontId="17" fillId="9" borderId="5" xfId="0" applyFont="1" applyFill="1" applyBorder="1" applyAlignment="1">
      <alignment horizontal="center"/>
    </xf>
    <xf numFmtId="0" fontId="17" fillId="9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10" fillId="11" borderId="1" xfId="0" applyNumberFormat="1" applyFont="1" applyFill="1" applyBorder="1" applyAlignment="1">
      <alignment horizontal="center" vertical="center"/>
    </xf>
    <xf numFmtId="2" fontId="10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10" fontId="21" fillId="11" borderId="1" xfId="2" applyNumberFormat="1" applyFont="1" applyFill="1" applyBorder="1" applyAlignment="1">
      <alignment horizontal="center" vertical="center"/>
    </xf>
    <xf numFmtId="10" fontId="21" fillId="11" borderId="1" xfId="0" applyNumberFormat="1" applyFont="1" applyFill="1" applyBorder="1" applyAlignment="1">
      <alignment horizontal="center" vertical="center"/>
    </xf>
    <xf numFmtId="164" fontId="11" fillId="11" borderId="1" xfId="0" applyNumberFormat="1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4" fontId="12" fillId="11" borderId="1" xfId="0" applyNumberFormat="1" applyFont="1" applyFill="1" applyBorder="1" applyAlignment="1">
      <alignment horizontal="center" vertical="center"/>
    </xf>
    <xf numFmtId="4" fontId="8" fillId="11" borderId="1" xfId="0" applyNumberFormat="1" applyFont="1" applyFill="1" applyBorder="1" applyAlignment="1">
      <alignment horizontal="center" vertical="center"/>
    </xf>
    <xf numFmtId="2" fontId="22" fillId="11" borderId="0" xfId="0" applyNumberFormat="1" applyFont="1" applyFill="1" applyAlignment="1">
      <alignment vertical="center"/>
    </xf>
    <xf numFmtId="0" fontId="22" fillId="11" borderId="0" xfId="0" applyFont="1" applyFill="1" applyAlignment="1">
      <alignment vertical="center"/>
    </xf>
    <xf numFmtId="2" fontId="23" fillId="11" borderId="0" xfId="0" applyNumberFormat="1" applyFont="1" applyFill="1" applyAlignment="1">
      <alignment vertical="center"/>
    </xf>
    <xf numFmtId="2" fontId="9" fillId="11" borderId="0" xfId="0" applyNumberFormat="1" applyFont="1" applyFill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" fontId="16" fillId="0" borderId="0" xfId="0" applyNumberFormat="1" applyFont="1"/>
    <xf numFmtId="2" fontId="13" fillId="11" borderId="0" xfId="0" applyNumberFormat="1" applyFont="1" applyFill="1" applyAlignment="1">
      <alignment vertical="center"/>
    </xf>
    <xf numFmtId="0" fontId="13" fillId="11" borderId="0" xfId="0" applyFont="1" applyFill="1" applyAlignment="1">
      <alignment vertical="center"/>
    </xf>
    <xf numFmtId="2" fontId="14" fillId="11" borderId="0" xfId="0" applyNumberFormat="1" applyFont="1" applyFill="1" applyAlignment="1">
      <alignment vertical="center"/>
    </xf>
    <xf numFmtId="2" fontId="15" fillId="11" borderId="0" xfId="0" applyNumberFormat="1" applyFont="1" applyFill="1" applyAlignment="1">
      <alignment horizontal="center" vertical="center"/>
    </xf>
    <xf numFmtId="2" fontId="24" fillId="11" borderId="1" xfId="0" applyNumberFormat="1" applyFont="1" applyFill="1" applyBorder="1" applyAlignment="1">
      <alignment horizontal="center" vertical="center"/>
    </xf>
    <xf numFmtId="2" fontId="25" fillId="11" borderId="1" xfId="0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28ED0"/>
      <color rgb="FFCFC4E6"/>
      <color rgb="FFE2D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12.jpeg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14</xdr:row>
      <xdr:rowOff>26504</xdr:rowOff>
    </xdr:from>
    <xdr:to>
      <xdr:col>1</xdr:col>
      <xdr:colOff>1403350</xdr:colOff>
      <xdr:row>17</xdr:row>
      <xdr:rowOff>158750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C8107F-CB24-8383-68E1-503124CF5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00" y="2064854"/>
          <a:ext cx="1377950" cy="684696"/>
        </a:xfrm>
        <a:prstGeom prst="rect">
          <a:avLst/>
        </a:prstGeom>
      </xdr:spPr>
    </xdr:pic>
    <xdr:clientData/>
  </xdr:twoCellAnchor>
  <xdr:twoCellAnchor editAs="oneCell">
    <xdr:from>
      <xdr:col>8</xdr:col>
      <xdr:colOff>82550</xdr:colOff>
      <xdr:row>6</xdr:row>
      <xdr:rowOff>177800</xdr:rowOff>
    </xdr:from>
    <xdr:to>
      <xdr:col>9</xdr:col>
      <xdr:colOff>489010</xdr:colOff>
      <xdr:row>9</xdr:row>
      <xdr:rowOff>177828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D4B34E-1AD5-3D18-9E6F-8716B42E1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254750" y="1282700"/>
          <a:ext cx="1168460" cy="552478"/>
        </a:xfrm>
        <a:prstGeom prst="rect">
          <a:avLst/>
        </a:prstGeom>
      </xdr:spPr>
    </xdr:pic>
    <xdr:clientData/>
  </xdr:twoCellAnchor>
  <xdr:twoCellAnchor editAs="oneCell">
    <xdr:from>
      <xdr:col>0</xdr:col>
      <xdr:colOff>755650</xdr:colOff>
      <xdr:row>25</xdr:row>
      <xdr:rowOff>101600</xdr:rowOff>
    </xdr:from>
    <xdr:to>
      <xdr:col>1</xdr:col>
      <xdr:colOff>1968499</xdr:colOff>
      <xdr:row>29</xdr:row>
      <xdr:rowOff>57150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FDC00A2-D59C-9596-78D6-9EA2FC056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" y="4718050"/>
          <a:ext cx="1974849" cy="69215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32</xdr:row>
      <xdr:rowOff>120651</xdr:rowOff>
    </xdr:from>
    <xdr:to>
      <xdr:col>1</xdr:col>
      <xdr:colOff>1809750</xdr:colOff>
      <xdr:row>35</xdr:row>
      <xdr:rowOff>139700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D5F122C-972E-54CC-F4D9-924AA7A2B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6026151"/>
          <a:ext cx="1479550" cy="5714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95250</xdr:rowOff>
    </xdr:from>
    <xdr:to>
      <xdr:col>2</xdr:col>
      <xdr:colOff>50905</xdr:colOff>
      <xdr:row>42</xdr:row>
      <xdr:rowOff>158772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5AF6008-1656-2435-5B48-67C9EDD14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7473950"/>
          <a:ext cx="2038455" cy="431822"/>
        </a:xfrm>
        <a:prstGeom prst="rect">
          <a:avLst/>
        </a:prstGeom>
      </xdr:spPr>
    </xdr:pic>
    <xdr:clientData/>
  </xdr:twoCellAnchor>
  <xdr:twoCellAnchor editAs="oneCell">
    <xdr:from>
      <xdr:col>6</xdr:col>
      <xdr:colOff>482600</xdr:colOff>
      <xdr:row>47</xdr:row>
      <xdr:rowOff>114300</xdr:rowOff>
    </xdr:from>
    <xdr:to>
      <xdr:col>8</xdr:col>
      <xdr:colOff>101600</xdr:colOff>
      <xdr:row>49</xdr:row>
      <xdr:rowOff>29882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594D220-09F4-E849-0B1B-4814244F65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2361" b="35157"/>
        <a:stretch/>
      </xdr:blipFill>
      <xdr:spPr>
        <a:xfrm>
          <a:off x="5130800" y="8851900"/>
          <a:ext cx="1143000" cy="283882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45</xdr:row>
      <xdr:rowOff>25400</xdr:rowOff>
    </xdr:from>
    <xdr:to>
      <xdr:col>1</xdr:col>
      <xdr:colOff>1784350</xdr:colOff>
      <xdr:row>47</xdr:row>
      <xdr:rowOff>68961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38AF750-06F6-9AE4-217D-B0A3B6E9F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50" y="8394700"/>
          <a:ext cx="1752600" cy="411861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4</xdr:row>
      <xdr:rowOff>57151</xdr:rowOff>
    </xdr:from>
    <xdr:to>
      <xdr:col>7</xdr:col>
      <xdr:colOff>25400</xdr:colOff>
      <xdr:row>9</xdr:row>
      <xdr:rowOff>109559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0762E83-C446-1E53-1052-57F6A3EE8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850" y="793751"/>
          <a:ext cx="2317750" cy="973158"/>
        </a:xfrm>
        <a:prstGeom prst="rect">
          <a:avLst/>
        </a:prstGeom>
      </xdr:spPr>
    </xdr:pic>
    <xdr:clientData/>
  </xdr:twoCellAnchor>
  <xdr:twoCellAnchor editAs="oneCell">
    <xdr:from>
      <xdr:col>7</xdr:col>
      <xdr:colOff>214923</xdr:colOff>
      <xdr:row>10</xdr:row>
      <xdr:rowOff>107461</xdr:rowOff>
    </xdr:from>
    <xdr:to>
      <xdr:col>17</xdr:col>
      <xdr:colOff>367323</xdr:colOff>
      <xdr:row>41</xdr:row>
      <xdr:rowOff>124328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C537713-68D4-1A71-A977-1398C5691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7308" y="1963615"/>
          <a:ext cx="7772400" cy="5780713"/>
        </a:xfrm>
        <a:prstGeom prst="rect">
          <a:avLst/>
        </a:prstGeom>
      </xdr:spPr>
    </xdr:pic>
    <xdr:clientData/>
  </xdr:twoCellAnchor>
  <xdr:twoCellAnchor>
    <xdr:from>
      <xdr:col>9</xdr:col>
      <xdr:colOff>478692</xdr:colOff>
      <xdr:row>28</xdr:row>
      <xdr:rowOff>117783</xdr:rowOff>
    </xdr:from>
    <xdr:to>
      <xdr:col>9</xdr:col>
      <xdr:colOff>481371</xdr:colOff>
      <xdr:row>35</xdr:row>
      <xdr:rowOff>166077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81C9A9C-B3BD-9B29-E3AC-F17552021FAB}"/>
            </a:ext>
          </a:extLst>
        </xdr:cNvPr>
        <xdr:cNvCxnSpPr/>
      </xdr:nvCxnSpPr>
      <xdr:spPr>
        <a:xfrm flipV="1">
          <a:off x="7417603" y="5289960"/>
          <a:ext cx="2679" cy="133877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491613</xdr:colOff>
      <xdr:row>28</xdr:row>
      <xdr:rowOff>128025</xdr:rowOff>
    </xdr:from>
    <xdr:to>
      <xdr:col>13</xdr:col>
      <xdr:colOff>66573</xdr:colOff>
      <xdr:row>28</xdr:row>
      <xdr:rowOff>148508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B3ECC5FD-8FA7-FA2D-FDD1-2D568932A984}"/>
            </a:ext>
          </a:extLst>
        </xdr:cNvPr>
        <xdr:cNvCxnSpPr/>
      </xdr:nvCxnSpPr>
      <xdr:spPr>
        <a:xfrm flipV="1">
          <a:off x="6667500" y="5300202"/>
          <a:ext cx="3390081" cy="20483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645242</xdr:colOff>
      <xdr:row>28</xdr:row>
      <xdr:rowOff>117783</xdr:rowOff>
    </xdr:from>
    <xdr:to>
      <xdr:col>12</xdr:col>
      <xdr:colOff>650363</xdr:colOff>
      <xdr:row>35</xdr:row>
      <xdr:rowOff>128024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513853A1-CC91-1465-FADE-9BDD4B3DEF68}"/>
            </a:ext>
          </a:extLst>
        </xdr:cNvPr>
        <xdr:cNvCxnSpPr/>
      </xdr:nvCxnSpPr>
      <xdr:spPr>
        <a:xfrm>
          <a:off x="9873226" y="5289960"/>
          <a:ext cx="5121" cy="13007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411530</xdr:colOff>
      <xdr:row>22</xdr:row>
      <xdr:rowOff>175911</xdr:rowOff>
    </xdr:from>
    <xdr:to>
      <xdr:col>11</xdr:col>
      <xdr:colOff>544852</xdr:colOff>
      <xdr:row>41</xdr:row>
      <xdr:rowOff>13119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BABF33-D130-96CC-5932-BA58DB51A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02" y="5458571"/>
          <a:ext cx="3132684" cy="3302686"/>
        </a:xfrm>
        <a:prstGeom prst="rect">
          <a:avLst/>
        </a:prstGeom>
      </xdr:spPr>
    </xdr:pic>
    <xdr:clientData/>
  </xdr:twoCellAnchor>
  <xdr:twoCellAnchor editAs="oneCell">
    <xdr:from>
      <xdr:col>12</xdr:col>
      <xdr:colOff>141296</xdr:colOff>
      <xdr:row>23</xdr:row>
      <xdr:rowOff>9314</xdr:rowOff>
    </xdr:from>
    <xdr:to>
      <xdr:col>15</xdr:col>
      <xdr:colOff>601224</xdr:colOff>
      <xdr:row>41</xdr:row>
      <xdr:rowOff>40533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DE0A186-9255-BF18-A669-9D2AD4202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3370" y="5474367"/>
          <a:ext cx="2709450" cy="33143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1287685</xdr:colOff>
      <xdr:row>2</xdr:row>
      <xdr:rowOff>194733</xdr:rowOff>
    </xdr:from>
    <xdr:to>
      <xdr:col>20</xdr:col>
      <xdr:colOff>843799</xdr:colOff>
      <xdr:row>6</xdr:row>
      <xdr:rowOff>94875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193A22-1DFB-41CA-98FB-7139D2C366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10" t="1" r="78021" b="14896"/>
        <a:stretch/>
      </xdr:blipFill>
      <xdr:spPr>
        <a:xfrm>
          <a:off x="31393035" y="563033"/>
          <a:ext cx="870564" cy="1366992"/>
        </a:xfrm>
        <a:prstGeom prst="rect">
          <a:avLst/>
        </a:prstGeom>
      </xdr:spPr>
    </xdr:pic>
    <xdr:clientData/>
  </xdr:twoCellAnchor>
  <xdr:twoCellAnchor editAs="oneCell">
    <xdr:from>
      <xdr:col>21</xdr:col>
      <xdr:colOff>48343</xdr:colOff>
      <xdr:row>3</xdr:row>
      <xdr:rowOff>238637</xdr:rowOff>
    </xdr:from>
    <xdr:to>
      <xdr:col>22</xdr:col>
      <xdr:colOff>48343</xdr:colOff>
      <xdr:row>6</xdr:row>
      <xdr:rowOff>504520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B2A309-4DFD-42FF-BCFB-40C834A94E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53"/>
        <a:stretch/>
      </xdr:blipFill>
      <xdr:spPr>
        <a:xfrm>
          <a:off x="32471443" y="975237"/>
          <a:ext cx="1003300" cy="1364433"/>
        </a:xfrm>
        <a:prstGeom prst="rect">
          <a:avLst/>
        </a:prstGeom>
      </xdr:spPr>
    </xdr:pic>
    <xdr:clientData/>
  </xdr:twoCellAnchor>
  <xdr:twoCellAnchor editAs="oneCell">
    <xdr:from>
      <xdr:col>24</xdr:col>
      <xdr:colOff>18027</xdr:colOff>
      <xdr:row>5</xdr:row>
      <xdr:rowOff>76609</xdr:rowOff>
    </xdr:from>
    <xdr:to>
      <xdr:col>24</xdr:col>
      <xdr:colOff>1770627</xdr:colOff>
      <xdr:row>6</xdr:row>
      <xdr:rowOff>171175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FF5F67-4199-4D19-9CC8-E8D273F6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7427" y="1594259"/>
          <a:ext cx="1752600" cy="41206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32</xdr:row>
      <xdr:rowOff>0</xdr:rowOff>
    </xdr:from>
    <xdr:to>
      <xdr:col>24</xdr:col>
      <xdr:colOff>986948</xdr:colOff>
      <xdr:row>64</xdr:row>
      <xdr:rowOff>46614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3837DCB-AF95-4DFF-916C-6FBDBE918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4464" y="10228036"/>
          <a:ext cx="7994627" cy="5852328"/>
        </a:xfrm>
        <a:prstGeom prst="rect">
          <a:avLst/>
        </a:prstGeom>
      </xdr:spPr>
    </xdr:pic>
    <xdr:clientData/>
  </xdr:twoCellAnchor>
  <xdr:twoCellAnchor>
    <xdr:from>
      <xdr:col>23</xdr:col>
      <xdr:colOff>636460</xdr:colOff>
      <xdr:row>38</xdr:row>
      <xdr:rowOff>20134</xdr:rowOff>
    </xdr:from>
    <xdr:to>
      <xdr:col>23</xdr:col>
      <xdr:colOff>648167</xdr:colOff>
      <xdr:row>61</xdr:row>
      <xdr:rowOff>21229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5CE7FE9B-A419-933C-EB19-6FD791E448AC}"/>
            </a:ext>
          </a:extLst>
        </xdr:cNvPr>
        <xdr:cNvCxnSpPr/>
      </xdr:nvCxnSpPr>
      <xdr:spPr>
        <a:xfrm flipH="1" flipV="1">
          <a:off x="36005960" y="11312551"/>
          <a:ext cx="11707" cy="413917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799434</xdr:colOff>
      <xdr:row>44</xdr:row>
      <xdr:rowOff>3475</xdr:rowOff>
    </xdr:from>
    <xdr:to>
      <xdr:col>24</xdr:col>
      <xdr:colOff>308618</xdr:colOff>
      <xdr:row>44</xdr:row>
      <xdr:rowOff>58933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53C08554-E80C-F9ED-D33E-0386B9013703}"/>
            </a:ext>
          </a:extLst>
        </xdr:cNvPr>
        <xdr:cNvCxnSpPr/>
      </xdr:nvCxnSpPr>
      <xdr:spPr>
        <a:xfrm flipH="1">
          <a:off x="30909017" y="12375392"/>
          <a:ext cx="6515351" cy="55458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363945</xdr:colOff>
      <xdr:row>40</xdr:row>
      <xdr:rowOff>104423</xdr:rowOff>
    </xdr:from>
    <xdr:to>
      <xdr:col>22</xdr:col>
      <xdr:colOff>405555</xdr:colOff>
      <xdr:row>60</xdr:row>
      <xdr:rowOff>73094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C6ED3DC5-A3F7-5B99-39E8-0D48427BFC22}"/>
            </a:ext>
          </a:extLst>
        </xdr:cNvPr>
        <xdr:cNvCxnSpPr/>
      </xdr:nvCxnSpPr>
      <xdr:spPr>
        <a:xfrm>
          <a:off x="33796695" y="11756673"/>
          <a:ext cx="41610" cy="3567004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499591</xdr:colOff>
      <xdr:row>43</xdr:row>
      <xdr:rowOff>120952</xdr:rowOff>
    </xdr:from>
    <xdr:to>
      <xdr:col>7</xdr:col>
      <xdr:colOff>1573199</xdr:colOff>
      <xdr:row>94</xdr:row>
      <xdr:rowOff>134469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FD4616C-36FA-4BBC-8391-665A0B30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270" y="12344702"/>
          <a:ext cx="7574798" cy="9266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7156-BC0B-4704-A705-22A993FFA995}">
  <dimension ref="A1"/>
  <sheetViews>
    <sheetView topLeftCell="B1" workbookViewId="0">
      <selection activeCell="D26" sqref="D26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700B-49E9-4AA6-8A40-9BF7825CF61E}">
  <sheetPr codeName="Hoja1"/>
  <dimension ref="B2:I47"/>
  <sheetViews>
    <sheetView zoomScale="58" zoomScaleNormal="58" workbookViewId="0">
      <selection activeCell="L47" sqref="L47"/>
    </sheetView>
  </sheetViews>
  <sheetFormatPr baseColWidth="10" defaultRowHeight="14.5" x14ac:dyDescent="0.35"/>
  <cols>
    <col min="2" max="2" width="28.453125" bestFit="1" customWidth="1"/>
    <col min="3" max="3" width="4.08984375" bestFit="1" customWidth="1"/>
    <col min="4" max="4" width="7.36328125" bestFit="1" customWidth="1"/>
    <col min="5" max="5" width="4.81640625" bestFit="1" customWidth="1"/>
  </cols>
  <sheetData>
    <row r="2" spans="2:5" x14ac:dyDescent="0.35">
      <c r="B2" s="67" t="s">
        <v>76</v>
      </c>
    </row>
    <row r="3" spans="2:5" x14ac:dyDescent="0.35">
      <c r="B3" s="67"/>
      <c r="C3" s="33" t="s">
        <v>72</v>
      </c>
      <c r="D3" s="33">
        <v>72</v>
      </c>
    </row>
    <row r="4" spans="2:5" x14ac:dyDescent="0.35">
      <c r="B4" s="67"/>
      <c r="C4" s="33" t="s">
        <v>79</v>
      </c>
      <c r="D4" s="41">
        <v>2</v>
      </c>
    </row>
    <row r="6" spans="2:5" x14ac:dyDescent="0.35">
      <c r="B6" t="s">
        <v>52</v>
      </c>
      <c r="C6" t="s">
        <v>64</v>
      </c>
    </row>
    <row r="7" spans="2:5" x14ac:dyDescent="0.35">
      <c r="B7" t="s">
        <v>62</v>
      </c>
      <c r="C7" t="s">
        <v>66</v>
      </c>
      <c r="E7" s="36"/>
    </row>
    <row r="8" spans="2:5" x14ac:dyDescent="0.35">
      <c r="B8" t="s">
        <v>51</v>
      </c>
      <c r="C8" t="s">
        <v>65</v>
      </c>
    </row>
    <row r="9" spans="2:5" x14ac:dyDescent="0.35">
      <c r="B9" t="s">
        <v>63</v>
      </c>
      <c r="C9" t="s">
        <v>67</v>
      </c>
    </row>
    <row r="12" spans="2:5" x14ac:dyDescent="0.35">
      <c r="B12" s="65" t="s">
        <v>70</v>
      </c>
      <c r="C12" s="65"/>
      <c r="D12" s="65"/>
      <c r="E12" s="65"/>
    </row>
    <row r="13" spans="2:5" ht="15.5" customHeight="1" x14ac:dyDescent="0.35">
      <c r="B13" s="64" t="s">
        <v>75</v>
      </c>
      <c r="C13" s="64"/>
      <c r="D13" s="64"/>
      <c r="E13" s="64"/>
    </row>
    <row r="15" spans="2:5" x14ac:dyDescent="0.35">
      <c r="B15" s="66"/>
      <c r="C15" s="33" t="s">
        <v>66</v>
      </c>
      <c r="D15" s="33">
        <v>0.01</v>
      </c>
    </row>
    <row r="16" spans="2:5" x14ac:dyDescent="0.35">
      <c r="B16" s="66"/>
      <c r="C16" s="33" t="s">
        <v>68</v>
      </c>
      <c r="D16" s="33">
        <f>(E16/100)*2.54</f>
        <v>0.254</v>
      </c>
      <c r="E16" s="37">
        <v>10</v>
      </c>
    </row>
    <row r="17" spans="2:5" x14ac:dyDescent="0.35">
      <c r="B17" s="66"/>
      <c r="C17" s="33" t="s">
        <v>67</v>
      </c>
      <c r="D17" s="33">
        <v>0.01</v>
      </c>
    </row>
    <row r="18" spans="2:5" x14ac:dyDescent="0.35">
      <c r="B18" s="66"/>
      <c r="C18" s="33" t="s">
        <v>64</v>
      </c>
      <c r="D18" s="38">
        <f>(1/D15)*(D16/4)^(2/3)*(D17)^(1/2)</f>
        <v>1.5916557781236</v>
      </c>
    </row>
    <row r="20" spans="2:5" x14ac:dyDescent="0.35">
      <c r="B20" s="63" t="s">
        <v>71</v>
      </c>
      <c r="C20" s="63"/>
      <c r="D20" s="63"/>
      <c r="E20" s="63"/>
    </row>
    <row r="21" spans="2:5" x14ac:dyDescent="0.35">
      <c r="B21" s="33" t="s">
        <v>73</v>
      </c>
      <c r="C21" s="33" t="s">
        <v>72</v>
      </c>
      <c r="D21" s="34">
        <f>((PI()*((D16)^2))/4)*D18</f>
        <v>8.0650388692397559E-2</v>
      </c>
    </row>
    <row r="22" spans="2:5" x14ac:dyDescent="0.35">
      <c r="B22" s="33" t="s">
        <v>74</v>
      </c>
      <c r="C22" s="33" t="s">
        <v>72</v>
      </c>
      <c r="D22" s="35">
        <f>D21*1000</f>
        <v>80.650388692397556</v>
      </c>
    </row>
    <row r="25" spans="2:5" x14ac:dyDescent="0.35">
      <c r="B25" s="63" t="s">
        <v>77</v>
      </c>
      <c r="C25" s="63"/>
      <c r="D25" s="63"/>
      <c r="E25" s="63"/>
    </row>
    <row r="27" spans="2:5" x14ac:dyDescent="0.35">
      <c r="C27" s="33" t="s">
        <v>78</v>
      </c>
      <c r="D27" s="33">
        <v>72</v>
      </c>
    </row>
    <row r="28" spans="2:5" x14ac:dyDescent="0.35">
      <c r="C28" s="33" t="s">
        <v>72</v>
      </c>
      <c r="D28" s="35">
        <f>D22</f>
        <v>80.650388692397556</v>
      </c>
    </row>
    <row r="29" spans="2:5" x14ac:dyDescent="0.35">
      <c r="C29" s="33" t="s">
        <v>40</v>
      </c>
      <c r="D29" s="35">
        <f>D27/D28</f>
        <v>0.89274213264625002</v>
      </c>
    </row>
    <row r="32" spans="2:5" x14ac:dyDescent="0.35">
      <c r="B32" s="63" t="s">
        <v>80</v>
      </c>
      <c r="C32" s="63"/>
      <c r="D32" s="63"/>
      <c r="E32" s="63"/>
    </row>
    <row r="35" spans="2:9" x14ac:dyDescent="0.35">
      <c r="D35" s="33" t="s">
        <v>41</v>
      </c>
      <c r="E35" s="33">
        <v>0.57999999999999996</v>
      </c>
    </row>
    <row r="40" spans="2:9" x14ac:dyDescent="0.35">
      <c r="B40" s="63" t="s">
        <v>81</v>
      </c>
      <c r="C40" s="63"/>
      <c r="D40" s="63"/>
      <c r="E40" s="63"/>
    </row>
    <row r="42" spans="2:9" x14ac:dyDescent="0.35">
      <c r="D42" s="33" t="s">
        <v>43</v>
      </c>
      <c r="E42" s="33">
        <v>1.08</v>
      </c>
      <c r="G42" s="39"/>
      <c r="H42" s="39"/>
      <c r="I42" s="39"/>
    </row>
    <row r="43" spans="2:9" ht="20" customHeight="1" x14ac:dyDescent="0.35">
      <c r="G43" s="39"/>
      <c r="H43" s="39"/>
      <c r="I43" s="39"/>
    </row>
    <row r="45" spans="2:9" x14ac:dyDescent="0.35">
      <c r="B45" s="63" t="s">
        <v>83</v>
      </c>
      <c r="C45" s="63"/>
      <c r="D45" s="63"/>
      <c r="E45" s="63"/>
    </row>
    <row r="46" spans="2:9" x14ac:dyDescent="0.35">
      <c r="C46" s="33" t="s">
        <v>69</v>
      </c>
      <c r="D46" s="35">
        <f>D18*E42</f>
        <v>1.7189882403734882</v>
      </c>
      <c r="G46" s="62" t="s">
        <v>82</v>
      </c>
      <c r="H46" s="62"/>
      <c r="I46" s="62"/>
    </row>
    <row r="47" spans="2:9" x14ac:dyDescent="0.35">
      <c r="G47" s="62"/>
      <c r="H47" s="62"/>
      <c r="I47" s="62"/>
    </row>
  </sheetData>
  <mergeCells count="10">
    <mergeCell ref="B12:E12"/>
    <mergeCell ref="B15:B18"/>
    <mergeCell ref="B25:E25"/>
    <mergeCell ref="B2:B4"/>
    <mergeCell ref="B45:E45"/>
    <mergeCell ref="G46:I47"/>
    <mergeCell ref="B32:E32"/>
    <mergeCell ref="B40:E40"/>
    <mergeCell ref="B13:E13"/>
    <mergeCell ref="B20:E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 codeName="Hoja2">
    <tabColor rgb="FFA28ED0"/>
  </sheetPr>
  <dimension ref="B2:U35"/>
  <sheetViews>
    <sheetView topLeftCell="A3" zoomScale="94" zoomScaleNormal="94" workbookViewId="0">
      <selection activeCell="T21" sqref="T21"/>
    </sheetView>
  </sheetViews>
  <sheetFormatPr baseColWidth="10" defaultRowHeight="14.5" x14ac:dyDescent="0.35"/>
  <cols>
    <col min="1" max="1" width="4" customWidth="1"/>
    <col min="2" max="2" width="4.6328125" customWidth="1"/>
    <col min="3" max="3" width="8.90625" customWidth="1"/>
    <col min="4" max="4" width="10.7265625" customWidth="1"/>
    <col min="5" max="5" width="11.6328125" customWidth="1"/>
    <col min="6" max="19" width="10.7265625" customWidth="1"/>
  </cols>
  <sheetData>
    <row r="2" spans="2:20" ht="56.5" customHeight="1" x14ac:dyDescent="0.35">
      <c r="B2" s="40"/>
      <c r="C2" s="40"/>
      <c r="D2" s="40" t="s">
        <v>84</v>
      </c>
      <c r="E2" s="40" t="s">
        <v>85</v>
      </c>
      <c r="F2" s="40" t="s">
        <v>86</v>
      </c>
      <c r="G2" s="40" t="s">
        <v>88</v>
      </c>
      <c r="H2" s="40"/>
      <c r="I2" s="40"/>
      <c r="J2" s="40"/>
      <c r="K2" s="40"/>
      <c r="L2" s="40" t="s">
        <v>93</v>
      </c>
      <c r="M2" s="40"/>
      <c r="N2" s="40"/>
      <c r="O2" s="40"/>
      <c r="P2" s="40"/>
      <c r="Q2" s="40"/>
      <c r="R2" s="40"/>
      <c r="S2" s="40"/>
      <c r="T2" s="40"/>
    </row>
    <row r="3" spans="2:20" ht="72.5" x14ac:dyDescent="0.35"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17</v>
      </c>
      <c r="H3" s="32" t="s">
        <v>18</v>
      </c>
      <c r="I3" s="30" t="s">
        <v>19</v>
      </c>
      <c r="J3" s="32" t="s">
        <v>6</v>
      </c>
      <c r="K3" s="30" t="s">
        <v>7</v>
      </c>
      <c r="L3" s="32" t="s">
        <v>20</v>
      </c>
      <c r="M3" s="32" t="s">
        <v>23</v>
      </c>
      <c r="N3" s="32" t="s">
        <v>24</v>
      </c>
      <c r="O3" s="32" t="s">
        <v>21</v>
      </c>
      <c r="P3" s="30" t="s">
        <v>8</v>
      </c>
      <c r="Q3" s="32" t="s">
        <v>26</v>
      </c>
      <c r="R3" s="30" t="s">
        <v>9</v>
      </c>
      <c r="S3" s="32" t="s">
        <v>10</v>
      </c>
      <c r="T3" s="32" t="s">
        <v>12</v>
      </c>
    </row>
    <row r="4" spans="2:20" x14ac:dyDescent="0.35">
      <c r="B4" s="2">
        <v>1</v>
      </c>
      <c r="C4" s="2">
        <v>40</v>
      </c>
      <c r="D4" s="2">
        <f t="shared" ref="D4:D21" si="0">C4*$F$28</f>
        <v>240</v>
      </c>
      <c r="E4" s="3">
        <f t="shared" ref="E4:E21" si="1">C4*$F$31</f>
        <v>90.354034448684942</v>
      </c>
      <c r="F4" s="3">
        <f t="shared" ref="F4:F21" si="2">D4*$F$31</f>
        <v>542.12420669210962</v>
      </c>
      <c r="G4" s="2">
        <v>150</v>
      </c>
      <c r="H4" s="4">
        <f>F4*G4/86400</f>
        <v>0.94118785884046807</v>
      </c>
      <c r="I4" s="4">
        <f>H4*$F$26</f>
        <v>0.705890894130351</v>
      </c>
      <c r="J4" s="5">
        <v>0.1</v>
      </c>
      <c r="K4" s="4">
        <f>I4*J4</f>
        <v>7.05890894130351E-2</v>
      </c>
      <c r="L4" s="4">
        <f>0.02*6</f>
        <v>0.12</v>
      </c>
      <c r="M4" s="4">
        <v>100</v>
      </c>
      <c r="N4" s="4">
        <f t="shared" ref="N4:N21" si="3">E4*$F$32</f>
        <v>1084.2484133842192</v>
      </c>
      <c r="O4" s="4">
        <f>M4+N4</f>
        <v>1184.2484133842192</v>
      </c>
      <c r="P4" s="4">
        <f>L4*O4/1000</f>
        <v>0.14210980960610631</v>
      </c>
      <c r="Q4" s="5">
        <v>0.15</v>
      </c>
      <c r="R4" s="4">
        <f>Q4*I4</f>
        <v>0.10588363411955265</v>
      </c>
      <c r="S4" s="4">
        <f>I4+K4+P4+R4</f>
        <v>1.024473427269045</v>
      </c>
      <c r="T4" s="6">
        <f t="shared" ref="T4:T21" si="4">(I4*$F$27)+K4+P4+R4</f>
        <v>2.0833097684645718</v>
      </c>
    </row>
    <row r="5" spans="2:20" x14ac:dyDescent="0.35">
      <c r="B5" s="2">
        <v>2</v>
      </c>
      <c r="C5" s="2">
        <v>38</v>
      </c>
      <c r="D5" s="2">
        <f t="shared" si="0"/>
        <v>228</v>
      </c>
      <c r="E5" s="3">
        <f t="shared" si="1"/>
        <v>85.836332726250703</v>
      </c>
      <c r="F5" s="3">
        <f t="shared" si="2"/>
        <v>515.01799635750422</v>
      </c>
      <c r="G5" s="2">
        <f t="shared" ref="G5:G21" si="5">$F$33</f>
        <v>150</v>
      </c>
      <c r="H5" s="4">
        <f t="shared" ref="H5:H21" si="6">F5*G5/86400</f>
        <v>0.89412846589844486</v>
      </c>
      <c r="I5" s="4">
        <f t="shared" ref="I5:I21" si="7">H5*$F$26</f>
        <v>0.67059634942383362</v>
      </c>
      <c r="J5" s="5">
        <v>0.1</v>
      </c>
      <c r="K5" s="4">
        <f t="shared" ref="K5:K21" si="8">I5*J5</f>
        <v>6.7059634942383359E-2</v>
      </c>
      <c r="L5" s="4">
        <f t="shared" ref="L5:L21" si="9">0.02*6</f>
        <v>0.12</v>
      </c>
      <c r="M5" s="4">
        <v>100</v>
      </c>
      <c r="N5" s="4">
        <f t="shared" si="3"/>
        <v>1030.0359927150084</v>
      </c>
      <c r="O5" s="4">
        <f t="shared" ref="O5:O21" si="10">M5+N5</f>
        <v>1130.0359927150084</v>
      </c>
      <c r="P5" s="4">
        <f t="shared" ref="P5:P21" si="11">L5*O5/1000</f>
        <v>0.13560431912580101</v>
      </c>
      <c r="Q5" s="5">
        <v>0.15</v>
      </c>
      <c r="R5" s="4">
        <f t="shared" ref="R5:R21" si="12">Q5*I5</f>
        <v>0.10058945241357505</v>
      </c>
      <c r="S5" s="4">
        <f t="shared" ref="S5:S21" si="13">I5+K5+P5+R5</f>
        <v>0.97384975590559297</v>
      </c>
      <c r="T5" s="6">
        <f t="shared" si="4"/>
        <v>1.9797442800413434</v>
      </c>
    </row>
    <row r="6" spans="2:20" x14ac:dyDescent="0.35">
      <c r="B6" s="2">
        <v>3</v>
      </c>
      <c r="C6" s="2">
        <v>62</v>
      </c>
      <c r="D6" s="2">
        <f t="shared" si="0"/>
        <v>372</v>
      </c>
      <c r="E6" s="3">
        <f t="shared" si="1"/>
        <v>140.04875339546166</v>
      </c>
      <c r="F6" s="3">
        <f t="shared" si="2"/>
        <v>840.29252037277001</v>
      </c>
      <c r="G6" s="2">
        <f t="shared" si="5"/>
        <v>150</v>
      </c>
      <c r="H6" s="4">
        <f t="shared" si="6"/>
        <v>1.4588411812027258</v>
      </c>
      <c r="I6" s="4">
        <f t="shared" si="7"/>
        <v>1.0941308859020444</v>
      </c>
      <c r="J6" s="5">
        <v>0.1</v>
      </c>
      <c r="K6" s="4">
        <f t="shared" si="8"/>
        <v>0.10941308859020445</v>
      </c>
      <c r="L6" s="4">
        <f t="shared" si="9"/>
        <v>0.12</v>
      </c>
      <c r="M6" s="4">
        <v>100</v>
      </c>
      <c r="N6" s="4">
        <f t="shared" si="3"/>
        <v>1680.58504074554</v>
      </c>
      <c r="O6" s="4">
        <f t="shared" si="10"/>
        <v>1780.58504074554</v>
      </c>
      <c r="P6" s="4">
        <f t="shared" si="11"/>
        <v>0.21367020488946481</v>
      </c>
      <c r="Q6" s="5">
        <v>0.15</v>
      </c>
      <c r="R6" s="4">
        <f t="shared" si="12"/>
        <v>0.16411963288530665</v>
      </c>
      <c r="S6" s="4">
        <f t="shared" si="13"/>
        <v>1.5813338122670204</v>
      </c>
      <c r="T6" s="6">
        <f t="shared" si="4"/>
        <v>3.2225301411200875</v>
      </c>
    </row>
    <row r="7" spans="2:20" x14ac:dyDescent="0.35">
      <c r="B7" s="2">
        <v>4</v>
      </c>
      <c r="C7" s="2">
        <v>84</v>
      </c>
      <c r="D7" s="2">
        <f t="shared" si="0"/>
        <v>504</v>
      </c>
      <c r="E7" s="3">
        <f t="shared" si="1"/>
        <v>189.74347234223839</v>
      </c>
      <c r="F7" s="3">
        <f t="shared" si="2"/>
        <v>1138.4608340534303</v>
      </c>
      <c r="G7" s="2">
        <f t="shared" si="5"/>
        <v>150</v>
      </c>
      <c r="H7" s="4">
        <f t="shared" si="6"/>
        <v>1.976494503564983</v>
      </c>
      <c r="I7" s="4">
        <f t="shared" si="7"/>
        <v>1.4823708776737372</v>
      </c>
      <c r="J7" s="5">
        <v>0.1</v>
      </c>
      <c r="K7" s="4">
        <f t="shared" si="8"/>
        <v>0.14823708776737374</v>
      </c>
      <c r="L7" s="4">
        <f t="shared" si="9"/>
        <v>0.12</v>
      </c>
      <c r="M7" s="4">
        <v>100</v>
      </c>
      <c r="N7" s="4">
        <f t="shared" si="3"/>
        <v>2276.9216681068606</v>
      </c>
      <c r="O7" s="4">
        <f t="shared" si="10"/>
        <v>2376.9216681068606</v>
      </c>
      <c r="P7" s="4">
        <f t="shared" si="11"/>
        <v>0.28523060017282326</v>
      </c>
      <c r="Q7" s="5">
        <v>0.15</v>
      </c>
      <c r="R7" s="4">
        <f t="shared" si="12"/>
        <v>0.22235563165106056</v>
      </c>
      <c r="S7" s="4">
        <f t="shared" si="13"/>
        <v>2.1381941972649949</v>
      </c>
      <c r="T7" s="6">
        <f t="shared" si="4"/>
        <v>4.3617505137756005</v>
      </c>
    </row>
    <row r="8" spans="2:20" x14ac:dyDescent="0.35">
      <c r="B8" s="2">
        <v>5</v>
      </c>
      <c r="C8" s="2">
        <v>26</v>
      </c>
      <c r="D8" s="2">
        <f t="shared" si="0"/>
        <v>156</v>
      </c>
      <c r="E8" s="3">
        <f t="shared" si="1"/>
        <v>58.730122391645217</v>
      </c>
      <c r="F8" s="3">
        <f t="shared" si="2"/>
        <v>352.38073434987126</v>
      </c>
      <c r="G8" s="2">
        <f t="shared" si="5"/>
        <v>150</v>
      </c>
      <c r="H8" s="4">
        <f t="shared" si="6"/>
        <v>0.61177210824630424</v>
      </c>
      <c r="I8" s="4">
        <f t="shared" si="7"/>
        <v>0.4588290811847282</v>
      </c>
      <c r="J8" s="5">
        <v>0.1</v>
      </c>
      <c r="K8" s="4">
        <f t="shared" si="8"/>
        <v>4.5882908118472822E-2</v>
      </c>
      <c r="L8" s="4">
        <f t="shared" si="9"/>
        <v>0.12</v>
      </c>
      <c r="M8" s="4">
        <v>100</v>
      </c>
      <c r="N8" s="4">
        <f t="shared" si="3"/>
        <v>704.76146869974264</v>
      </c>
      <c r="O8" s="4">
        <f t="shared" si="10"/>
        <v>804.76146869974264</v>
      </c>
      <c r="P8" s="4">
        <f t="shared" si="11"/>
        <v>9.6571376243969109E-2</v>
      </c>
      <c r="Q8" s="5">
        <v>0.15</v>
      </c>
      <c r="R8" s="4">
        <f t="shared" si="12"/>
        <v>6.8824362177709222E-2</v>
      </c>
      <c r="S8" s="4">
        <f t="shared" si="13"/>
        <v>0.67010772772487937</v>
      </c>
      <c r="T8" s="6">
        <f t="shared" si="4"/>
        <v>1.3583513495019715</v>
      </c>
    </row>
    <row r="9" spans="2:20" x14ac:dyDescent="0.35">
      <c r="B9" s="2">
        <v>6</v>
      </c>
      <c r="C9" s="2">
        <v>74</v>
      </c>
      <c r="D9" s="2">
        <f t="shared" si="0"/>
        <v>444</v>
      </c>
      <c r="E9" s="3">
        <f t="shared" si="1"/>
        <v>167.15496373006715</v>
      </c>
      <c r="F9" s="3">
        <f t="shared" si="2"/>
        <v>1002.9297823804029</v>
      </c>
      <c r="G9" s="2">
        <f t="shared" si="5"/>
        <v>150</v>
      </c>
      <c r="H9" s="4">
        <f t="shared" si="6"/>
        <v>1.7411975388548662</v>
      </c>
      <c r="I9" s="4">
        <f t="shared" si="7"/>
        <v>1.3058981541411496</v>
      </c>
      <c r="J9" s="5">
        <v>0.1</v>
      </c>
      <c r="K9" s="4">
        <f t="shared" si="8"/>
        <v>0.13058981541411496</v>
      </c>
      <c r="L9" s="4">
        <f t="shared" si="9"/>
        <v>0.12</v>
      </c>
      <c r="M9" s="4">
        <v>100</v>
      </c>
      <c r="N9" s="4">
        <f t="shared" si="3"/>
        <v>2005.8595647608058</v>
      </c>
      <c r="O9" s="4">
        <f t="shared" si="10"/>
        <v>2105.8595647608058</v>
      </c>
      <c r="P9" s="4">
        <f t="shared" si="11"/>
        <v>0.25270314777129671</v>
      </c>
      <c r="Q9" s="5">
        <v>0.15</v>
      </c>
      <c r="R9" s="4">
        <f t="shared" si="12"/>
        <v>0.19588472312117244</v>
      </c>
      <c r="S9" s="4">
        <f t="shared" si="13"/>
        <v>1.8850758404477337</v>
      </c>
      <c r="T9" s="6">
        <f t="shared" si="4"/>
        <v>3.8439230716594581</v>
      </c>
    </row>
    <row r="10" spans="2:20" x14ac:dyDescent="0.35">
      <c r="B10" s="2">
        <v>7</v>
      </c>
      <c r="C10" s="2">
        <v>84</v>
      </c>
      <c r="D10" s="2">
        <f t="shared" si="0"/>
        <v>504</v>
      </c>
      <c r="E10" s="3">
        <f t="shared" si="1"/>
        <v>189.74347234223839</v>
      </c>
      <c r="F10" s="3">
        <f t="shared" si="2"/>
        <v>1138.4608340534303</v>
      </c>
      <c r="G10" s="2">
        <f t="shared" si="5"/>
        <v>150</v>
      </c>
      <c r="H10" s="4">
        <f t="shared" si="6"/>
        <v>1.976494503564983</v>
      </c>
      <c r="I10" s="4">
        <f t="shared" si="7"/>
        <v>1.4823708776737372</v>
      </c>
      <c r="J10" s="5">
        <v>0.1</v>
      </c>
      <c r="K10" s="4">
        <f t="shared" si="8"/>
        <v>0.14823708776737374</v>
      </c>
      <c r="L10" s="4">
        <f t="shared" si="9"/>
        <v>0.12</v>
      </c>
      <c r="M10" s="4">
        <v>100</v>
      </c>
      <c r="N10" s="4">
        <f t="shared" si="3"/>
        <v>2276.9216681068606</v>
      </c>
      <c r="O10" s="4">
        <f t="shared" si="10"/>
        <v>2376.9216681068606</v>
      </c>
      <c r="P10" s="4">
        <f t="shared" si="11"/>
        <v>0.28523060017282326</v>
      </c>
      <c r="Q10" s="5">
        <v>0.15</v>
      </c>
      <c r="R10" s="4">
        <f t="shared" si="12"/>
        <v>0.22235563165106056</v>
      </c>
      <c r="S10" s="4">
        <f t="shared" si="13"/>
        <v>2.1381941972649949</v>
      </c>
      <c r="T10" s="6">
        <f t="shared" si="4"/>
        <v>4.3617505137756005</v>
      </c>
    </row>
    <row r="11" spans="2:20" x14ac:dyDescent="0.35">
      <c r="B11" s="2">
        <v>8</v>
      </c>
      <c r="C11" s="2">
        <v>40</v>
      </c>
      <c r="D11" s="2">
        <f t="shared" si="0"/>
        <v>240</v>
      </c>
      <c r="E11" s="3">
        <f t="shared" si="1"/>
        <v>90.354034448684942</v>
      </c>
      <c r="F11" s="3">
        <f t="shared" si="2"/>
        <v>542.12420669210962</v>
      </c>
      <c r="G11" s="2">
        <f t="shared" si="5"/>
        <v>150</v>
      </c>
      <c r="H11" s="4">
        <f t="shared" si="6"/>
        <v>0.94118785884046807</v>
      </c>
      <c r="I11" s="4">
        <f t="shared" si="7"/>
        <v>0.705890894130351</v>
      </c>
      <c r="J11" s="5">
        <v>0.1</v>
      </c>
      <c r="K11" s="4">
        <f t="shared" si="8"/>
        <v>7.05890894130351E-2</v>
      </c>
      <c r="L11" s="4">
        <f t="shared" si="9"/>
        <v>0.12</v>
      </c>
      <c r="M11" s="4">
        <v>100</v>
      </c>
      <c r="N11" s="4">
        <f t="shared" si="3"/>
        <v>1084.2484133842192</v>
      </c>
      <c r="O11" s="4">
        <f t="shared" si="10"/>
        <v>1184.2484133842192</v>
      </c>
      <c r="P11" s="4">
        <f t="shared" si="11"/>
        <v>0.14210980960610631</v>
      </c>
      <c r="Q11" s="5">
        <v>0.15</v>
      </c>
      <c r="R11" s="4">
        <f t="shared" si="12"/>
        <v>0.10588363411955265</v>
      </c>
      <c r="S11" s="4">
        <f t="shared" si="13"/>
        <v>1.024473427269045</v>
      </c>
      <c r="T11" s="6">
        <f t="shared" si="4"/>
        <v>2.0833097684645718</v>
      </c>
    </row>
    <row r="12" spans="2:20" x14ac:dyDescent="0.35">
      <c r="B12" s="2">
        <v>9</v>
      </c>
      <c r="C12" s="2">
        <v>82</v>
      </c>
      <c r="D12" s="2">
        <f t="shared" si="0"/>
        <v>492</v>
      </c>
      <c r="E12" s="3">
        <f t="shared" si="1"/>
        <v>185.22577061980414</v>
      </c>
      <c r="F12" s="3">
        <f t="shared" si="2"/>
        <v>1111.3546237188248</v>
      </c>
      <c r="G12" s="2">
        <f t="shared" si="5"/>
        <v>150</v>
      </c>
      <c r="H12" s="4">
        <f t="shared" si="6"/>
        <v>1.9294351106229597</v>
      </c>
      <c r="I12" s="4">
        <f t="shared" si="7"/>
        <v>1.4470763329672198</v>
      </c>
      <c r="J12" s="5">
        <v>0.1</v>
      </c>
      <c r="K12" s="4">
        <f t="shared" si="8"/>
        <v>0.14470763329672198</v>
      </c>
      <c r="L12" s="4">
        <f t="shared" si="9"/>
        <v>0.12</v>
      </c>
      <c r="M12" s="4">
        <v>100</v>
      </c>
      <c r="N12" s="4">
        <f t="shared" si="3"/>
        <v>2222.7092474376495</v>
      </c>
      <c r="O12" s="4">
        <f t="shared" si="10"/>
        <v>2322.7092474376495</v>
      </c>
      <c r="P12" s="4">
        <f t="shared" si="11"/>
        <v>0.27872510969251796</v>
      </c>
      <c r="Q12" s="5">
        <v>0.15</v>
      </c>
      <c r="R12" s="4">
        <f t="shared" si="12"/>
        <v>0.21706144994508297</v>
      </c>
      <c r="S12" s="4">
        <f t="shared" si="13"/>
        <v>2.0875705259015427</v>
      </c>
      <c r="T12" s="6">
        <f t="shared" si="4"/>
        <v>4.2581850253523728</v>
      </c>
    </row>
    <row r="13" spans="2:20" x14ac:dyDescent="0.35">
      <c r="B13" s="2">
        <v>10</v>
      </c>
      <c r="C13" s="2">
        <v>40</v>
      </c>
      <c r="D13" s="2">
        <f t="shared" si="0"/>
        <v>240</v>
      </c>
      <c r="E13" s="3">
        <f t="shared" si="1"/>
        <v>90.354034448684942</v>
      </c>
      <c r="F13" s="3">
        <f t="shared" si="2"/>
        <v>542.12420669210962</v>
      </c>
      <c r="G13" s="2">
        <f t="shared" si="5"/>
        <v>150</v>
      </c>
      <c r="H13" s="4">
        <f t="shared" si="6"/>
        <v>0.94118785884046807</v>
      </c>
      <c r="I13" s="4">
        <f t="shared" si="7"/>
        <v>0.705890894130351</v>
      </c>
      <c r="J13" s="5">
        <v>0.1</v>
      </c>
      <c r="K13" s="4">
        <f t="shared" si="8"/>
        <v>7.05890894130351E-2</v>
      </c>
      <c r="L13" s="4">
        <f t="shared" si="9"/>
        <v>0.12</v>
      </c>
      <c r="M13" s="4">
        <v>100</v>
      </c>
      <c r="N13" s="4">
        <f t="shared" si="3"/>
        <v>1084.2484133842192</v>
      </c>
      <c r="O13" s="4">
        <f t="shared" si="10"/>
        <v>1184.2484133842192</v>
      </c>
      <c r="P13" s="4">
        <f t="shared" si="11"/>
        <v>0.14210980960610631</v>
      </c>
      <c r="Q13" s="5">
        <v>0.15</v>
      </c>
      <c r="R13" s="4">
        <f t="shared" si="12"/>
        <v>0.10588363411955265</v>
      </c>
      <c r="S13" s="4">
        <f t="shared" si="13"/>
        <v>1.024473427269045</v>
      </c>
      <c r="T13" s="6">
        <f t="shared" si="4"/>
        <v>2.0833097684645718</v>
      </c>
    </row>
    <row r="14" spans="2:20" x14ac:dyDescent="0.35">
      <c r="B14" s="2">
        <v>11</v>
      </c>
      <c r="C14" s="2">
        <v>76</v>
      </c>
      <c r="D14" s="2">
        <f t="shared" si="0"/>
        <v>456</v>
      </c>
      <c r="E14" s="3">
        <f t="shared" si="1"/>
        <v>171.67266545250141</v>
      </c>
      <c r="F14" s="3">
        <f t="shared" si="2"/>
        <v>1030.0359927150084</v>
      </c>
      <c r="G14" s="2">
        <f t="shared" si="5"/>
        <v>150</v>
      </c>
      <c r="H14" s="4">
        <f t="shared" si="6"/>
        <v>1.7882569317968897</v>
      </c>
      <c r="I14" s="4">
        <f t="shared" si="7"/>
        <v>1.3411926988476672</v>
      </c>
      <c r="J14" s="5">
        <v>0.1</v>
      </c>
      <c r="K14" s="4">
        <f t="shared" si="8"/>
        <v>0.13411926988476672</v>
      </c>
      <c r="L14" s="4">
        <f t="shared" si="9"/>
        <v>0.12</v>
      </c>
      <c r="M14" s="4">
        <v>100</v>
      </c>
      <c r="N14" s="4">
        <f t="shared" si="3"/>
        <v>2060.0719854300169</v>
      </c>
      <c r="O14" s="4">
        <f t="shared" si="10"/>
        <v>2160.0719854300169</v>
      </c>
      <c r="P14" s="4">
        <f t="shared" si="11"/>
        <v>0.25920863825160201</v>
      </c>
      <c r="Q14" s="5">
        <v>0.15</v>
      </c>
      <c r="R14" s="4">
        <f t="shared" si="12"/>
        <v>0.20117890482715009</v>
      </c>
      <c r="S14" s="4">
        <f t="shared" si="13"/>
        <v>1.9356995118111859</v>
      </c>
      <c r="T14" s="6">
        <f t="shared" si="4"/>
        <v>3.9474885600826868</v>
      </c>
    </row>
    <row r="15" spans="2:20" x14ac:dyDescent="0.35">
      <c r="B15" s="2">
        <v>12</v>
      </c>
      <c r="C15" s="2">
        <v>82</v>
      </c>
      <c r="D15" s="2">
        <f t="shared" si="0"/>
        <v>492</v>
      </c>
      <c r="E15" s="3">
        <f t="shared" si="1"/>
        <v>185.22577061980414</v>
      </c>
      <c r="F15" s="3">
        <f t="shared" si="2"/>
        <v>1111.3546237188248</v>
      </c>
      <c r="G15" s="2">
        <f t="shared" si="5"/>
        <v>150</v>
      </c>
      <c r="H15" s="4">
        <f t="shared" si="6"/>
        <v>1.9294351106229597</v>
      </c>
      <c r="I15" s="4">
        <f t="shared" si="7"/>
        <v>1.4470763329672198</v>
      </c>
      <c r="J15" s="5">
        <v>0.1</v>
      </c>
      <c r="K15" s="4">
        <f t="shared" si="8"/>
        <v>0.14470763329672198</v>
      </c>
      <c r="L15" s="4">
        <f t="shared" si="9"/>
        <v>0.12</v>
      </c>
      <c r="M15" s="4">
        <v>100</v>
      </c>
      <c r="N15" s="4">
        <f t="shared" si="3"/>
        <v>2222.7092474376495</v>
      </c>
      <c r="O15" s="4">
        <f t="shared" si="10"/>
        <v>2322.7092474376495</v>
      </c>
      <c r="P15" s="4">
        <f t="shared" si="11"/>
        <v>0.27872510969251796</v>
      </c>
      <c r="Q15" s="5">
        <v>0.15</v>
      </c>
      <c r="R15" s="4">
        <f t="shared" si="12"/>
        <v>0.21706144994508297</v>
      </c>
      <c r="S15" s="4">
        <f t="shared" si="13"/>
        <v>2.0875705259015427</v>
      </c>
      <c r="T15" s="6">
        <f t="shared" si="4"/>
        <v>4.2581850253523728</v>
      </c>
    </row>
    <row r="16" spans="2:20" x14ac:dyDescent="0.35">
      <c r="B16" s="2">
        <v>13</v>
      </c>
      <c r="C16" s="2">
        <v>50</v>
      </c>
      <c r="D16" s="2">
        <f t="shared" si="0"/>
        <v>300</v>
      </c>
      <c r="E16" s="3">
        <f t="shared" si="1"/>
        <v>112.94254306085618</v>
      </c>
      <c r="F16" s="3">
        <f t="shared" si="2"/>
        <v>677.65525836513712</v>
      </c>
      <c r="G16" s="2">
        <f t="shared" si="5"/>
        <v>150</v>
      </c>
      <c r="H16" s="4">
        <f t="shared" si="6"/>
        <v>1.1764848235505851</v>
      </c>
      <c r="I16" s="4">
        <f t="shared" si="7"/>
        <v>0.8823636176629388</v>
      </c>
      <c r="J16" s="5">
        <v>0.1</v>
      </c>
      <c r="K16" s="4">
        <f t="shared" si="8"/>
        <v>8.8236361766293889E-2</v>
      </c>
      <c r="L16" s="4">
        <f t="shared" si="9"/>
        <v>0.12</v>
      </c>
      <c r="M16" s="4">
        <v>100</v>
      </c>
      <c r="N16" s="4">
        <f t="shared" si="3"/>
        <v>1355.3105167302742</v>
      </c>
      <c r="O16" s="4">
        <f t="shared" si="10"/>
        <v>1455.3105167302742</v>
      </c>
      <c r="P16" s="4">
        <f t="shared" si="11"/>
        <v>0.17463726200763291</v>
      </c>
      <c r="Q16" s="5">
        <v>0.15</v>
      </c>
      <c r="R16" s="4">
        <f t="shared" si="12"/>
        <v>0.13235454264944083</v>
      </c>
      <c r="S16" s="4">
        <f t="shared" si="13"/>
        <v>1.2775917840863065</v>
      </c>
      <c r="T16" s="6">
        <f t="shared" si="4"/>
        <v>2.6011372105807151</v>
      </c>
    </row>
    <row r="17" spans="2:21" x14ac:dyDescent="0.35">
      <c r="B17" s="2">
        <v>14</v>
      </c>
      <c r="C17" s="2">
        <v>100</v>
      </c>
      <c r="D17" s="2">
        <f t="shared" si="0"/>
        <v>600</v>
      </c>
      <c r="E17" s="3">
        <f t="shared" si="1"/>
        <v>225.88508612171236</v>
      </c>
      <c r="F17" s="3">
        <f t="shared" si="2"/>
        <v>1355.3105167302742</v>
      </c>
      <c r="G17" s="2">
        <f t="shared" si="5"/>
        <v>150</v>
      </c>
      <c r="H17" s="4">
        <f t="shared" si="6"/>
        <v>2.3529696471011703</v>
      </c>
      <c r="I17" s="4">
        <f t="shared" si="7"/>
        <v>1.7647272353258776</v>
      </c>
      <c r="J17" s="5">
        <v>0.1</v>
      </c>
      <c r="K17" s="4">
        <f t="shared" si="8"/>
        <v>0.17647272353258778</v>
      </c>
      <c r="L17" s="4">
        <f t="shared" si="9"/>
        <v>0.12</v>
      </c>
      <c r="M17" s="4">
        <v>100</v>
      </c>
      <c r="N17" s="4">
        <f t="shared" si="3"/>
        <v>2710.6210334605485</v>
      </c>
      <c r="O17" s="4">
        <f t="shared" si="10"/>
        <v>2810.6210334605485</v>
      </c>
      <c r="P17" s="4">
        <f t="shared" si="11"/>
        <v>0.33727452401526581</v>
      </c>
      <c r="Q17" s="5">
        <v>0.15</v>
      </c>
      <c r="R17" s="4">
        <f t="shared" si="12"/>
        <v>0.26470908529888165</v>
      </c>
      <c r="S17" s="4">
        <f t="shared" si="13"/>
        <v>2.5431835681726129</v>
      </c>
      <c r="T17" s="6">
        <f t="shared" si="4"/>
        <v>5.1902744211614298</v>
      </c>
    </row>
    <row r="18" spans="2:21" x14ac:dyDescent="0.35">
      <c r="B18" s="2">
        <v>15</v>
      </c>
      <c r="C18" s="2">
        <v>36</v>
      </c>
      <c r="D18" s="2">
        <f t="shared" si="0"/>
        <v>216</v>
      </c>
      <c r="E18" s="3">
        <f t="shared" si="1"/>
        <v>81.318631003816449</v>
      </c>
      <c r="F18" s="3">
        <f t="shared" si="2"/>
        <v>487.9117860228987</v>
      </c>
      <c r="G18" s="2">
        <f t="shared" si="5"/>
        <v>150</v>
      </c>
      <c r="H18" s="4">
        <f t="shared" si="6"/>
        <v>0.84706907295642142</v>
      </c>
      <c r="I18" s="4">
        <f t="shared" si="7"/>
        <v>0.63530180471731601</v>
      </c>
      <c r="J18" s="5">
        <v>0.1</v>
      </c>
      <c r="K18" s="4">
        <f t="shared" si="8"/>
        <v>6.3530180471731604E-2</v>
      </c>
      <c r="L18" s="4">
        <f t="shared" si="9"/>
        <v>0.12</v>
      </c>
      <c r="M18" s="4">
        <v>100</v>
      </c>
      <c r="N18" s="4">
        <f t="shared" si="3"/>
        <v>975.82357204579739</v>
      </c>
      <c r="O18" s="4">
        <f t="shared" si="10"/>
        <v>1075.8235720457974</v>
      </c>
      <c r="P18" s="4">
        <f t="shared" si="11"/>
        <v>0.12909882864549568</v>
      </c>
      <c r="Q18" s="5">
        <v>0.15</v>
      </c>
      <c r="R18" s="4">
        <f t="shared" si="12"/>
        <v>9.5295270707597399E-2</v>
      </c>
      <c r="S18" s="4">
        <f t="shared" si="13"/>
        <v>0.92322608454214072</v>
      </c>
      <c r="T18" s="6">
        <f t="shared" si="4"/>
        <v>1.8761787916181147</v>
      </c>
    </row>
    <row r="19" spans="2:21" x14ac:dyDescent="0.35">
      <c r="B19" s="2">
        <v>16</v>
      </c>
      <c r="C19" s="2">
        <v>42</v>
      </c>
      <c r="D19" s="2">
        <f t="shared" si="0"/>
        <v>252</v>
      </c>
      <c r="E19" s="3">
        <f t="shared" si="1"/>
        <v>94.871736171119196</v>
      </c>
      <c r="F19" s="3">
        <f t="shared" si="2"/>
        <v>569.23041702671514</v>
      </c>
      <c r="G19" s="2">
        <f t="shared" si="5"/>
        <v>150</v>
      </c>
      <c r="H19" s="4">
        <f t="shared" si="6"/>
        <v>0.98824725178249151</v>
      </c>
      <c r="I19" s="4">
        <f t="shared" si="7"/>
        <v>0.7411854388368686</v>
      </c>
      <c r="J19" s="5">
        <v>0.1</v>
      </c>
      <c r="K19" s="4">
        <f t="shared" si="8"/>
        <v>7.4118543883686869E-2</v>
      </c>
      <c r="L19" s="4">
        <f t="shared" si="9"/>
        <v>0.12</v>
      </c>
      <c r="M19" s="4">
        <v>100</v>
      </c>
      <c r="N19" s="4">
        <f t="shared" si="3"/>
        <v>1138.4608340534303</v>
      </c>
      <c r="O19" s="4">
        <f t="shared" si="10"/>
        <v>1238.4608340534303</v>
      </c>
      <c r="P19" s="4">
        <f t="shared" si="11"/>
        <v>0.14861530008641163</v>
      </c>
      <c r="Q19" s="5">
        <v>0.15</v>
      </c>
      <c r="R19" s="4">
        <f t="shared" si="12"/>
        <v>0.11117781582553028</v>
      </c>
      <c r="S19" s="4">
        <f t="shared" si="13"/>
        <v>1.0750970986324975</v>
      </c>
      <c r="T19" s="6">
        <f t="shared" si="4"/>
        <v>2.1868752568878005</v>
      </c>
    </row>
    <row r="20" spans="2:21" x14ac:dyDescent="0.35">
      <c r="B20" s="2">
        <v>17</v>
      </c>
      <c r="C20" s="2">
        <v>15</v>
      </c>
      <c r="D20" s="2">
        <f t="shared" si="0"/>
        <v>90</v>
      </c>
      <c r="E20" s="3">
        <f t="shared" si="1"/>
        <v>33.882762918256851</v>
      </c>
      <c r="F20" s="3">
        <f t="shared" si="2"/>
        <v>203.29657750954112</v>
      </c>
      <c r="G20" s="2">
        <f t="shared" si="5"/>
        <v>150</v>
      </c>
      <c r="H20" s="4">
        <f t="shared" si="6"/>
        <v>0.35294544706517555</v>
      </c>
      <c r="I20" s="4">
        <f t="shared" si="7"/>
        <v>0.26470908529888165</v>
      </c>
      <c r="J20" s="5">
        <v>0.1</v>
      </c>
      <c r="K20" s="4">
        <f t="shared" si="8"/>
        <v>2.6470908529888166E-2</v>
      </c>
      <c r="L20" s="4">
        <f>0.02*8</f>
        <v>0.16</v>
      </c>
      <c r="M20" s="4">
        <v>50</v>
      </c>
      <c r="N20" s="4">
        <f t="shared" si="3"/>
        <v>406.59315501908225</v>
      </c>
      <c r="O20" s="4">
        <f t="shared" si="10"/>
        <v>456.59315501908225</v>
      </c>
      <c r="P20" s="4">
        <f t="shared" si="11"/>
        <v>7.3054904803053156E-2</v>
      </c>
      <c r="Q20" s="5">
        <v>0.15</v>
      </c>
      <c r="R20" s="4">
        <f t="shared" si="12"/>
        <v>3.9706362794832244E-2</v>
      </c>
      <c r="S20" s="4">
        <f t="shared" si="13"/>
        <v>0.40394126142665521</v>
      </c>
      <c r="T20" s="6">
        <f t="shared" si="4"/>
        <v>0.80100488937497771</v>
      </c>
      <c r="U20">
        <v>4.68</v>
      </c>
    </row>
    <row r="21" spans="2:21" x14ac:dyDescent="0.35">
      <c r="B21" s="57">
        <v>18</v>
      </c>
      <c r="C21" s="57">
        <v>15</v>
      </c>
      <c r="D21" s="57">
        <f t="shared" si="0"/>
        <v>90</v>
      </c>
      <c r="E21" s="58">
        <f t="shared" si="1"/>
        <v>33.882762918256851</v>
      </c>
      <c r="F21" s="58">
        <f t="shared" si="2"/>
        <v>203.29657750954112</v>
      </c>
      <c r="G21" s="57">
        <f t="shared" si="5"/>
        <v>150</v>
      </c>
      <c r="H21" s="4">
        <f t="shared" si="6"/>
        <v>0.35294544706517555</v>
      </c>
      <c r="I21" s="4">
        <f t="shared" si="7"/>
        <v>0.26470908529888165</v>
      </c>
      <c r="J21" s="5">
        <v>0.1</v>
      </c>
      <c r="K21" s="4">
        <f t="shared" si="8"/>
        <v>2.6470908529888166E-2</v>
      </c>
      <c r="L21" s="4">
        <f>0.02*8</f>
        <v>0.16</v>
      </c>
      <c r="M21" s="4">
        <v>50</v>
      </c>
      <c r="N21" s="4">
        <f t="shared" si="3"/>
        <v>406.59315501908225</v>
      </c>
      <c r="O21" s="4">
        <f t="shared" si="10"/>
        <v>456.59315501908225</v>
      </c>
      <c r="P21" s="4">
        <f t="shared" si="11"/>
        <v>7.3054904803053156E-2</v>
      </c>
      <c r="Q21" s="5">
        <v>0.15</v>
      </c>
      <c r="R21" s="4">
        <f t="shared" si="12"/>
        <v>3.9706362794832244E-2</v>
      </c>
      <c r="S21" s="4">
        <f t="shared" si="13"/>
        <v>0.40394126142665521</v>
      </c>
      <c r="T21" s="6">
        <f t="shared" si="4"/>
        <v>0.80100488937497771</v>
      </c>
    </row>
    <row r="22" spans="2:21" x14ac:dyDescent="0.35">
      <c r="B22" s="1"/>
      <c r="C22" s="1"/>
      <c r="D22" s="1"/>
      <c r="E22" s="59"/>
      <c r="F22" s="59"/>
      <c r="G22" s="1"/>
      <c r="H22" s="42"/>
      <c r="I22" s="42"/>
      <c r="J22" s="43"/>
      <c r="K22" s="42"/>
      <c r="L22" s="42"/>
      <c r="M22" s="42"/>
      <c r="N22" s="42"/>
      <c r="O22" s="42"/>
      <c r="P22" s="42"/>
      <c r="Q22" s="43"/>
      <c r="R22" s="44"/>
      <c r="S22" s="42"/>
      <c r="T22" s="56">
        <f>SUM(T4:T21)</f>
        <v>51.298313245053237</v>
      </c>
    </row>
    <row r="23" spans="2:21" x14ac:dyDescent="0.35">
      <c r="B23" s="1"/>
      <c r="C23" s="1"/>
      <c r="D23" s="1"/>
      <c r="E23" s="59"/>
      <c r="F23" s="59"/>
      <c r="G23" s="1"/>
      <c r="H23" s="42"/>
      <c r="I23" s="42"/>
      <c r="J23" s="43"/>
      <c r="K23" s="42"/>
      <c r="L23" s="42"/>
      <c r="M23" s="42"/>
      <c r="N23" s="42"/>
      <c r="O23" s="42"/>
      <c r="P23" s="42"/>
      <c r="Q23" s="43"/>
      <c r="R23" s="42"/>
      <c r="S23" s="42"/>
    </row>
    <row r="24" spans="2:21" x14ac:dyDescent="0.35">
      <c r="B24" s="69" t="s">
        <v>92</v>
      </c>
      <c r="C24" s="69"/>
      <c r="D24" s="69"/>
      <c r="E24" s="69"/>
      <c r="F24" s="69"/>
      <c r="G24" s="69"/>
    </row>
    <row r="25" spans="2:21" x14ac:dyDescent="0.35">
      <c r="B25" s="60" t="s">
        <v>56</v>
      </c>
      <c r="C25" s="74" t="s">
        <v>57</v>
      </c>
      <c r="D25" s="75"/>
      <c r="E25" s="76"/>
      <c r="F25" s="60" t="s">
        <v>58</v>
      </c>
      <c r="G25" s="60" t="s">
        <v>59</v>
      </c>
    </row>
    <row r="26" spans="2:21" x14ac:dyDescent="0.35">
      <c r="B26" s="2">
        <v>1</v>
      </c>
      <c r="C26" s="71" t="s">
        <v>5</v>
      </c>
      <c r="D26" s="72"/>
      <c r="E26" s="73"/>
      <c r="F26" s="28">
        <v>0.75</v>
      </c>
      <c r="G26" s="27" t="s">
        <v>16</v>
      </c>
    </row>
    <row r="27" spans="2:21" x14ac:dyDescent="0.35">
      <c r="B27" s="2">
        <v>2</v>
      </c>
      <c r="C27" s="71" t="s">
        <v>11</v>
      </c>
      <c r="D27" s="72"/>
      <c r="E27" s="73"/>
      <c r="F27" s="27">
        <v>2.5</v>
      </c>
      <c r="G27" s="27"/>
    </row>
    <row r="28" spans="2:21" x14ac:dyDescent="0.35">
      <c r="B28" s="2">
        <v>3</v>
      </c>
      <c r="C28" s="71" t="s">
        <v>13</v>
      </c>
      <c r="D28" s="72"/>
      <c r="E28" s="73"/>
      <c r="F28" s="27">
        <v>6</v>
      </c>
      <c r="G28" s="27" t="s">
        <v>54</v>
      </c>
    </row>
    <row r="29" spans="2:21" x14ac:dyDescent="0.35">
      <c r="B29" s="2">
        <v>4</v>
      </c>
      <c r="C29" s="71" t="s">
        <v>14</v>
      </c>
      <c r="D29" s="72"/>
      <c r="E29" s="73"/>
      <c r="F29" s="27">
        <v>33</v>
      </c>
      <c r="G29" s="27" t="s">
        <v>55</v>
      </c>
    </row>
    <row r="30" spans="2:21" x14ac:dyDescent="0.35">
      <c r="B30" s="2">
        <v>5</v>
      </c>
      <c r="C30" s="71" t="s">
        <v>15</v>
      </c>
      <c r="D30" s="72"/>
      <c r="E30" s="73"/>
      <c r="F30" s="29">
        <v>2.5</v>
      </c>
      <c r="G30" s="27" t="s">
        <v>16</v>
      </c>
    </row>
    <row r="31" spans="2:21" x14ac:dyDescent="0.35">
      <c r="B31" s="2">
        <v>6</v>
      </c>
      <c r="C31" s="71" t="s">
        <v>87</v>
      </c>
      <c r="D31" s="72"/>
      <c r="E31" s="73"/>
      <c r="F31" s="27">
        <f>(POWER(((F30/100)+1),F29))</f>
        <v>2.2588508612171236</v>
      </c>
      <c r="G31" s="27"/>
    </row>
    <row r="32" spans="2:21" x14ac:dyDescent="0.35">
      <c r="B32" s="2">
        <v>7</v>
      </c>
      <c r="C32" s="70" t="s">
        <v>22</v>
      </c>
      <c r="D32" s="70"/>
      <c r="E32" s="70"/>
      <c r="F32" s="27">
        <v>12</v>
      </c>
      <c r="G32" s="27" t="s">
        <v>25</v>
      </c>
    </row>
    <row r="33" spans="2:7" x14ac:dyDescent="0.35">
      <c r="B33" s="2">
        <v>8</v>
      </c>
      <c r="C33" s="68" t="s">
        <v>60</v>
      </c>
      <c r="D33" s="68"/>
      <c r="E33" s="68"/>
      <c r="F33" s="2">
        <v>150</v>
      </c>
      <c r="G33" s="27" t="s">
        <v>61</v>
      </c>
    </row>
    <row r="34" spans="2:7" x14ac:dyDescent="0.35">
      <c r="D34" s="1"/>
    </row>
    <row r="35" spans="2:7" x14ac:dyDescent="0.35">
      <c r="D35" s="1"/>
    </row>
  </sheetData>
  <mergeCells count="10">
    <mergeCell ref="C33:E33"/>
    <mergeCell ref="B24:G24"/>
    <mergeCell ref="C32:E32"/>
    <mergeCell ref="C31:E31"/>
    <mergeCell ref="C30:E30"/>
    <mergeCell ref="C29:E29"/>
    <mergeCell ref="C28:E28"/>
    <mergeCell ref="C27:E27"/>
    <mergeCell ref="C26:E26"/>
    <mergeCell ref="C25:E25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027B-5EB8-4D39-92E1-DEB4D4E4D960}">
  <sheetPr codeName="Hoja3">
    <tabColor theme="8" tint="0.59999389629810485"/>
    <pageSetUpPr fitToPage="1"/>
  </sheetPr>
  <dimension ref="A1:AF30"/>
  <sheetViews>
    <sheetView tabSelected="1" showRuler="0" showWhiteSpace="0" view="pageLayout" topLeftCell="A26" zoomScale="60" zoomScaleNormal="99" zoomScalePageLayoutView="60" workbookViewId="0">
      <selection activeCell="W29" sqref="W29"/>
    </sheetView>
  </sheetViews>
  <sheetFormatPr baseColWidth="10" defaultColWidth="11.453125" defaultRowHeight="14.5" x14ac:dyDescent="0.35"/>
  <cols>
    <col min="1" max="1" width="23.90625" customWidth="1"/>
    <col min="2" max="2" width="21.54296875" customWidth="1"/>
    <col min="3" max="3" width="25.81640625" customWidth="1"/>
    <col min="4" max="4" width="22.90625" customWidth="1"/>
    <col min="5" max="5" width="24.6328125" customWidth="1"/>
    <col min="6" max="6" width="21.54296875" customWidth="1"/>
    <col min="7" max="7" width="21.6328125" customWidth="1"/>
    <col min="8" max="8" width="31.08984375" customWidth="1"/>
    <col min="9" max="9" width="21.453125" customWidth="1"/>
    <col min="10" max="10" width="25.36328125" customWidth="1"/>
    <col min="11" max="11" width="21.08984375" customWidth="1"/>
    <col min="12" max="12" width="22.54296875" customWidth="1"/>
    <col min="13" max="13" width="18.08984375" hidden="1" customWidth="1"/>
    <col min="14" max="14" width="18.08984375" customWidth="1"/>
    <col min="15" max="15" width="21.36328125" customWidth="1"/>
    <col min="16" max="16" width="24.81640625" customWidth="1"/>
    <col min="17" max="17" width="26.90625" customWidth="1"/>
    <col min="18" max="18" width="22.1796875" style="7" customWidth="1"/>
    <col min="19" max="19" width="23.36328125" bestFit="1" customWidth="1"/>
    <col min="20" max="20" width="18.36328125" customWidth="1"/>
    <col min="21" max="22" width="14" bestFit="1" customWidth="1"/>
    <col min="23" max="23" width="27" customWidth="1"/>
    <col min="24" max="24" width="24.36328125" customWidth="1"/>
    <col min="25" max="25" width="26.81640625" customWidth="1"/>
    <col min="30" max="30" width="41" customWidth="1"/>
    <col min="32" max="32" width="28.453125" customWidth="1"/>
  </cols>
  <sheetData>
    <row r="1" spans="1:32" x14ac:dyDescent="0.35">
      <c r="L1" t="s">
        <v>90</v>
      </c>
    </row>
    <row r="2" spans="1:32" x14ac:dyDescent="0.35">
      <c r="L2" t="s">
        <v>89</v>
      </c>
    </row>
    <row r="3" spans="1:32" ht="29" x14ac:dyDescent="0.4">
      <c r="B3" s="80" t="s">
        <v>27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Q3" s="7"/>
    </row>
    <row r="4" spans="1:32" ht="26" x14ac:dyDescent="0.6">
      <c r="B4" s="8"/>
      <c r="C4" s="8"/>
      <c r="D4" s="8" t="s">
        <v>94</v>
      </c>
      <c r="E4" s="8"/>
      <c r="F4" s="8"/>
      <c r="G4" s="8"/>
      <c r="H4" s="8" t="s">
        <v>95</v>
      </c>
      <c r="I4" s="8"/>
      <c r="J4" s="8"/>
      <c r="K4" s="8" t="s">
        <v>91</v>
      </c>
      <c r="L4" s="8"/>
      <c r="M4" s="8"/>
      <c r="N4" s="8"/>
      <c r="O4" s="8"/>
      <c r="P4" s="8"/>
      <c r="Q4" s="8"/>
    </row>
    <row r="5" spans="1:32" ht="35.5" x14ac:dyDescent="1.2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/>
      <c r="H5" s="47"/>
      <c r="I5" s="47">
        <v>7</v>
      </c>
      <c r="J5" s="47"/>
      <c r="K5" s="47">
        <v>9</v>
      </c>
      <c r="L5" s="47"/>
      <c r="M5" s="47"/>
      <c r="N5" s="47">
        <v>8</v>
      </c>
      <c r="O5" s="47"/>
      <c r="P5" s="47"/>
      <c r="Q5" s="47"/>
      <c r="R5" s="48"/>
      <c r="S5" s="47"/>
      <c r="T5" s="47"/>
      <c r="U5" s="47"/>
      <c r="V5" s="47"/>
      <c r="W5" s="47"/>
      <c r="X5" s="47"/>
      <c r="Y5" s="47"/>
      <c r="Z5" s="49"/>
    </row>
    <row r="6" spans="1:32" ht="25" x14ac:dyDescent="0.5">
      <c r="A6" s="81" t="s">
        <v>28</v>
      </c>
      <c r="B6" s="81"/>
      <c r="C6" s="81"/>
      <c r="D6" s="81"/>
      <c r="E6" s="82" t="s">
        <v>29</v>
      </c>
      <c r="F6" s="82"/>
      <c r="G6" s="82"/>
      <c r="H6" s="46"/>
      <c r="I6" s="77" t="s">
        <v>30</v>
      </c>
      <c r="J6" s="83" t="s">
        <v>31</v>
      </c>
      <c r="K6" s="83" t="s">
        <v>32</v>
      </c>
      <c r="L6" s="77" t="s">
        <v>33</v>
      </c>
      <c r="M6" s="84" t="s">
        <v>34</v>
      </c>
      <c r="N6" s="84" t="s">
        <v>35</v>
      </c>
      <c r="O6" s="77" t="s">
        <v>36</v>
      </c>
      <c r="P6" s="77" t="s">
        <v>37</v>
      </c>
      <c r="Q6" s="77" t="s">
        <v>38</v>
      </c>
      <c r="R6" s="79" t="s">
        <v>39</v>
      </c>
      <c r="S6" s="79"/>
      <c r="T6" s="79"/>
      <c r="U6" s="77" t="s">
        <v>40</v>
      </c>
      <c r="V6" s="77" t="s">
        <v>41</v>
      </c>
      <c r="W6" s="77" t="s">
        <v>42</v>
      </c>
      <c r="X6" s="77" t="s">
        <v>43</v>
      </c>
      <c r="Y6" s="78" t="s">
        <v>44</v>
      </c>
    </row>
    <row r="7" spans="1:32" s="12" customFormat="1" ht="100" x14ac:dyDescent="0.45">
      <c r="A7" s="45" t="s">
        <v>45</v>
      </c>
      <c r="B7" s="45" t="s">
        <v>46</v>
      </c>
      <c r="C7" s="45" t="s">
        <v>47</v>
      </c>
      <c r="D7" s="45" t="s">
        <v>48</v>
      </c>
      <c r="E7" s="9" t="s">
        <v>45</v>
      </c>
      <c r="F7" s="9" t="s">
        <v>46</v>
      </c>
      <c r="G7" s="9" t="s">
        <v>49</v>
      </c>
      <c r="H7" s="46" t="s">
        <v>50</v>
      </c>
      <c r="I7" s="77"/>
      <c r="J7" s="83"/>
      <c r="K7" s="83"/>
      <c r="L7" s="77"/>
      <c r="M7" s="85"/>
      <c r="N7" s="85"/>
      <c r="O7" s="77"/>
      <c r="P7" s="77"/>
      <c r="Q7" s="77"/>
      <c r="R7" s="10" t="s">
        <v>51</v>
      </c>
      <c r="S7" s="11" t="s">
        <v>52</v>
      </c>
      <c r="T7" s="11" t="s">
        <v>30</v>
      </c>
      <c r="U7" s="77"/>
      <c r="V7" s="77"/>
      <c r="W7" s="77"/>
      <c r="X7" s="77"/>
      <c r="Y7" s="78"/>
    </row>
    <row r="8" spans="1:32" s="21" customFormat="1" ht="25" x14ac:dyDescent="0.35">
      <c r="A8" s="13">
        <v>1</v>
      </c>
      <c r="B8" s="14">
        <v>159</v>
      </c>
      <c r="C8" s="61">
        <v>1.4</v>
      </c>
      <c r="D8" s="14">
        <f>B8-C8</f>
        <v>157.6</v>
      </c>
      <c r="E8" s="13">
        <v>4</v>
      </c>
      <c r="F8" s="15">
        <v>155.5</v>
      </c>
      <c r="G8" s="16">
        <f>+D8-L8</f>
        <v>154.1</v>
      </c>
      <c r="H8" s="16">
        <f t="shared" ref="H8:H24" si="0">+F8-G8</f>
        <v>1.4000000000000057</v>
      </c>
      <c r="I8" s="16">
        <v>3.22</v>
      </c>
      <c r="J8" s="50">
        <f t="shared" ref="J8:J25" si="1">((B8-F8)/N8)</f>
        <v>3.5000000000000003E-2</v>
      </c>
      <c r="K8" s="51">
        <f>J8</f>
        <v>3.5000000000000003E-2</v>
      </c>
      <c r="L8" s="16">
        <f>((K8*N8))</f>
        <v>3.5000000000000004</v>
      </c>
      <c r="M8" s="16" t="e">
        <f>+#REF!</f>
        <v>#REF!</v>
      </c>
      <c r="N8" s="16">
        <v>100</v>
      </c>
      <c r="O8" s="17" t="s">
        <v>53</v>
      </c>
      <c r="P8" s="18">
        <v>0.01</v>
      </c>
      <c r="Q8" s="16">
        <v>6</v>
      </c>
      <c r="R8" s="16">
        <f t="shared" ref="R8:R25" si="2">((Q8*0.0254)/4)</f>
        <v>3.8099999999999995E-2</v>
      </c>
      <c r="S8" s="16">
        <f t="shared" ref="S8:S25" si="3">((1/P8)*(POWER(R8,(2/3)))*(POWER(K8,0.5)))</f>
        <v>2.1182831224423677</v>
      </c>
      <c r="T8" s="16">
        <f t="shared" ref="T8:T25" si="4">((3.141598*(POWER((Q8*0.0254),2))/4)*S8)*1000</f>
        <v>38.640662194707026</v>
      </c>
      <c r="U8" s="16">
        <f>I8/T8</f>
        <v>8.3331905229126063E-2</v>
      </c>
      <c r="V8" s="16">
        <v>0.19</v>
      </c>
      <c r="W8" s="16">
        <f t="shared" ref="W8:W25" si="5">V8*Q8</f>
        <v>1.1400000000000001</v>
      </c>
      <c r="X8" s="19">
        <v>0.55000000000000004</v>
      </c>
      <c r="Y8" s="20">
        <f t="shared" ref="Y8:Y25" si="6">X8*S8</f>
        <v>1.1650557173433023</v>
      </c>
      <c r="AD8" s="22"/>
      <c r="AF8" s="23"/>
    </row>
    <row r="9" spans="1:32" s="21" customFormat="1" ht="25" x14ac:dyDescent="0.35">
      <c r="A9" s="13">
        <v>1</v>
      </c>
      <c r="B9" s="14">
        <f>B8</f>
        <v>159</v>
      </c>
      <c r="C9" s="14">
        <v>1.35</v>
      </c>
      <c r="D9" s="14">
        <f>+B9-C9</f>
        <v>157.65</v>
      </c>
      <c r="E9" s="13">
        <v>2</v>
      </c>
      <c r="F9" s="15">
        <v>158</v>
      </c>
      <c r="G9" s="16">
        <f t="shared" ref="G9:G25" si="7">+D9-L9</f>
        <v>156.65</v>
      </c>
      <c r="H9" s="16">
        <f t="shared" si="0"/>
        <v>1.3499999999999943</v>
      </c>
      <c r="I9" s="16">
        <v>2.08</v>
      </c>
      <c r="J9" s="50">
        <f t="shared" si="1"/>
        <v>0.01</v>
      </c>
      <c r="K9" s="51">
        <f>J9</f>
        <v>0.01</v>
      </c>
      <c r="L9" s="16">
        <f t="shared" ref="L9:L25" si="8">((K9*N9))</f>
        <v>1</v>
      </c>
      <c r="M9" s="16" t="e">
        <f>+#REF!</f>
        <v>#REF!</v>
      </c>
      <c r="N9" s="16">
        <v>100</v>
      </c>
      <c r="O9" s="17" t="s">
        <v>53</v>
      </c>
      <c r="P9" s="18">
        <v>0.01</v>
      </c>
      <c r="Q9" s="16">
        <v>6</v>
      </c>
      <c r="R9" s="16">
        <f t="shared" si="2"/>
        <v>3.8099999999999995E-2</v>
      </c>
      <c r="S9" s="16">
        <f t="shared" si="3"/>
        <v>1.1322699560521508</v>
      </c>
      <c r="T9" s="16">
        <f t="shared" si="4"/>
        <v>20.654302732951734</v>
      </c>
      <c r="U9" s="16">
        <f t="shared" ref="U9:U25" si="9">I9/T9</f>
        <v>0.10070540879027508</v>
      </c>
      <c r="V9" s="16">
        <v>0.22</v>
      </c>
      <c r="W9" s="16">
        <f t="shared" si="5"/>
        <v>1.32</v>
      </c>
      <c r="X9" s="19">
        <v>0.6</v>
      </c>
      <c r="Y9" s="20">
        <f t="shared" si="6"/>
        <v>0.67936197363129047</v>
      </c>
      <c r="AD9" s="22"/>
      <c r="AF9" s="23"/>
    </row>
    <row r="10" spans="1:32" s="53" customFormat="1" ht="25" x14ac:dyDescent="0.35">
      <c r="A10" s="13">
        <v>2</v>
      </c>
      <c r="B10" s="14">
        <f>F9</f>
        <v>158</v>
      </c>
      <c r="C10" s="14">
        <f>B10-D10</f>
        <v>1.4799999999999898</v>
      </c>
      <c r="D10" s="14">
        <f>G9-0.13</f>
        <v>156.52000000000001</v>
      </c>
      <c r="E10" s="13">
        <v>5</v>
      </c>
      <c r="F10" s="15">
        <v>154</v>
      </c>
      <c r="G10" s="16">
        <f t="shared" si="7"/>
        <v>152.52000000000001</v>
      </c>
      <c r="H10" s="16">
        <f t="shared" si="0"/>
        <v>1.4799999999999898</v>
      </c>
      <c r="I10" s="16">
        <v>6.44</v>
      </c>
      <c r="J10" s="50">
        <f t="shared" si="1"/>
        <v>0.04</v>
      </c>
      <c r="K10" s="51">
        <f t="shared" ref="K10:K25" si="10">J10</f>
        <v>0.04</v>
      </c>
      <c r="L10" s="16">
        <f t="shared" si="8"/>
        <v>4</v>
      </c>
      <c r="M10" s="16" t="e">
        <f>+#REF!</f>
        <v>#REF!</v>
      </c>
      <c r="N10" s="16">
        <v>100</v>
      </c>
      <c r="O10" s="17" t="s">
        <v>53</v>
      </c>
      <c r="P10" s="18">
        <v>0.01</v>
      </c>
      <c r="Q10" s="16">
        <v>6</v>
      </c>
      <c r="R10" s="16">
        <f t="shared" si="2"/>
        <v>3.8099999999999995E-2</v>
      </c>
      <c r="S10" s="16">
        <f t="shared" si="3"/>
        <v>2.2645399121043015</v>
      </c>
      <c r="T10" s="16">
        <f t="shared" si="4"/>
        <v>41.308605465903469</v>
      </c>
      <c r="U10" s="16">
        <f t="shared" si="9"/>
        <v>0.15589971937725275</v>
      </c>
      <c r="V10" s="16">
        <v>0.28000000000000003</v>
      </c>
      <c r="W10" s="16">
        <f t="shared" si="5"/>
        <v>1.6800000000000002</v>
      </c>
      <c r="X10" s="19">
        <v>0.7</v>
      </c>
      <c r="Y10" s="20">
        <f t="shared" si="6"/>
        <v>1.5851779384730109</v>
      </c>
      <c r="Z10" s="52">
        <f>(Y10^2)/(2*9.81)</f>
        <v>0.12807283876766282</v>
      </c>
      <c r="AD10" s="54"/>
      <c r="AF10" s="55"/>
    </row>
    <row r="11" spans="1:32" s="53" customFormat="1" ht="25" x14ac:dyDescent="0.35">
      <c r="A11" s="13">
        <v>2</v>
      </c>
      <c r="B11" s="14">
        <v>189</v>
      </c>
      <c r="C11" s="14">
        <v>1.35</v>
      </c>
      <c r="D11" s="14">
        <f>B11-C11</f>
        <v>187.65</v>
      </c>
      <c r="E11" s="13">
        <v>3</v>
      </c>
      <c r="F11" s="15">
        <v>157</v>
      </c>
      <c r="G11" s="16">
        <f>+D11-L11</f>
        <v>155.65</v>
      </c>
      <c r="H11" s="16">
        <f t="shared" si="0"/>
        <v>1.3499999999999943</v>
      </c>
      <c r="I11" s="16">
        <v>1.98</v>
      </c>
      <c r="J11" s="50">
        <f t="shared" si="1"/>
        <v>0.32</v>
      </c>
      <c r="K11" s="51">
        <f t="shared" si="10"/>
        <v>0.32</v>
      </c>
      <c r="L11" s="16">
        <f t="shared" si="8"/>
        <v>32</v>
      </c>
      <c r="M11" s="16" t="e">
        <f>+#REF!</f>
        <v>#REF!</v>
      </c>
      <c r="N11" s="16">
        <v>100</v>
      </c>
      <c r="O11" s="17" t="s">
        <v>53</v>
      </c>
      <c r="P11" s="18">
        <v>0.01</v>
      </c>
      <c r="Q11" s="16">
        <v>6</v>
      </c>
      <c r="R11" s="16">
        <f t="shared" si="2"/>
        <v>3.8099999999999995E-2</v>
      </c>
      <c r="S11" s="16">
        <f t="shared" si="3"/>
        <v>6.4050861124661589</v>
      </c>
      <c r="T11" s="16">
        <f t="shared" si="4"/>
        <v>116.83838018520008</v>
      </c>
      <c r="U11" s="16">
        <f t="shared" si="9"/>
        <v>1.6946486221920479E-2</v>
      </c>
      <c r="V11" s="16">
        <v>0.22</v>
      </c>
      <c r="W11" s="16">
        <f t="shared" si="5"/>
        <v>1.32</v>
      </c>
      <c r="X11" s="19">
        <v>0.6</v>
      </c>
      <c r="Y11" s="20">
        <f t="shared" si="6"/>
        <v>3.8430516674796951</v>
      </c>
      <c r="Z11" s="52"/>
      <c r="AA11" s="52"/>
      <c r="AD11" s="54"/>
      <c r="AF11" s="55"/>
    </row>
    <row r="12" spans="1:32" s="97" customFormat="1" ht="25" x14ac:dyDescent="0.35">
      <c r="A12" s="86">
        <v>3</v>
      </c>
      <c r="B12" s="87">
        <f>F11</f>
        <v>157</v>
      </c>
      <c r="C12" s="87">
        <f>B12-D12</f>
        <v>1.4199999999999875</v>
      </c>
      <c r="D12" s="87">
        <f>G11-0.07</f>
        <v>155.58000000000001</v>
      </c>
      <c r="E12" s="86">
        <v>6</v>
      </c>
      <c r="F12" s="88">
        <v>153.5</v>
      </c>
      <c r="G12" s="89">
        <f t="shared" si="7"/>
        <v>152.08000000000001</v>
      </c>
      <c r="H12" s="89">
        <f t="shared" ref="H12" si="11">+F12-G12</f>
        <v>1.4199999999999875</v>
      </c>
      <c r="I12" s="89">
        <v>3.34</v>
      </c>
      <c r="J12" s="90">
        <f t="shared" si="1"/>
        <v>3.5000000000000003E-2</v>
      </c>
      <c r="K12" s="91">
        <f t="shared" si="10"/>
        <v>3.5000000000000003E-2</v>
      </c>
      <c r="L12" s="89">
        <f t="shared" ref="L12" si="12">((K12*N12))</f>
        <v>3.5000000000000004</v>
      </c>
      <c r="M12" s="89" t="e">
        <f>+#REF!</f>
        <v>#REF!</v>
      </c>
      <c r="N12" s="89">
        <v>100</v>
      </c>
      <c r="O12" s="92" t="s">
        <v>53</v>
      </c>
      <c r="P12" s="93">
        <v>0.01</v>
      </c>
      <c r="Q12" s="89">
        <v>6</v>
      </c>
      <c r="R12" s="89">
        <f t="shared" ref="R12" si="13">((Q12*0.0254)/4)</f>
        <v>3.8099999999999995E-2</v>
      </c>
      <c r="S12" s="89">
        <f t="shared" ref="S12" si="14">((1/P12)*(POWER(R12,(2/3)))*(POWER(K12,0.5)))</f>
        <v>2.1182831224423677</v>
      </c>
      <c r="T12" s="89">
        <f t="shared" ref="T12" si="15">((3.141598*(POWER((Q12*0.0254),2))/4)*S12)*1000</f>
        <v>38.640662194707026</v>
      </c>
      <c r="U12" s="89">
        <f t="shared" ref="U12" si="16">I12/T12</f>
        <v>8.6437442069963052E-2</v>
      </c>
      <c r="V12" s="89">
        <v>0.21</v>
      </c>
      <c r="W12" s="89">
        <f t="shared" ref="W12" si="17">V12*Q12</f>
        <v>1.26</v>
      </c>
      <c r="X12" s="94">
        <v>0.56999999999999995</v>
      </c>
      <c r="Y12" s="95">
        <f t="shared" ref="Y12" si="18">X12*S12</f>
        <v>1.2074213797921496</v>
      </c>
      <c r="Z12" s="96">
        <f>(Y12^2)/(2*9.81)</f>
        <v>7.4305116635024371E-2</v>
      </c>
      <c r="AA12" s="96"/>
      <c r="AD12" s="98"/>
      <c r="AF12" s="99"/>
    </row>
    <row r="13" spans="1:32" s="97" customFormat="1" ht="25" x14ac:dyDescent="0.35">
      <c r="A13" s="86">
        <v>4</v>
      </c>
      <c r="B13" s="87">
        <f>F8</f>
        <v>155.5</v>
      </c>
      <c r="C13" s="87">
        <f>B13-D13</f>
        <v>1.5</v>
      </c>
      <c r="D13" s="87">
        <f>G8-0.1</f>
        <v>154</v>
      </c>
      <c r="E13" s="86">
        <v>7</v>
      </c>
      <c r="F13" s="88">
        <v>152</v>
      </c>
      <c r="G13" s="89">
        <f t="shared" si="7"/>
        <v>150.5</v>
      </c>
      <c r="H13" s="89">
        <f t="shared" si="0"/>
        <v>1.5</v>
      </c>
      <c r="I13" s="89">
        <v>5.3</v>
      </c>
      <c r="J13" s="90">
        <f t="shared" si="1"/>
        <v>3.5000000000000003E-2</v>
      </c>
      <c r="K13" s="91">
        <f t="shared" si="10"/>
        <v>3.5000000000000003E-2</v>
      </c>
      <c r="L13" s="89">
        <f t="shared" si="8"/>
        <v>3.5000000000000004</v>
      </c>
      <c r="M13" s="89" t="e">
        <f>+#REF!</f>
        <v>#REF!</v>
      </c>
      <c r="N13" s="89">
        <v>100</v>
      </c>
      <c r="O13" s="92" t="s">
        <v>53</v>
      </c>
      <c r="P13" s="93">
        <v>0.01</v>
      </c>
      <c r="Q13" s="89">
        <v>6</v>
      </c>
      <c r="R13" s="89">
        <f t="shared" si="2"/>
        <v>3.8099999999999995E-2</v>
      </c>
      <c r="S13" s="89">
        <f t="shared" si="3"/>
        <v>2.1182831224423677</v>
      </c>
      <c r="T13" s="89">
        <f t="shared" si="4"/>
        <v>38.640662194707026</v>
      </c>
      <c r="U13" s="89">
        <f t="shared" si="9"/>
        <v>0.13716121047030064</v>
      </c>
      <c r="V13" s="89">
        <v>0.26</v>
      </c>
      <c r="W13" s="89">
        <f t="shared" si="5"/>
        <v>1.56</v>
      </c>
      <c r="X13" s="94">
        <v>0.67</v>
      </c>
      <c r="Y13" s="95">
        <f t="shared" si="6"/>
        <v>1.4192496920363864</v>
      </c>
      <c r="Z13" s="96">
        <f>(Y13^2)/(2*9.81)</f>
        <v>0.10266410236214972</v>
      </c>
      <c r="AA13" s="96"/>
      <c r="AD13" s="98"/>
      <c r="AF13" s="99"/>
    </row>
    <row r="14" spans="1:32" s="53" customFormat="1" ht="25" x14ac:dyDescent="0.35">
      <c r="A14" s="13">
        <v>4</v>
      </c>
      <c r="B14" s="14">
        <f>B13</f>
        <v>155.5</v>
      </c>
      <c r="C14" s="14">
        <v>1.35</v>
      </c>
      <c r="D14" s="14">
        <f>B14-C14</f>
        <v>154.15</v>
      </c>
      <c r="E14" s="13">
        <v>5</v>
      </c>
      <c r="F14" s="15">
        <f>F10</f>
        <v>154</v>
      </c>
      <c r="G14" s="16">
        <f t="shared" ref="G14" si="19">+D14-L14</f>
        <v>152.65</v>
      </c>
      <c r="H14" s="16">
        <f t="shared" si="0"/>
        <v>1.3499999999999943</v>
      </c>
      <c r="I14" s="16">
        <v>3.84</v>
      </c>
      <c r="J14" s="50">
        <f t="shared" si="1"/>
        <v>1.4999999999999999E-2</v>
      </c>
      <c r="K14" s="51">
        <f t="shared" si="10"/>
        <v>1.4999999999999999E-2</v>
      </c>
      <c r="L14" s="16">
        <f t="shared" si="8"/>
        <v>1.5</v>
      </c>
      <c r="M14" s="16" t="e">
        <f>+#REF!</f>
        <v>#REF!</v>
      </c>
      <c r="N14" s="16">
        <v>100</v>
      </c>
      <c r="O14" s="17" t="s">
        <v>53</v>
      </c>
      <c r="P14" s="18">
        <v>0.01</v>
      </c>
      <c r="Q14" s="16">
        <v>6</v>
      </c>
      <c r="R14" s="16">
        <f t="shared" si="2"/>
        <v>3.8099999999999995E-2</v>
      </c>
      <c r="S14" s="16">
        <f t="shared" si="3"/>
        <v>1.3867418217056513</v>
      </c>
      <c r="T14" s="16">
        <f t="shared" si="4"/>
        <v>25.296251344351912</v>
      </c>
      <c r="U14" s="16">
        <f t="shared" si="9"/>
        <v>0.151801148230502</v>
      </c>
      <c r="V14" s="16">
        <v>0.27</v>
      </c>
      <c r="W14" s="16">
        <f t="shared" si="5"/>
        <v>1.62</v>
      </c>
      <c r="X14" s="19">
        <v>0.69</v>
      </c>
      <c r="Y14" s="20">
        <f t="shared" si="6"/>
        <v>0.95685185697689934</v>
      </c>
      <c r="Z14" s="52"/>
      <c r="AA14" s="52"/>
      <c r="AD14" s="54"/>
      <c r="AF14" s="55"/>
    </row>
    <row r="15" spans="1:32" s="103" customFormat="1" ht="25" x14ac:dyDescent="0.35">
      <c r="A15" s="86">
        <v>5</v>
      </c>
      <c r="B15" s="87">
        <f>F14</f>
        <v>154</v>
      </c>
      <c r="C15" s="87">
        <f>B15-D15</f>
        <v>1.5600000000000023</v>
      </c>
      <c r="D15" s="87">
        <f>+G14-0.21</f>
        <v>152.44</v>
      </c>
      <c r="E15" s="86">
        <v>8</v>
      </c>
      <c r="F15" s="88">
        <v>150</v>
      </c>
      <c r="G15" s="89">
        <f t="shared" si="7"/>
        <v>148.44</v>
      </c>
      <c r="H15" s="89">
        <f t="shared" si="0"/>
        <v>1.5600000000000023</v>
      </c>
      <c r="I15" s="89">
        <v>14.54</v>
      </c>
      <c r="J15" s="90">
        <f t="shared" si="1"/>
        <v>0.04</v>
      </c>
      <c r="K15" s="91">
        <f t="shared" si="10"/>
        <v>0.04</v>
      </c>
      <c r="L15" s="89">
        <f t="shared" si="8"/>
        <v>4</v>
      </c>
      <c r="M15" s="89" t="e">
        <f>+#REF!</f>
        <v>#REF!</v>
      </c>
      <c r="N15" s="89">
        <v>100</v>
      </c>
      <c r="O15" s="92" t="s">
        <v>53</v>
      </c>
      <c r="P15" s="93">
        <v>0.01</v>
      </c>
      <c r="Q15" s="89">
        <v>6</v>
      </c>
      <c r="R15" s="89">
        <f t="shared" si="2"/>
        <v>3.8099999999999995E-2</v>
      </c>
      <c r="S15" s="89">
        <f t="shared" si="3"/>
        <v>2.2645399121043015</v>
      </c>
      <c r="T15" s="89">
        <f t="shared" si="4"/>
        <v>41.308605465903469</v>
      </c>
      <c r="U15" s="89">
        <f t="shared" si="9"/>
        <v>0.3519847701467787</v>
      </c>
      <c r="V15" s="89">
        <v>0.42</v>
      </c>
      <c r="W15" s="89">
        <f t="shared" si="5"/>
        <v>2.52</v>
      </c>
      <c r="X15" s="94">
        <v>0.89</v>
      </c>
      <c r="Y15" s="95">
        <f t="shared" si="6"/>
        <v>2.0154405217728284</v>
      </c>
      <c r="Z15" s="96">
        <f>(Y15^2)/(2*9.81)</f>
        <v>0.20703366446503213</v>
      </c>
      <c r="AA15" s="102"/>
      <c r="AD15" s="104"/>
      <c r="AF15" s="105"/>
    </row>
    <row r="16" spans="1:32" s="53" customFormat="1" ht="25" x14ac:dyDescent="0.35">
      <c r="A16" s="13">
        <v>5</v>
      </c>
      <c r="B16" s="14">
        <f>B15</f>
        <v>154</v>
      </c>
      <c r="C16" s="14">
        <v>1.35</v>
      </c>
      <c r="D16" s="14">
        <f>B16-C16</f>
        <v>152.65</v>
      </c>
      <c r="E16" s="13">
        <v>6</v>
      </c>
      <c r="F16" s="15">
        <v>153.5</v>
      </c>
      <c r="G16" s="16">
        <f t="shared" si="7"/>
        <v>152.15</v>
      </c>
      <c r="H16" s="16">
        <f t="shared" si="0"/>
        <v>1.3499999999999943</v>
      </c>
      <c r="I16" s="16">
        <v>4.3600000000000003</v>
      </c>
      <c r="J16" s="50">
        <f t="shared" si="1"/>
        <v>5.0000000000000001E-3</v>
      </c>
      <c r="K16" s="51">
        <f t="shared" si="10"/>
        <v>5.0000000000000001E-3</v>
      </c>
      <c r="L16" s="16">
        <f t="shared" si="8"/>
        <v>0.5</v>
      </c>
      <c r="M16" s="16" t="e">
        <f>+#REF!</f>
        <v>#REF!</v>
      </c>
      <c r="N16" s="16">
        <v>100</v>
      </c>
      <c r="O16" s="17" t="s">
        <v>53</v>
      </c>
      <c r="P16" s="18">
        <v>0.01</v>
      </c>
      <c r="Q16" s="16">
        <v>6</v>
      </c>
      <c r="R16" s="16">
        <f t="shared" si="2"/>
        <v>3.8099999999999995E-2</v>
      </c>
      <c r="S16" s="16">
        <f t="shared" si="3"/>
        <v>0.80063576405826986</v>
      </c>
      <c r="T16" s="16">
        <f t="shared" si="4"/>
        <v>14.60479752315001</v>
      </c>
      <c r="U16" s="16">
        <f t="shared" si="9"/>
        <v>0.29853204011140727</v>
      </c>
      <c r="V16" s="16">
        <v>0.38</v>
      </c>
      <c r="W16" s="16">
        <f t="shared" si="5"/>
        <v>2.2800000000000002</v>
      </c>
      <c r="X16" s="19">
        <v>0.84</v>
      </c>
      <c r="Y16" s="20">
        <f t="shared" si="6"/>
        <v>0.6725340418089466</v>
      </c>
      <c r="AA16" s="52"/>
      <c r="AD16" s="54"/>
      <c r="AF16" s="55"/>
    </row>
    <row r="17" spans="1:32" s="103" customFormat="1" ht="25" x14ac:dyDescent="0.35">
      <c r="A17" s="86">
        <v>6</v>
      </c>
      <c r="B17" s="87">
        <f>F16</f>
        <v>153.5</v>
      </c>
      <c r="C17" s="87">
        <f>B17-D17</f>
        <v>1.5099999999999909</v>
      </c>
      <c r="D17" s="87">
        <f>G16-0.16</f>
        <v>151.99</v>
      </c>
      <c r="E17" s="86">
        <v>9</v>
      </c>
      <c r="F17" s="88">
        <v>149.5</v>
      </c>
      <c r="G17" s="89">
        <f t="shared" si="7"/>
        <v>147.99</v>
      </c>
      <c r="H17" s="89">
        <f t="shared" si="0"/>
        <v>1.5099999999999909</v>
      </c>
      <c r="I17" s="89">
        <v>9.7799999999999994</v>
      </c>
      <c r="J17" s="90">
        <f t="shared" si="1"/>
        <v>0.04</v>
      </c>
      <c r="K17" s="91">
        <f t="shared" si="10"/>
        <v>0.04</v>
      </c>
      <c r="L17" s="89">
        <f t="shared" si="8"/>
        <v>4</v>
      </c>
      <c r="M17" s="89" t="e">
        <f>+#REF!</f>
        <v>#REF!</v>
      </c>
      <c r="N17" s="89">
        <v>100</v>
      </c>
      <c r="O17" s="92" t="s">
        <v>53</v>
      </c>
      <c r="P17" s="93">
        <v>0.01</v>
      </c>
      <c r="Q17" s="89">
        <v>6</v>
      </c>
      <c r="R17" s="89">
        <f t="shared" si="2"/>
        <v>3.8099999999999995E-2</v>
      </c>
      <c r="S17" s="89">
        <f t="shared" si="3"/>
        <v>2.2645399121043015</v>
      </c>
      <c r="T17" s="89">
        <f t="shared" si="4"/>
        <v>41.308605465903469</v>
      </c>
      <c r="U17" s="89">
        <f t="shared" si="9"/>
        <v>0.23675454278098321</v>
      </c>
      <c r="V17" s="89">
        <v>0.34</v>
      </c>
      <c r="W17" s="89">
        <f t="shared" si="5"/>
        <v>2.04</v>
      </c>
      <c r="X17" s="94">
        <v>0.79</v>
      </c>
      <c r="Y17" s="95">
        <f>X17*S17</f>
        <v>1.7889865305623982</v>
      </c>
      <c r="Z17" s="96">
        <f>(Y17^2)/(2*9.81)</f>
        <v>0.16312297688754773</v>
      </c>
      <c r="AD17" s="104"/>
      <c r="AF17" s="105"/>
    </row>
    <row r="18" spans="1:32" s="53" customFormat="1" ht="25" x14ac:dyDescent="0.35">
      <c r="A18" s="13">
        <v>7</v>
      </c>
      <c r="B18" s="14">
        <v>152</v>
      </c>
      <c r="C18" s="100">
        <f>B18-D18</f>
        <v>1.6399999999999864</v>
      </c>
      <c r="D18" s="100">
        <f>G13-0.14</f>
        <v>150.36000000000001</v>
      </c>
      <c r="E18" s="13">
        <v>10</v>
      </c>
      <c r="F18" s="15">
        <v>148</v>
      </c>
      <c r="G18" s="16">
        <f>+D18-L18</f>
        <v>146.36000000000001</v>
      </c>
      <c r="H18" s="16">
        <f t="shared" si="0"/>
        <v>1.6399999999999864</v>
      </c>
      <c r="I18" s="16">
        <v>7.9</v>
      </c>
      <c r="J18" s="50">
        <f t="shared" si="1"/>
        <v>0.04</v>
      </c>
      <c r="K18" s="51">
        <f t="shared" si="10"/>
        <v>0.04</v>
      </c>
      <c r="L18" s="16">
        <f t="shared" si="8"/>
        <v>4</v>
      </c>
      <c r="M18" s="16" t="e">
        <f>+#REF!</f>
        <v>#REF!</v>
      </c>
      <c r="N18" s="16">
        <v>100</v>
      </c>
      <c r="O18" s="17" t="s">
        <v>53</v>
      </c>
      <c r="P18" s="18">
        <v>0.01</v>
      </c>
      <c r="Q18" s="16">
        <v>6</v>
      </c>
      <c r="R18" s="16">
        <f t="shared" si="2"/>
        <v>3.8099999999999995E-2</v>
      </c>
      <c r="S18" s="16">
        <f t="shared" si="3"/>
        <v>2.2645399121043015</v>
      </c>
      <c r="T18" s="16">
        <f t="shared" si="4"/>
        <v>41.308605465903469</v>
      </c>
      <c r="U18" s="16">
        <f t="shared" si="9"/>
        <v>0.19124344457768583</v>
      </c>
      <c r="V18" s="16">
        <v>0.31</v>
      </c>
      <c r="W18" s="16">
        <f t="shared" si="5"/>
        <v>1.8599999999999999</v>
      </c>
      <c r="X18" s="19">
        <v>0.74</v>
      </c>
      <c r="Y18" s="20">
        <f t="shared" si="6"/>
        <v>1.675759534957183</v>
      </c>
      <c r="Z18" s="96">
        <f>(Y18^2)/(2*9.81)</f>
        <v>0.14312793165137178</v>
      </c>
      <c r="AD18" s="54"/>
      <c r="AF18" s="55"/>
    </row>
    <row r="19" spans="1:32" s="103" customFormat="1" ht="25" x14ac:dyDescent="0.35">
      <c r="A19" s="86">
        <v>7</v>
      </c>
      <c r="B19" s="87">
        <f>+B18</f>
        <v>152</v>
      </c>
      <c r="C19" s="87">
        <v>1.35</v>
      </c>
      <c r="D19" s="106">
        <f>B19-C19</f>
        <v>150.65</v>
      </c>
      <c r="E19" s="86">
        <v>8</v>
      </c>
      <c r="F19" s="88">
        <f>+F15</f>
        <v>150</v>
      </c>
      <c r="G19" s="89">
        <f t="shared" si="7"/>
        <v>148.65</v>
      </c>
      <c r="H19" s="89">
        <f t="shared" si="0"/>
        <v>1.3499999999999943</v>
      </c>
      <c r="I19" s="89">
        <v>3.95</v>
      </c>
      <c r="J19" s="90">
        <f t="shared" si="1"/>
        <v>0.02</v>
      </c>
      <c r="K19" s="91">
        <f t="shared" si="10"/>
        <v>0.02</v>
      </c>
      <c r="L19" s="89">
        <f t="shared" si="8"/>
        <v>2</v>
      </c>
      <c r="M19" s="89" t="e">
        <f>+#REF!</f>
        <v>#REF!</v>
      </c>
      <c r="N19" s="107">
        <v>100</v>
      </c>
      <c r="O19" s="92" t="s">
        <v>53</v>
      </c>
      <c r="P19" s="93">
        <v>0.01</v>
      </c>
      <c r="Q19" s="89">
        <v>6</v>
      </c>
      <c r="R19" s="89">
        <f t="shared" si="2"/>
        <v>3.8099999999999995E-2</v>
      </c>
      <c r="S19" s="89">
        <f t="shared" si="3"/>
        <v>1.6012715281165397</v>
      </c>
      <c r="T19" s="89">
        <f t="shared" si="4"/>
        <v>29.20959504630002</v>
      </c>
      <c r="U19" s="89">
        <f t="shared" si="9"/>
        <v>0.13522953651835534</v>
      </c>
      <c r="V19" s="89">
        <v>0.26</v>
      </c>
      <c r="W19" s="89">
        <f t="shared" si="5"/>
        <v>1.56</v>
      </c>
      <c r="X19" s="94">
        <v>0.67</v>
      </c>
      <c r="Y19" s="95">
        <f t="shared" si="6"/>
        <v>1.0728519238380816</v>
      </c>
      <c r="Z19" s="96"/>
      <c r="AD19" s="104"/>
      <c r="AF19" s="105"/>
    </row>
    <row r="20" spans="1:32" s="53" customFormat="1" ht="25" x14ac:dyDescent="0.35">
      <c r="A20" s="13">
        <v>8</v>
      </c>
      <c r="B20" s="14">
        <f>+F19</f>
        <v>150</v>
      </c>
      <c r="C20" s="100">
        <f>B20-D20</f>
        <v>1.6200000000000045</v>
      </c>
      <c r="D20" s="100">
        <f>G19-0.27</f>
        <v>148.38</v>
      </c>
      <c r="E20" s="13">
        <v>11</v>
      </c>
      <c r="F20" s="15">
        <v>146</v>
      </c>
      <c r="G20" s="16">
        <f t="shared" si="7"/>
        <v>144.38</v>
      </c>
      <c r="H20" s="16">
        <f t="shared" si="0"/>
        <v>1.6200000000000045</v>
      </c>
      <c r="I20" s="16">
        <v>23.68</v>
      </c>
      <c r="J20" s="50">
        <f t="shared" si="1"/>
        <v>0.04</v>
      </c>
      <c r="K20" s="51">
        <f t="shared" si="10"/>
        <v>0.04</v>
      </c>
      <c r="L20" s="16">
        <f t="shared" si="8"/>
        <v>4</v>
      </c>
      <c r="M20" s="16" t="e">
        <f>+#REF!</f>
        <v>#REF!</v>
      </c>
      <c r="N20" s="16">
        <v>100</v>
      </c>
      <c r="O20" s="17" t="s">
        <v>53</v>
      </c>
      <c r="P20" s="18">
        <v>0.01</v>
      </c>
      <c r="Q20" s="16">
        <v>6</v>
      </c>
      <c r="R20" s="16">
        <f t="shared" si="2"/>
        <v>3.8099999999999995E-2</v>
      </c>
      <c r="S20" s="16">
        <f t="shared" si="3"/>
        <v>2.2645399121043015</v>
      </c>
      <c r="T20" s="16">
        <f t="shared" si="4"/>
        <v>41.308605465903469</v>
      </c>
      <c r="U20" s="16">
        <f t="shared" si="9"/>
        <v>0.57324617311387349</v>
      </c>
      <c r="V20" s="16">
        <v>0.55000000000000004</v>
      </c>
      <c r="W20" s="16">
        <f t="shared" si="5"/>
        <v>3.3000000000000003</v>
      </c>
      <c r="X20" s="19">
        <v>1.02</v>
      </c>
      <c r="Y20" s="20">
        <f t="shared" si="6"/>
        <v>2.3098307103463878</v>
      </c>
      <c r="Z20" s="96">
        <f>(Y20^2)/(2*9.81)</f>
        <v>0.27193261521199275</v>
      </c>
      <c r="AD20" s="54"/>
      <c r="AF20" s="55"/>
    </row>
    <row r="21" spans="1:32" s="103" customFormat="1" ht="25" x14ac:dyDescent="0.35">
      <c r="A21" s="86">
        <v>8</v>
      </c>
      <c r="B21" s="87">
        <f>+B20</f>
        <v>150</v>
      </c>
      <c r="C21" s="87">
        <v>1.35</v>
      </c>
      <c r="D21" s="106">
        <f>B21-C21</f>
        <v>148.65</v>
      </c>
      <c r="E21" s="86">
        <v>9</v>
      </c>
      <c r="F21" s="88">
        <f>+F17</f>
        <v>149.5</v>
      </c>
      <c r="G21" s="89">
        <f t="shared" si="7"/>
        <v>148.15</v>
      </c>
      <c r="H21" s="89">
        <f t="shared" si="0"/>
        <v>1.3499999999999943</v>
      </c>
      <c r="I21" s="89">
        <v>4.26</v>
      </c>
      <c r="J21" s="90">
        <f t="shared" si="1"/>
        <v>5.0000000000000001E-3</v>
      </c>
      <c r="K21" s="91">
        <f t="shared" si="10"/>
        <v>5.0000000000000001E-3</v>
      </c>
      <c r="L21" s="89">
        <f t="shared" si="8"/>
        <v>0.5</v>
      </c>
      <c r="M21" s="89" t="e">
        <f>+#REF!</f>
        <v>#REF!</v>
      </c>
      <c r="N21" s="107">
        <v>100</v>
      </c>
      <c r="O21" s="92" t="s">
        <v>53</v>
      </c>
      <c r="P21" s="93">
        <v>0.01</v>
      </c>
      <c r="Q21" s="89">
        <v>6</v>
      </c>
      <c r="R21" s="89">
        <f t="shared" si="2"/>
        <v>3.8099999999999995E-2</v>
      </c>
      <c r="S21" s="89">
        <f t="shared" si="3"/>
        <v>0.80063576405826986</v>
      </c>
      <c r="T21" s="89">
        <f t="shared" si="4"/>
        <v>14.60479752315001</v>
      </c>
      <c r="U21" s="89">
        <f t="shared" si="9"/>
        <v>0.29168497497123735</v>
      </c>
      <c r="V21" s="89">
        <v>0.37</v>
      </c>
      <c r="W21" s="89">
        <f t="shared" si="5"/>
        <v>2.2199999999999998</v>
      </c>
      <c r="X21" s="94">
        <v>0.83</v>
      </c>
      <c r="Y21" s="95">
        <f t="shared" si="6"/>
        <v>0.66452768416836394</v>
      </c>
      <c r="Z21" s="96"/>
      <c r="AD21" s="104"/>
      <c r="AF21" s="105"/>
    </row>
    <row r="22" spans="1:32" s="53" customFormat="1" ht="25" x14ac:dyDescent="0.35">
      <c r="A22" s="13">
        <v>9</v>
      </c>
      <c r="B22" s="14">
        <f>+F21</f>
        <v>149.5</v>
      </c>
      <c r="C22" s="100">
        <f>B22-D22</f>
        <v>1.5900000000000034</v>
      </c>
      <c r="D22" s="100">
        <f>G21-0.24</f>
        <v>147.91</v>
      </c>
      <c r="E22" s="13">
        <v>12</v>
      </c>
      <c r="F22" s="15">
        <v>145</v>
      </c>
      <c r="G22" s="16">
        <f t="shared" si="7"/>
        <v>143.41</v>
      </c>
      <c r="H22" s="16">
        <f t="shared" si="0"/>
        <v>1.5900000000000034</v>
      </c>
      <c r="I22" s="16">
        <v>15.92</v>
      </c>
      <c r="J22" s="50">
        <f t="shared" si="1"/>
        <v>4.4999999999999998E-2</v>
      </c>
      <c r="K22" s="51">
        <f t="shared" si="10"/>
        <v>4.4999999999999998E-2</v>
      </c>
      <c r="L22" s="16">
        <f t="shared" si="8"/>
        <v>4.5</v>
      </c>
      <c r="M22" s="16" t="e">
        <f>+#REF!</f>
        <v>#REF!</v>
      </c>
      <c r="N22" s="16">
        <v>100</v>
      </c>
      <c r="O22" s="17" t="s">
        <v>53</v>
      </c>
      <c r="P22" s="18">
        <v>0.01</v>
      </c>
      <c r="Q22" s="16">
        <v>6</v>
      </c>
      <c r="R22" s="16">
        <f t="shared" si="2"/>
        <v>3.8099999999999995E-2</v>
      </c>
      <c r="S22" s="16">
        <f t="shared" si="3"/>
        <v>2.4019072921748097</v>
      </c>
      <c r="T22" s="16">
        <f t="shared" si="4"/>
        <v>43.814392569450035</v>
      </c>
      <c r="U22" s="16">
        <f t="shared" si="9"/>
        <v>0.36335092343834885</v>
      </c>
      <c r="V22" s="16">
        <v>0.43</v>
      </c>
      <c r="W22" s="16">
        <f t="shared" si="5"/>
        <v>2.58</v>
      </c>
      <c r="X22" s="19">
        <v>0.91</v>
      </c>
      <c r="Y22" s="20">
        <f t="shared" si="6"/>
        <v>2.1857356358790767</v>
      </c>
      <c r="Z22" s="96">
        <f>(Y22^2)/(2*9.81)</f>
        <v>0.24349848470701896</v>
      </c>
      <c r="AD22" s="54"/>
      <c r="AF22" s="55"/>
    </row>
    <row r="23" spans="1:32" s="97" customFormat="1" ht="25" x14ac:dyDescent="0.35">
      <c r="A23" s="86">
        <v>10</v>
      </c>
      <c r="B23" s="87">
        <f>+F18</f>
        <v>148</v>
      </c>
      <c r="C23" s="87">
        <f>B23-D23</f>
        <v>1.7399999999999807</v>
      </c>
      <c r="D23" s="87">
        <f>G18-0.1</f>
        <v>146.26000000000002</v>
      </c>
      <c r="E23" s="86">
        <v>11</v>
      </c>
      <c r="F23" s="88">
        <f>+F20</f>
        <v>146</v>
      </c>
      <c r="G23" s="89">
        <f t="shared" si="7"/>
        <v>144.26000000000002</v>
      </c>
      <c r="H23" s="89">
        <f t="shared" si="0"/>
        <v>1.7399999999999807</v>
      </c>
      <c r="I23" s="89">
        <v>10.09</v>
      </c>
      <c r="J23" s="90">
        <f t="shared" si="1"/>
        <v>0.02</v>
      </c>
      <c r="K23" s="91">
        <f t="shared" si="10"/>
        <v>0.02</v>
      </c>
      <c r="L23" s="89">
        <f t="shared" si="8"/>
        <v>2</v>
      </c>
      <c r="M23" s="89" t="e">
        <f>+#REF!</f>
        <v>#REF!</v>
      </c>
      <c r="N23" s="89">
        <v>100</v>
      </c>
      <c r="O23" s="92" t="s">
        <v>53</v>
      </c>
      <c r="P23" s="93">
        <v>0.01</v>
      </c>
      <c r="Q23" s="89">
        <v>6</v>
      </c>
      <c r="R23" s="89">
        <f t="shared" si="2"/>
        <v>3.8099999999999995E-2</v>
      </c>
      <c r="S23" s="89">
        <f t="shared" si="3"/>
        <v>1.6012715281165397</v>
      </c>
      <c r="T23" s="89">
        <f t="shared" si="4"/>
        <v>29.20959504630002</v>
      </c>
      <c r="U23" s="89">
        <f t="shared" si="9"/>
        <v>0.345434436321571</v>
      </c>
      <c r="V23" s="89">
        <v>0.42</v>
      </c>
      <c r="W23" s="89">
        <f t="shared" si="5"/>
        <v>2.52</v>
      </c>
      <c r="X23" s="94">
        <v>0.89</v>
      </c>
      <c r="Y23" s="95">
        <f t="shared" si="6"/>
        <v>1.4251316600237203</v>
      </c>
      <c r="Z23" s="96">
        <f>(Y23^2)/(2*9.81)</f>
        <v>0.10351683223251602</v>
      </c>
      <c r="AD23" s="98"/>
      <c r="AF23" s="99"/>
    </row>
    <row r="24" spans="1:32" s="53" customFormat="1" ht="25" x14ac:dyDescent="0.35">
      <c r="A24" s="13">
        <v>11</v>
      </c>
      <c r="B24" s="14">
        <f>+F23</f>
        <v>146</v>
      </c>
      <c r="C24" s="100">
        <f>B24-D24</f>
        <v>1.9399999999999693</v>
      </c>
      <c r="D24" s="14">
        <f>+G23-0.2</f>
        <v>144.06000000000003</v>
      </c>
      <c r="E24" s="13">
        <v>13</v>
      </c>
      <c r="F24" s="15">
        <v>145.5</v>
      </c>
      <c r="G24" s="16">
        <f t="shared" si="7"/>
        <v>143.06000000000003</v>
      </c>
      <c r="H24" s="16">
        <f t="shared" si="0"/>
        <v>2.4399999999999693</v>
      </c>
      <c r="I24" s="16">
        <v>34.57</v>
      </c>
      <c r="J24" s="50">
        <f t="shared" si="1"/>
        <v>0.01</v>
      </c>
      <c r="K24" s="51">
        <v>0.02</v>
      </c>
      <c r="L24" s="16">
        <f t="shared" si="8"/>
        <v>1</v>
      </c>
      <c r="M24" s="16" t="e">
        <f>+#REF!</f>
        <v>#REF!</v>
      </c>
      <c r="N24" s="16">
        <v>50</v>
      </c>
      <c r="O24" s="17" t="s">
        <v>53</v>
      </c>
      <c r="P24" s="18">
        <v>0.01</v>
      </c>
      <c r="Q24" s="16">
        <v>8</v>
      </c>
      <c r="R24" s="16">
        <f t="shared" si="2"/>
        <v>5.0799999999999998E-2</v>
      </c>
      <c r="S24" s="16">
        <f t="shared" si="3"/>
        <v>1.9398023123042356</v>
      </c>
      <c r="T24" s="16">
        <f t="shared" si="4"/>
        <v>62.906496790423056</v>
      </c>
      <c r="U24" s="16">
        <f t="shared" si="9"/>
        <v>0.54954578245188457</v>
      </c>
      <c r="V24" s="16">
        <v>0.53</v>
      </c>
      <c r="W24" s="16">
        <f t="shared" si="5"/>
        <v>4.24</v>
      </c>
      <c r="X24" s="19">
        <v>1.02</v>
      </c>
      <c r="Y24" s="20">
        <f t="shared" si="6"/>
        <v>1.9785983585503204</v>
      </c>
      <c r="Z24" s="96">
        <f>(Y24^2)/(2*9.81)</f>
        <v>0.19953371378481255</v>
      </c>
      <c r="AD24" s="54"/>
      <c r="AF24" s="55"/>
    </row>
    <row r="25" spans="1:32" s="53" customFormat="1" ht="25" x14ac:dyDescent="0.35">
      <c r="A25" s="13">
        <v>12</v>
      </c>
      <c r="B25" s="14">
        <f>+F22</f>
        <v>145</v>
      </c>
      <c r="C25" s="100">
        <f>B25-D25</f>
        <v>2.0199999999999818</v>
      </c>
      <c r="D25" s="14">
        <f>+G24-0.08</f>
        <v>142.98000000000002</v>
      </c>
      <c r="E25" s="13">
        <v>13</v>
      </c>
      <c r="F25" s="15">
        <f>+F24</f>
        <v>145.5</v>
      </c>
      <c r="G25" s="16">
        <f t="shared" si="7"/>
        <v>142.48000000000002</v>
      </c>
      <c r="H25" s="16">
        <f>F25-G25</f>
        <v>3.0199999999999818</v>
      </c>
      <c r="I25" s="16">
        <v>16.72</v>
      </c>
      <c r="J25" s="50">
        <f>((B25-F25)/N25)</f>
        <v>-0.01</v>
      </c>
      <c r="K25" s="51">
        <v>0.01</v>
      </c>
      <c r="L25" s="16">
        <f t="shared" si="8"/>
        <v>0.5</v>
      </c>
      <c r="M25" s="16" t="e">
        <f>+#REF!</f>
        <v>#REF!</v>
      </c>
      <c r="N25" s="16">
        <v>50</v>
      </c>
      <c r="O25" s="17" t="s">
        <v>53</v>
      </c>
      <c r="P25" s="18">
        <v>0.01</v>
      </c>
      <c r="Q25" s="16">
        <v>8</v>
      </c>
      <c r="R25" s="16">
        <f t="shared" si="2"/>
        <v>5.0799999999999998E-2</v>
      </c>
      <c r="S25" s="16">
        <f t="shared" si="3"/>
        <v>1.3716473691916702</v>
      </c>
      <c r="T25" s="16">
        <f t="shared" si="4"/>
        <v>44.481610461197931</v>
      </c>
      <c r="U25" s="16">
        <f t="shared" si="9"/>
        <v>0.37588567110413279</v>
      </c>
      <c r="V25" s="16">
        <v>0.44</v>
      </c>
      <c r="W25" s="16">
        <f t="shared" si="5"/>
        <v>3.52</v>
      </c>
      <c r="X25" s="19">
        <v>0.93</v>
      </c>
      <c r="Y25" s="20">
        <f t="shared" si="6"/>
        <v>1.2756320533482532</v>
      </c>
      <c r="Z25" s="96">
        <f>(Y25^2)/(2*9.81)</f>
        <v>8.2937672555019409E-2</v>
      </c>
      <c r="AD25" s="54"/>
      <c r="AF25" s="55"/>
    </row>
    <row r="26" spans="1:32" s="21" customFormat="1" ht="25" x14ac:dyDescent="0.35">
      <c r="A26" s="24"/>
      <c r="B26" s="25"/>
      <c r="C26" s="25"/>
      <c r="D26" s="25"/>
      <c r="E26" s="101"/>
      <c r="F26" s="24"/>
      <c r="G26" s="26"/>
      <c r="H26" s="26"/>
      <c r="I26" s="26"/>
      <c r="J26"/>
      <c r="K26"/>
      <c r="L26"/>
      <c r="M26" s="26"/>
      <c r="N26" s="26"/>
      <c r="O26"/>
      <c r="P26"/>
      <c r="Q26"/>
      <c r="R26"/>
      <c r="S26"/>
      <c r="T26"/>
      <c r="U26"/>
      <c r="V26"/>
      <c r="W26"/>
      <c r="X26"/>
      <c r="Y26" s="20"/>
      <c r="Z26" s="96"/>
      <c r="AF26" s="23"/>
    </row>
    <row r="30" spans="1:32" x14ac:dyDescent="0.35">
      <c r="A30" t="s">
        <v>96</v>
      </c>
    </row>
  </sheetData>
  <mergeCells count="18">
    <mergeCell ref="B3:N3"/>
    <mergeCell ref="A6:D6"/>
    <mergeCell ref="E6:G6"/>
    <mergeCell ref="I6:I7"/>
    <mergeCell ref="J6:J7"/>
    <mergeCell ref="K6:K7"/>
    <mergeCell ref="L6:L7"/>
    <mergeCell ref="M6:M7"/>
    <mergeCell ref="N6:N7"/>
    <mergeCell ref="W6:W7"/>
    <mergeCell ref="X6:X7"/>
    <mergeCell ref="Y6:Y7"/>
    <mergeCell ref="O6:O7"/>
    <mergeCell ref="P6:P7"/>
    <mergeCell ref="Q6:Q7"/>
    <mergeCell ref="R6:T6"/>
    <mergeCell ref="U6:U7"/>
    <mergeCell ref="V6:V7"/>
  </mergeCells>
  <conditionalFormatting sqref="H4:H29 H31:H1048576">
    <cfRule type="cellIs" dxfId="0" priority="1" operator="lessThan">
      <formula>0</formula>
    </cfRule>
  </conditionalFormatting>
  <pageMargins left="0.25" right="0.25" top="0.75" bottom="0.75" header="0.3" footer="0.3"/>
  <pageSetup scale="19" orientation="landscape" r:id="rId1"/>
  <ignoredErrors>
    <ignoredError sqref="B10 D11:D13 B12:B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sanitario</vt:lpstr>
      <vt:lpstr>Condiciones a seccion llena</vt:lpstr>
      <vt:lpstr>Cálculo de caudales</vt:lpstr>
      <vt:lpstr>Diseño de drenajes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Mirea Quiche</cp:lastModifiedBy>
  <cp:lastPrinted>2023-09-28T05:18:26Z</cp:lastPrinted>
  <dcterms:created xsi:type="dcterms:W3CDTF">2020-09-10T01:50:55Z</dcterms:created>
  <dcterms:modified xsi:type="dcterms:W3CDTF">2023-10-04T02:54:09Z</dcterms:modified>
</cp:coreProperties>
</file>